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G:\data\AUDITOR\GL - AP\General Ledger\Unclaimed Funds\2025\Reports for Website (Sent to Valerie)\"/>
    </mc:Choice>
  </mc:AlternateContent>
  <xr:revisionPtr revIDLastSave="0" documentId="13_ncr:1_{53794325-F919-47BE-88CD-37697519AE77}" xr6:coauthVersionLast="47" xr6:coauthVersionMax="47" xr10:uidLastSave="{00000000-0000-0000-0000-000000000000}"/>
  <bookViews>
    <workbookView xWindow="19080" yWindow="-120" windowWidth="29040" windowHeight="15840" xr2:uid="{15FD53D1-1258-4245-92DB-30B3E726CBD2}"/>
  </bookViews>
  <sheets>
    <sheet name="Unclaimed Funds Report - Outsta" sheetId="1" r:id="rId1"/>
  </sheets>
  <definedNames>
    <definedName name="_xlnm._FilterDatabase" localSheetId="0" hidden="1">'Unclaimed Funds Report - Outsta'!$A$1:$K$1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338" i="1" l="1"/>
  <c r="G3338" i="1"/>
  <c r="H3338" i="1"/>
  <c r="K3338" i="1"/>
  <c r="F3339" i="1"/>
  <c r="G3339" i="1"/>
  <c r="H3339" i="1"/>
  <c r="K3339" i="1"/>
  <c r="F4865" i="1"/>
  <c r="G4865" i="1"/>
  <c r="H4865" i="1"/>
  <c r="K4865" i="1"/>
  <c r="F6176" i="1"/>
  <c r="G6176" i="1"/>
  <c r="H6176" i="1"/>
  <c r="K6176" i="1"/>
  <c r="F2234" i="1"/>
  <c r="G2234" i="1"/>
  <c r="H2234" i="1"/>
  <c r="K2234" i="1"/>
  <c r="F2235" i="1"/>
  <c r="G2235" i="1"/>
  <c r="H2235" i="1"/>
  <c r="K2235" i="1"/>
  <c r="F4866" i="1"/>
  <c r="G4866" i="1"/>
  <c r="H4866" i="1"/>
  <c r="K4866" i="1"/>
  <c r="F4867" i="1"/>
  <c r="G4867" i="1"/>
  <c r="H4867" i="1"/>
  <c r="K4867" i="1"/>
  <c r="F6177" i="1"/>
  <c r="G6177" i="1"/>
  <c r="H6177" i="1"/>
  <c r="K6177" i="1"/>
  <c r="F2" i="1"/>
  <c r="G2" i="1"/>
  <c r="H2" i="1"/>
  <c r="K2" i="1"/>
  <c r="F6178" i="1"/>
  <c r="G6178" i="1"/>
  <c r="H6178" i="1"/>
  <c r="K6178" i="1"/>
  <c r="F4868" i="1"/>
  <c r="G4868" i="1"/>
  <c r="H4868" i="1"/>
  <c r="K4868" i="1"/>
  <c r="F2236" i="1"/>
  <c r="G2236" i="1"/>
  <c r="H2236" i="1"/>
  <c r="K2236" i="1"/>
  <c r="F2237" i="1"/>
  <c r="G2237" i="1"/>
  <c r="H2237" i="1"/>
  <c r="K2237" i="1"/>
  <c r="F4869" i="1"/>
  <c r="G4869" i="1"/>
  <c r="H4869" i="1"/>
  <c r="K4869" i="1"/>
  <c r="F3" i="1"/>
  <c r="G3" i="1"/>
  <c r="H3" i="1"/>
  <c r="K3" i="1"/>
  <c r="F3340" i="1"/>
  <c r="G3340" i="1"/>
  <c r="H3340" i="1"/>
  <c r="K3340" i="1"/>
  <c r="F3341" i="1"/>
  <c r="G3341" i="1"/>
  <c r="H3341" i="1"/>
  <c r="K3341" i="1"/>
  <c r="F6179" i="1"/>
  <c r="G6179" i="1"/>
  <c r="H6179" i="1"/>
  <c r="K6179" i="1"/>
  <c r="F4" i="1"/>
  <c r="G4" i="1"/>
  <c r="H4" i="1"/>
  <c r="K4" i="1"/>
  <c r="F5" i="1"/>
  <c r="G5" i="1"/>
  <c r="H5" i="1"/>
  <c r="K5" i="1"/>
  <c r="F6180" i="1"/>
  <c r="G6180" i="1"/>
  <c r="H6180" i="1"/>
  <c r="K6180" i="1"/>
  <c r="F2238" i="1"/>
  <c r="G2238" i="1"/>
  <c r="H2238" i="1"/>
  <c r="K2238" i="1"/>
  <c r="F6" i="1"/>
  <c r="G6" i="1"/>
  <c r="H6" i="1"/>
  <c r="K6" i="1"/>
  <c r="F7" i="1"/>
  <c r="G7" i="1"/>
  <c r="H7" i="1"/>
  <c r="K7" i="1"/>
  <c r="F2239" i="1"/>
  <c r="G2239" i="1"/>
  <c r="H2239" i="1"/>
  <c r="K2239" i="1"/>
  <c r="F3342" i="1"/>
  <c r="G3342" i="1"/>
  <c r="H3342" i="1"/>
  <c r="K3342" i="1"/>
  <c r="F6181" i="1"/>
  <c r="G6181" i="1"/>
  <c r="H6181" i="1"/>
  <c r="K6181" i="1"/>
  <c r="F6182" i="1"/>
  <c r="G6182" i="1"/>
  <c r="H6182" i="1"/>
  <c r="K6182" i="1"/>
  <c r="F6183" i="1"/>
  <c r="G6183" i="1"/>
  <c r="H6183" i="1"/>
  <c r="K6183" i="1"/>
  <c r="F3343" i="1"/>
  <c r="G3343" i="1"/>
  <c r="H3343" i="1"/>
  <c r="K3343" i="1"/>
  <c r="F6184" i="1"/>
  <c r="G6184" i="1"/>
  <c r="H6184" i="1"/>
  <c r="K6184" i="1"/>
  <c r="F3344" i="1"/>
  <c r="G3344" i="1"/>
  <c r="H3344" i="1"/>
  <c r="K3344" i="1"/>
  <c r="F8" i="1"/>
  <c r="G8" i="1"/>
  <c r="H8" i="1"/>
  <c r="K8" i="1"/>
  <c r="F9" i="1"/>
  <c r="G9" i="1"/>
  <c r="H9" i="1"/>
  <c r="K9" i="1"/>
  <c r="F2240" i="1"/>
  <c r="G2240" i="1"/>
  <c r="H2240" i="1"/>
  <c r="K2240" i="1"/>
  <c r="F2241" i="1"/>
  <c r="G2241" i="1"/>
  <c r="H2241" i="1"/>
  <c r="K2241" i="1"/>
  <c r="F4870" i="1"/>
  <c r="G4870" i="1"/>
  <c r="H4870" i="1"/>
  <c r="K4870" i="1"/>
  <c r="F10" i="1"/>
  <c r="G10" i="1"/>
  <c r="H10" i="1"/>
  <c r="K10" i="1"/>
  <c r="F6185" i="1"/>
  <c r="G6185" i="1"/>
  <c r="H6185" i="1"/>
  <c r="K6185" i="1"/>
  <c r="F6186" i="1"/>
  <c r="G6186" i="1"/>
  <c r="H6186" i="1"/>
  <c r="K6186" i="1"/>
  <c r="F11" i="1"/>
  <c r="G11" i="1"/>
  <c r="H11" i="1"/>
  <c r="K11" i="1"/>
  <c r="F2242" i="1"/>
  <c r="G2242" i="1"/>
  <c r="H2242" i="1"/>
  <c r="K2242" i="1"/>
  <c r="F12" i="1"/>
  <c r="G12" i="1"/>
  <c r="H12" i="1"/>
  <c r="K12" i="1"/>
  <c r="F6187" i="1"/>
  <c r="G6187" i="1"/>
  <c r="H6187" i="1"/>
  <c r="K6187" i="1"/>
  <c r="F4871" i="1"/>
  <c r="G4871" i="1"/>
  <c r="H4871" i="1"/>
  <c r="K4871" i="1"/>
  <c r="F4872" i="1"/>
  <c r="G4872" i="1"/>
  <c r="H4872" i="1"/>
  <c r="K4872" i="1"/>
  <c r="F6188" i="1"/>
  <c r="G6188" i="1"/>
  <c r="H6188" i="1"/>
  <c r="K6188" i="1"/>
  <c r="F6189" i="1"/>
  <c r="G6189" i="1"/>
  <c r="H6189" i="1"/>
  <c r="K6189" i="1"/>
  <c r="F6190" i="1"/>
  <c r="G6190" i="1"/>
  <c r="H6190" i="1"/>
  <c r="K6190" i="1"/>
  <c r="F13" i="1"/>
  <c r="G13" i="1"/>
  <c r="H13" i="1"/>
  <c r="K13" i="1"/>
  <c r="F3345" i="1"/>
  <c r="G3345" i="1"/>
  <c r="H3345" i="1"/>
  <c r="K3345" i="1"/>
  <c r="F3346" i="1"/>
  <c r="G3346" i="1"/>
  <c r="H3346" i="1"/>
  <c r="K3346" i="1"/>
  <c r="F3347" i="1"/>
  <c r="G3347" i="1"/>
  <c r="H3347" i="1"/>
  <c r="K3347" i="1"/>
  <c r="F3348" i="1"/>
  <c r="G3348" i="1"/>
  <c r="H3348" i="1"/>
  <c r="K3348" i="1"/>
  <c r="F14" i="1"/>
  <c r="G14" i="1"/>
  <c r="H14" i="1"/>
  <c r="K14" i="1"/>
  <c r="F3349" i="1"/>
  <c r="G3349" i="1"/>
  <c r="H3349" i="1"/>
  <c r="K3349" i="1"/>
  <c r="F3350" i="1"/>
  <c r="G3350" i="1"/>
  <c r="H3350" i="1"/>
  <c r="K3350" i="1"/>
  <c r="F3351" i="1"/>
  <c r="G3351" i="1"/>
  <c r="H3351" i="1"/>
  <c r="K3351" i="1"/>
  <c r="F3352" i="1"/>
  <c r="G3352" i="1"/>
  <c r="H3352" i="1"/>
  <c r="K3352" i="1"/>
  <c r="F3353" i="1"/>
  <c r="G3353" i="1"/>
  <c r="H3353" i="1"/>
  <c r="K3353" i="1"/>
  <c r="F3354" i="1"/>
  <c r="G3354" i="1"/>
  <c r="H3354" i="1"/>
  <c r="K3354" i="1"/>
  <c r="F2243" i="1"/>
  <c r="G2243" i="1"/>
  <c r="H2243" i="1"/>
  <c r="K2243" i="1"/>
  <c r="F3355" i="1"/>
  <c r="G3355" i="1"/>
  <c r="H3355" i="1"/>
  <c r="K3355" i="1"/>
  <c r="F15" i="1"/>
  <c r="G15" i="1"/>
  <c r="H15" i="1"/>
  <c r="K15" i="1"/>
  <c r="F16" i="1"/>
  <c r="G16" i="1"/>
  <c r="H16" i="1"/>
  <c r="K16" i="1"/>
  <c r="F3356" i="1"/>
  <c r="G3356" i="1"/>
  <c r="H3356" i="1"/>
  <c r="K3356" i="1"/>
  <c r="F17" i="1"/>
  <c r="G17" i="1"/>
  <c r="H17" i="1"/>
  <c r="K17" i="1"/>
  <c r="F2244" i="1"/>
  <c r="G2244" i="1"/>
  <c r="H2244" i="1"/>
  <c r="K2244" i="1"/>
  <c r="F6191" i="1"/>
  <c r="G6191" i="1"/>
  <c r="H6191" i="1"/>
  <c r="K6191" i="1"/>
  <c r="F6192" i="1"/>
  <c r="G6192" i="1"/>
  <c r="H6192" i="1"/>
  <c r="K6192" i="1"/>
  <c r="F6193" i="1"/>
  <c r="G6193" i="1"/>
  <c r="H6193" i="1"/>
  <c r="K6193" i="1"/>
  <c r="F4873" i="1"/>
  <c r="G4873" i="1"/>
  <c r="H4873" i="1"/>
  <c r="K4873" i="1"/>
  <c r="F3357" i="1"/>
  <c r="G3357" i="1"/>
  <c r="H3357" i="1"/>
  <c r="K3357" i="1"/>
  <c r="F3358" i="1"/>
  <c r="G3358" i="1"/>
  <c r="H3358" i="1"/>
  <c r="K3358" i="1"/>
  <c r="F6194" i="1"/>
  <c r="G6194" i="1"/>
  <c r="H6194" i="1"/>
  <c r="K6194" i="1"/>
  <c r="F4874" i="1"/>
  <c r="G4874" i="1"/>
  <c r="H4874" i="1"/>
  <c r="K4874" i="1"/>
  <c r="F4875" i="1"/>
  <c r="G4875" i="1"/>
  <c r="H4875" i="1"/>
  <c r="K4875" i="1"/>
  <c r="F2245" i="1"/>
  <c r="G2245" i="1"/>
  <c r="H2245" i="1"/>
  <c r="K2245" i="1"/>
  <c r="F2246" i="1"/>
  <c r="G2246" i="1"/>
  <c r="H2246" i="1"/>
  <c r="K2246" i="1"/>
  <c r="F18" i="1"/>
  <c r="G18" i="1"/>
  <c r="H18" i="1"/>
  <c r="K18" i="1"/>
  <c r="F3359" i="1"/>
  <c r="G3359" i="1"/>
  <c r="H3359" i="1"/>
  <c r="K3359" i="1"/>
  <c r="F6195" i="1"/>
  <c r="G6195" i="1"/>
  <c r="H6195" i="1"/>
  <c r="K6195" i="1"/>
  <c r="F6196" i="1"/>
  <c r="G6196" i="1"/>
  <c r="H6196" i="1"/>
  <c r="K6196" i="1"/>
  <c r="F6197" i="1"/>
  <c r="G6197" i="1"/>
  <c r="H6197" i="1"/>
  <c r="K6197" i="1"/>
  <c r="F3360" i="1"/>
  <c r="G3360" i="1"/>
  <c r="H3360" i="1"/>
  <c r="K3360" i="1"/>
  <c r="F19" i="1"/>
  <c r="G19" i="1"/>
  <c r="H19" i="1"/>
  <c r="K19" i="1"/>
  <c r="F20" i="1"/>
  <c r="G20" i="1"/>
  <c r="H20" i="1"/>
  <c r="K20" i="1"/>
  <c r="F3361" i="1"/>
  <c r="G3361" i="1"/>
  <c r="H3361" i="1"/>
  <c r="K3361" i="1"/>
  <c r="F2247" i="1"/>
  <c r="G2247" i="1"/>
  <c r="H2247" i="1"/>
  <c r="K2247" i="1"/>
  <c r="F6198" i="1"/>
  <c r="G6198" i="1"/>
  <c r="H6198" i="1"/>
  <c r="K6198" i="1"/>
  <c r="F6199" i="1"/>
  <c r="G6199" i="1"/>
  <c r="H6199" i="1"/>
  <c r="K6199" i="1"/>
  <c r="F21" i="1"/>
  <c r="G21" i="1"/>
  <c r="H21" i="1"/>
  <c r="K21" i="1"/>
  <c r="F22" i="1"/>
  <c r="G22" i="1"/>
  <c r="H22" i="1"/>
  <c r="K22" i="1"/>
  <c r="F23" i="1"/>
  <c r="G23" i="1"/>
  <c r="H23" i="1"/>
  <c r="K23" i="1"/>
  <c r="F24" i="1"/>
  <c r="G24" i="1"/>
  <c r="H24" i="1"/>
  <c r="K24" i="1"/>
  <c r="F3362" i="1"/>
  <c r="G3362" i="1"/>
  <c r="H3362" i="1"/>
  <c r="K3362" i="1"/>
  <c r="F3363" i="1"/>
  <c r="G3363" i="1"/>
  <c r="H3363" i="1"/>
  <c r="K3363" i="1"/>
  <c r="F3364" i="1"/>
  <c r="G3364" i="1"/>
  <c r="H3364" i="1"/>
  <c r="K3364" i="1"/>
  <c r="F6200" i="1"/>
  <c r="G6200" i="1"/>
  <c r="H6200" i="1"/>
  <c r="K6200" i="1"/>
  <c r="F2248" i="1"/>
  <c r="G2248" i="1"/>
  <c r="H2248" i="1"/>
  <c r="K2248" i="1"/>
  <c r="F3365" i="1"/>
  <c r="G3365" i="1"/>
  <c r="H3365" i="1"/>
  <c r="K3365" i="1"/>
  <c r="F4876" i="1"/>
  <c r="G4876" i="1"/>
  <c r="H4876" i="1"/>
  <c r="K4876" i="1"/>
  <c r="F6201" i="1"/>
  <c r="G6201" i="1"/>
  <c r="H6201" i="1"/>
  <c r="K6201" i="1"/>
  <c r="F6202" i="1"/>
  <c r="G6202" i="1"/>
  <c r="H6202" i="1"/>
  <c r="K6202" i="1"/>
  <c r="F3366" i="1"/>
  <c r="G3366" i="1"/>
  <c r="H3366" i="1"/>
  <c r="K3366" i="1"/>
  <c r="F25" i="1"/>
  <c r="G25" i="1"/>
  <c r="H25" i="1"/>
  <c r="K25" i="1"/>
  <c r="F26" i="1"/>
  <c r="G26" i="1"/>
  <c r="H26" i="1"/>
  <c r="K26" i="1"/>
  <c r="F27" i="1"/>
  <c r="G27" i="1"/>
  <c r="H27" i="1"/>
  <c r="K27" i="1"/>
  <c r="F28" i="1"/>
  <c r="G28" i="1"/>
  <c r="H28" i="1"/>
  <c r="K28" i="1"/>
  <c r="F29" i="1"/>
  <c r="G29" i="1"/>
  <c r="H29" i="1"/>
  <c r="K29" i="1"/>
  <c r="F30" i="1"/>
  <c r="G30" i="1"/>
  <c r="H30" i="1"/>
  <c r="K30" i="1"/>
  <c r="F2249" i="1"/>
  <c r="G2249" i="1"/>
  <c r="H2249" i="1"/>
  <c r="K2249" i="1"/>
  <c r="F4877" i="1"/>
  <c r="G4877" i="1"/>
  <c r="H4877" i="1"/>
  <c r="K4877" i="1"/>
  <c r="F6203" i="1"/>
  <c r="G6203" i="1"/>
  <c r="H6203" i="1"/>
  <c r="K6203" i="1"/>
  <c r="F6204" i="1"/>
  <c r="G6204" i="1"/>
  <c r="H6204" i="1"/>
  <c r="K6204" i="1"/>
  <c r="F6205" i="1"/>
  <c r="G6205" i="1"/>
  <c r="H6205" i="1"/>
  <c r="K6205" i="1"/>
  <c r="F2250" i="1"/>
  <c r="G2250" i="1"/>
  <c r="H2250" i="1"/>
  <c r="K2250" i="1"/>
  <c r="F4878" i="1"/>
  <c r="G4878" i="1"/>
  <c r="H4878" i="1"/>
  <c r="K4878" i="1"/>
  <c r="F4879" i="1"/>
  <c r="G4879" i="1"/>
  <c r="H4879" i="1"/>
  <c r="K4879" i="1"/>
  <c r="F4880" i="1"/>
  <c r="G4880" i="1"/>
  <c r="H4880" i="1"/>
  <c r="K4880" i="1"/>
  <c r="F6206" i="1"/>
  <c r="G6206" i="1"/>
  <c r="H6206" i="1"/>
  <c r="K6206" i="1"/>
  <c r="F6207" i="1"/>
  <c r="G6207" i="1"/>
  <c r="H6207" i="1"/>
  <c r="K6207" i="1"/>
  <c r="F6208" i="1"/>
  <c r="G6208" i="1"/>
  <c r="H6208" i="1"/>
  <c r="K6208" i="1"/>
  <c r="F31" i="1"/>
  <c r="G31" i="1"/>
  <c r="H31" i="1"/>
  <c r="K31" i="1"/>
  <c r="F6209" i="1"/>
  <c r="G6209" i="1"/>
  <c r="H6209" i="1"/>
  <c r="K6209" i="1"/>
  <c r="F6210" i="1"/>
  <c r="G6210" i="1"/>
  <c r="H6210" i="1"/>
  <c r="K6210" i="1"/>
  <c r="F32" i="1"/>
  <c r="G32" i="1"/>
  <c r="H32" i="1"/>
  <c r="K32" i="1"/>
  <c r="F3367" i="1"/>
  <c r="G3367" i="1"/>
  <c r="H3367" i="1"/>
  <c r="K3367" i="1"/>
  <c r="F3368" i="1"/>
  <c r="G3368" i="1"/>
  <c r="H3368" i="1"/>
  <c r="K3368" i="1"/>
  <c r="F4881" i="1"/>
  <c r="G4881" i="1"/>
  <c r="H4881" i="1"/>
  <c r="K4881" i="1"/>
  <c r="F6211" i="1"/>
  <c r="G6211" i="1"/>
  <c r="H6211" i="1"/>
  <c r="K6211" i="1"/>
  <c r="F4882" i="1"/>
  <c r="G4882" i="1"/>
  <c r="H4882" i="1"/>
  <c r="K4882" i="1"/>
  <c r="F33" i="1"/>
  <c r="G33" i="1"/>
  <c r="H33" i="1"/>
  <c r="K33" i="1"/>
  <c r="F34" i="1"/>
  <c r="G34" i="1"/>
  <c r="H34" i="1"/>
  <c r="K34" i="1"/>
  <c r="F3369" i="1"/>
  <c r="G3369" i="1"/>
  <c r="H3369" i="1"/>
  <c r="K3369" i="1"/>
  <c r="F35" i="1"/>
  <c r="G35" i="1"/>
  <c r="H35" i="1"/>
  <c r="K35" i="1"/>
  <c r="F3370" i="1"/>
  <c r="G3370" i="1"/>
  <c r="H3370" i="1"/>
  <c r="K3370" i="1"/>
  <c r="F3371" i="1"/>
  <c r="G3371" i="1"/>
  <c r="H3371" i="1"/>
  <c r="K3371" i="1"/>
  <c r="F3372" i="1"/>
  <c r="G3372" i="1"/>
  <c r="H3372" i="1"/>
  <c r="K3372" i="1"/>
  <c r="F2251" i="1"/>
  <c r="G2251" i="1"/>
  <c r="H2251" i="1"/>
  <c r="K2251" i="1"/>
  <c r="F4883" i="1"/>
  <c r="G4883" i="1"/>
  <c r="H4883" i="1"/>
  <c r="K4883" i="1"/>
  <c r="F6212" i="1"/>
  <c r="G6212" i="1"/>
  <c r="H6212" i="1"/>
  <c r="K6212" i="1"/>
  <c r="F6213" i="1"/>
  <c r="G6213" i="1"/>
  <c r="H6213" i="1"/>
  <c r="K6213" i="1"/>
  <c r="F6214" i="1"/>
  <c r="G6214" i="1"/>
  <c r="H6214" i="1"/>
  <c r="K6214" i="1"/>
  <c r="F4884" i="1"/>
  <c r="G4884" i="1"/>
  <c r="H4884" i="1"/>
  <c r="K4884" i="1"/>
  <c r="F2252" i="1"/>
  <c r="G2252" i="1"/>
  <c r="H2252" i="1"/>
  <c r="K2252" i="1"/>
  <c r="F36" i="1"/>
  <c r="G36" i="1"/>
  <c r="H36" i="1"/>
  <c r="K36" i="1"/>
  <c r="F37" i="1"/>
  <c r="G37" i="1"/>
  <c r="H37" i="1"/>
  <c r="K37" i="1"/>
  <c r="F6215" i="1"/>
  <c r="G6215" i="1"/>
  <c r="H6215" i="1"/>
  <c r="K6215" i="1"/>
  <c r="F38" i="1"/>
  <c r="G38" i="1"/>
  <c r="H38" i="1"/>
  <c r="K38" i="1"/>
  <c r="F39" i="1"/>
  <c r="G39" i="1"/>
  <c r="H39" i="1"/>
  <c r="K39" i="1"/>
  <c r="F6216" i="1"/>
  <c r="G6216" i="1"/>
  <c r="H6216" i="1"/>
  <c r="K6216" i="1"/>
  <c r="F40" i="1"/>
  <c r="G40" i="1"/>
  <c r="H40" i="1"/>
  <c r="K40" i="1"/>
  <c r="F4885" i="1"/>
  <c r="G4885" i="1"/>
  <c r="H4885" i="1"/>
  <c r="K4885" i="1"/>
  <c r="F4886" i="1"/>
  <c r="G4886" i="1"/>
  <c r="H4886" i="1"/>
  <c r="K4886" i="1"/>
  <c r="F6217" i="1"/>
  <c r="G6217" i="1"/>
  <c r="H6217" i="1"/>
  <c r="K6217" i="1"/>
  <c r="F3373" i="1"/>
  <c r="G3373" i="1"/>
  <c r="H3373" i="1"/>
  <c r="K3373" i="1"/>
  <c r="F41" i="1"/>
  <c r="G41" i="1"/>
  <c r="H41" i="1"/>
  <c r="K41" i="1"/>
  <c r="F6218" i="1"/>
  <c r="G6218" i="1"/>
  <c r="H6218" i="1"/>
  <c r="K6218" i="1"/>
  <c r="F6219" i="1"/>
  <c r="G6219" i="1"/>
  <c r="H6219" i="1"/>
  <c r="K6219" i="1"/>
  <c r="F42" i="1"/>
  <c r="G42" i="1"/>
  <c r="H42" i="1"/>
  <c r="K42" i="1"/>
  <c r="F6220" i="1"/>
  <c r="G6220" i="1"/>
  <c r="H6220" i="1"/>
  <c r="K6220" i="1"/>
  <c r="F6221" i="1"/>
  <c r="G6221" i="1"/>
  <c r="H6221" i="1"/>
  <c r="K6221" i="1"/>
  <c r="F3374" i="1"/>
  <c r="G3374" i="1"/>
  <c r="H3374" i="1"/>
  <c r="K3374" i="1"/>
  <c r="F6222" i="1"/>
  <c r="G6222" i="1"/>
  <c r="H6222" i="1"/>
  <c r="K6222" i="1"/>
  <c r="F43" i="1"/>
  <c r="G43" i="1"/>
  <c r="H43" i="1"/>
  <c r="K43" i="1"/>
  <c r="F2253" i="1"/>
  <c r="G2253" i="1"/>
  <c r="H2253" i="1"/>
  <c r="K2253" i="1"/>
  <c r="F2254" i="1"/>
  <c r="G2254" i="1"/>
  <c r="H2254" i="1"/>
  <c r="K2254" i="1"/>
  <c r="F3375" i="1"/>
  <c r="G3375" i="1"/>
  <c r="H3375" i="1"/>
  <c r="K3375" i="1"/>
  <c r="F4887" i="1"/>
  <c r="G4887" i="1"/>
  <c r="H4887" i="1"/>
  <c r="K4887" i="1"/>
  <c r="F2255" i="1"/>
  <c r="G2255" i="1"/>
  <c r="H2255" i="1"/>
  <c r="K2255" i="1"/>
  <c r="F3376" i="1"/>
  <c r="G3376" i="1"/>
  <c r="H3376" i="1"/>
  <c r="K3376" i="1"/>
  <c r="F3377" i="1"/>
  <c r="G3377" i="1"/>
  <c r="H3377" i="1"/>
  <c r="K3377" i="1"/>
  <c r="F6223" i="1"/>
  <c r="G6223" i="1"/>
  <c r="H6223" i="1"/>
  <c r="K6223" i="1"/>
  <c r="F6224" i="1"/>
  <c r="G6224" i="1"/>
  <c r="H6224" i="1"/>
  <c r="K6224" i="1"/>
  <c r="F44" i="1"/>
  <c r="G44" i="1"/>
  <c r="H44" i="1"/>
  <c r="K44" i="1"/>
  <c r="F4888" i="1"/>
  <c r="G4888" i="1"/>
  <c r="H4888" i="1"/>
  <c r="K4888" i="1"/>
  <c r="F45" i="1"/>
  <c r="G45" i="1"/>
  <c r="H45" i="1"/>
  <c r="K45" i="1"/>
  <c r="F3378" i="1"/>
  <c r="G3378" i="1"/>
  <c r="H3378" i="1"/>
  <c r="K3378" i="1"/>
  <c r="F46" i="1"/>
  <c r="G46" i="1"/>
  <c r="H46" i="1"/>
  <c r="K46" i="1"/>
  <c r="F2256" i="1"/>
  <c r="G2256" i="1"/>
  <c r="H2256" i="1"/>
  <c r="K2256" i="1"/>
  <c r="F2257" i="1"/>
  <c r="G2257" i="1"/>
  <c r="H2257" i="1"/>
  <c r="K2257" i="1"/>
  <c r="F3379" i="1"/>
  <c r="G3379" i="1"/>
  <c r="H3379" i="1"/>
  <c r="K3379" i="1"/>
  <c r="F6225" i="1"/>
  <c r="G6225" i="1"/>
  <c r="H6225" i="1"/>
  <c r="K6225" i="1"/>
  <c r="F2258" i="1"/>
  <c r="G2258" i="1"/>
  <c r="H2258" i="1"/>
  <c r="K2258" i="1"/>
  <c r="F47" i="1"/>
  <c r="G47" i="1"/>
  <c r="H47" i="1"/>
  <c r="K47" i="1"/>
  <c r="F6226" i="1"/>
  <c r="G6226" i="1"/>
  <c r="H6226" i="1"/>
  <c r="K6226" i="1"/>
  <c r="F48" i="1"/>
  <c r="G48" i="1"/>
  <c r="H48" i="1"/>
  <c r="K48" i="1"/>
  <c r="F6227" i="1"/>
  <c r="G6227" i="1"/>
  <c r="H6227" i="1"/>
  <c r="K6227" i="1"/>
  <c r="F2259" i="1"/>
  <c r="G2259" i="1"/>
  <c r="H2259" i="1"/>
  <c r="K2259" i="1"/>
  <c r="F49" i="1"/>
  <c r="G49" i="1"/>
  <c r="H49" i="1"/>
  <c r="K49" i="1"/>
  <c r="F3380" i="1"/>
  <c r="G3380" i="1"/>
  <c r="H3380" i="1"/>
  <c r="K3380" i="1"/>
  <c r="F4889" i="1"/>
  <c r="G4889" i="1"/>
  <c r="H4889" i="1"/>
  <c r="K4889" i="1"/>
  <c r="F4890" i="1"/>
  <c r="G4890" i="1"/>
  <c r="H4890" i="1"/>
  <c r="K4890" i="1"/>
  <c r="F50" i="1"/>
  <c r="G50" i="1"/>
  <c r="H50" i="1"/>
  <c r="K50" i="1"/>
  <c r="F3381" i="1"/>
  <c r="G3381" i="1"/>
  <c r="H3381" i="1"/>
  <c r="K3381" i="1"/>
  <c r="F4891" i="1"/>
  <c r="G4891" i="1"/>
  <c r="H4891" i="1"/>
  <c r="K4891" i="1"/>
  <c r="F6228" i="1"/>
  <c r="G6228" i="1"/>
  <c r="H6228" i="1"/>
  <c r="K6228" i="1"/>
  <c r="F4892" i="1"/>
  <c r="G4892" i="1"/>
  <c r="H4892" i="1"/>
  <c r="K4892" i="1"/>
  <c r="F3382" i="1"/>
  <c r="G3382" i="1"/>
  <c r="H3382" i="1"/>
  <c r="K3382" i="1"/>
  <c r="F3383" i="1"/>
  <c r="G3383" i="1"/>
  <c r="H3383" i="1"/>
  <c r="K3383" i="1"/>
  <c r="F51" i="1"/>
  <c r="G51" i="1"/>
  <c r="H51" i="1"/>
  <c r="K51" i="1"/>
  <c r="F3384" i="1"/>
  <c r="G3384" i="1"/>
  <c r="H3384" i="1"/>
  <c r="K3384" i="1"/>
  <c r="F52" i="1"/>
  <c r="G52" i="1"/>
  <c r="H52" i="1"/>
  <c r="K52" i="1"/>
  <c r="F4893" i="1"/>
  <c r="G4893" i="1"/>
  <c r="H4893" i="1"/>
  <c r="K4893" i="1"/>
  <c r="F4894" i="1"/>
  <c r="G4894" i="1"/>
  <c r="H4894" i="1"/>
  <c r="K4894" i="1"/>
  <c r="F2260" i="1"/>
  <c r="G2260" i="1"/>
  <c r="H2260" i="1"/>
  <c r="K2260" i="1"/>
  <c r="F4895" i="1"/>
  <c r="G4895" i="1"/>
  <c r="H4895" i="1"/>
  <c r="K4895" i="1"/>
  <c r="F53" i="1"/>
  <c r="G53" i="1"/>
  <c r="H53" i="1"/>
  <c r="K53" i="1"/>
  <c r="F4896" i="1"/>
  <c r="G4896" i="1"/>
  <c r="H4896" i="1"/>
  <c r="K4896" i="1"/>
  <c r="F6229" i="1"/>
  <c r="G6229" i="1"/>
  <c r="H6229" i="1"/>
  <c r="K6229" i="1"/>
  <c r="F54" i="1"/>
  <c r="G54" i="1"/>
  <c r="H54" i="1"/>
  <c r="K54" i="1"/>
  <c r="F6230" i="1"/>
  <c r="G6230" i="1"/>
  <c r="H6230" i="1"/>
  <c r="K6230" i="1"/>
  <c r="F4897" i="1"/>
  <c r="G4897" i="1"/>
  <c r="H4897" i="1"/>
  <c r="K4897" i="1"/>
  <c r="F4898" i="1"/>
  <c r="G4898" i="1"/>
  <c r="H4898" i="1"/>
  <c r="K4898" i="1"/>
  <c r="F3385" i="1"/>
  <c r="G3385" i="1"/>
  <c r="H3385" i="1"/>
  <c r="K3385" i="1"/>
  <c r="F4899" i="1"/>
  <c r="G4899" i="1"/>
  <c r="H4899" i="1"/>
  <c r="K4899" i="1"/>
  <c r="F3386" i="1"/>
  <c r="G3386" i="1"/>
  <c r="H3386" i="1"/>
  <c r="K3386" i="1"/>
  <c r="F6231" i="1"/>
  <c r="G6231" i="1"/>
  <c r="H6231" i="1"/>
  <c r="K6231" i="1"/>
  <c r="F6232" i="1"/>
  <c r="G6232" i="1"/>
  <c r="H6232" i="1"/>
  <c r="K6232" i="1"/>
  <c r="F6233" i="1"/>
  <c r="G6233" i="1"/>
  <c r="H6233" i="1"/>
  <c r="K6233" i="1"/>
  <c r="F6234" i="1"/>
  <c r="G6234" i="1"/>
  <c r="H6234" i="1"/>
  <c r="K6234" i="1"/>
  <c r="F6235" i="1"/>
  <c r="G6235" i="1"/>
  <c r="H6235" i="1"/>
  <c r="K6235" i="1"/>
  <c r="F55" i="1"/>
  <c r="G55" i="1"/>
  <c r="H55" i="1"/>
  <c r="K55" i="1"/>
  <c r="F6236" i="1"/>
  <c r="G6236" i="1"/>
  <c r="H6236" i="1"/>
  <c r="K6236" i="1"/>
  <c r="F56" i="1"/>
  <c r="G56" i="1"/>
  <c r="H56" i="1"/>
  <c r="K56" i="1"/>
  <c r="F6237" i="1"/>
  <c r="G6237" i="1"/>
  <c r="H6237" i="1"/>
  <c r="K6237" i="1"/>
  <c r="F6238" i="1"/>
  <c r="G6238" i="1"/>
  <c r="H6238" i="1"/>
  <c r="K6238" i="1"/>
  <c r="F57" i="1"/>
  <c r="G57" i="1"/>
  <c r="H57" i="1"/>
  <c r="K57" i="1"/>
  <c r="F4900" i="1"/>
  <c r="G4900" i="1"/>
  <c r="H4900" i="1"/>
  <c r="K4900" i="1"/>
  <c r="F3387" i="1"/>
  <c r="G3387" i="1"/>
  <c r="H3387" i="1"/>
  <c r="K3387" i="1"/>
  <c r="F3388" i="1"/>
  <c r="G3388" i="1"/>
  <c r="H3388" i="1"/>
  <c r="K3388" i="1"/>
  <c r="F3389" i="1"/>
  <c r="G3389" i="1"/>
  <c r="H3389" i="1"/>
  <c r="K3389" i="1"/>
  <c r="F58" i="1"/>
  <c r="G58" i="1"/>
  <c r="H58" i="1"/>
  <c r="K58" i="1"/>
  <c r="F4901" i="1"/>
  <c r="G4901" i="1"/>
  <c r="H4901" i="1"/>
  <c r="K4901" i="1"/>
  <c r="F59" i="1"/>
  <c r="G59" i="1"/>
  <c r="H59" i="1"/>
  <c r="K59" i="1"/>
  <c r="F3390" i="1"/>
  <c r="G3390" i="1"/>
  <c r="H3390" i="1"/>
  <c r="K3390" i="1"/>
  <c r="F3391" i="1"/>
  <c r="G3391" i="1"/>
  <c r="H3391" i="1"/>
  <c r="K3391" i="1"/>
  <c r="F6239" i="1"/>
  <c r="G6239" i="1"/>
  <c r="H6239" i="1"/>
  <c r="K6239" i="1"/>
  <c r="F3392" i="1"/>
  <c r="G3392" i="1"/>
  <c r="H3392" i="1"/>
  <c r="K3392" i="1"/>
  <c r="F4902" i="1"/>
  <c r="G4902" i="1"/>
  <c r="H4902" i="1"/>
  <c r="K4902" i="1"/>
  <c r="F2261" i="1"/>
  <c r="G2261" i="1"/>
  <c r="H2261" i="1"/>
  <c r="K2261" i="1"/>
  <c r="F6240" i="1"/>
  <c r="G6240" i="1"/>
  <c r="H6240" i="1"/>
  <c r="K6240" i="1"/>
  <c r="F6241" i="1"/>
  <c r="G6241" i="1"/>
  <c r="H6241" i="1"/>
  <c r="K6241" i="1"/>
  <c r="F4903" i="1"/>
  <c r="G4903" i="1"/>
  <c r="H4903" i="1"/>
  <c r="K4903" i="1"/>
  <c r="F6242" i="1"/>
  <c r="G6242" i="1"/>
  <c r="H6242" i="1"/>
  <c r="K6242" i="1"/>
  <c r="F60" i="1"/>
  <c r="G60" i="1"/>
  <c r="H60" i="1"/>
  <c r="K60" i="1"/>
  <c r="F61" i="1"/>
  <c r="G61" i="1"/>
  <c r="H61" i="1"/>
  <c r="K61" i="1"/>
  <c r="F3393" i="1"/>
  <c r="G3393" i="1"/>
  <c r="H3393" i="1"/>
  <c r="K3393" i="1"/>
  <c r="F62" i="1"/>
  <c r="G62" i="1"/>
  <c r="H62" i="1"/>
  <c r="K62" i="1"/>
  <c r="F6243" i="1"/>
  <c r="G6243" i="1"/>
  <c r="H6243" i="1"/>
  <c r="K6243" i="1"/>
  <c r="F2262" i="1"/>
  <c r="G2262" i="1"/>
  <c r="H2262" i="1"/>
  <c r="K2262" i="1"/>
  <c r="F6244" i="1"/>
  <c r="G6244" i="1"/>
  <c r="H6244" i="1"/>
  <c r="K6244" i="1"/>
  <c r="F2263" i="1"/>
  <c r="G2263" i="1"/>
  <c r="H2263" i="1"/>
  <c r="K2263" i="1"/>
  <c r="F63" i="1"/>
  <c r="G63" i="1"/>
  <c r="H63" i="1"/>
  <c r="K63" i="1"/>
  <c r="F64" i="1"/>
  <c r="G64" i="1"/>
  <c r="H64" i="1"/>
  <c r="K64" i="1"/>
  <c r="F2264" i="1"/>
  <c r="G2264" i="1"/>
  <c r="H2264" i="1"/>
  <c r="K2264" i="1"/>
  <c r="F6245" i="1"/>
  <c r="G6245" i="1"/>
  <c r="H6245" i="1"/>
  <c r="K6245" i="1"/>
  <c r="F6246" i="1"/>
  <c r="G6246" i="1"/>
  <c r="H6246" i="1"/>
  <c r="K6246" i="1"/>
  <c r="F65" i="1"/>
  <c r="G65" i="1"/>
  <c r="H65" i="1"/>
  <c r="K65" i="1"/>
  <c r="F66" i="1"/>
  <c r="G66" i="1"/>
  <c r="H66" i="1"/>
  <c r="K66" i="1"/>
  <c r="F3394" i="1"/>
  <c r="G3394" i="1"/>
  <c r="H3394" i="1"/>
  <c r="K3394" i="1"/>
  <c r="F67" i="1"/>
  <c r="G67" i="1"/>
  <c r="H67" i="1"/>
  <c r="K67" i="1"/>
  <c r="F3395" i="1"/>
  <c r="G3395" i="1"/>
  <c r="H3395" i="1"/>
  <c r="K3395" i="1"/>
  <c r="F4904" i="1"/>
  <c r="G4904" i="1"/>
  <c r="H4904" i="1"/>
  <c r="K4904" i="1"/>
  <c r="F6247" i="1"/>
  <c r="G6247" i="1"/>
  <c r="H6247" i="1"/>
  <c r="K6247" i="1"/>
  <c r="F4905" i="1"/>
  <c r="G4905" i="1"/>
  <c r="H4905" i="1"/>
  <c r="K4905" i="1"/>
  <c r="F6248" i="1"/>
  <c r="G6248" i="1"/>
  <c r="H6248" i="1"/>
  <c r="K6248" i="1"/>
  <c r="F6249" i="1"/>
  <c r="G6249" i="1"/>
  <c r="H6249" i="1"/>
  <c r="K6249" i="1"/>
  <c r="F4906" i="1"/>
  <c r="G4906" i="1"/>
  <c r="H4906" i="1"/>
  <c r="K4906" i="1"/>
  <c r="F4907" i="1"/>
  <c r="G4907" i="1"/>
  <c r="H4907" i="1"/>
  <c r="K4907" i="1"/>
  <c r="F4908" i="1"/>
  <c r="G4908" i="1"/>
  <c r="H4908" i="1"/>
  <c r="K4908" i="1"/>
  <c r="F4909" i="1"/>
  <c r="G4909" i="1"/>
  <c r="H4909" i="1"/>
  <c r="K4909" i="1"/>
  <c r="F2265" i="1"/>
  <c r="G2265" i="1"/>
  <c r="H2265" i="1"/>
  <c r="K2265" i="1"/>
  <c r="F2266" i="1"/>
  <c r="G2266" i="1"/>
  <c r="H2266" i="1"/>
  <c r="K2266" i="1"/>
  <c r="F2267" i="1"/>
  <c r="G2267" i="1"/>
  <c r="H2267" i="1"/>
  <c r="K2267" i="1"/>
  <c r="F68" i="1"/>
  <c r="G68" i="1"/>
  <c r="H68" i="1"/>
  <c r="K68" i="1"/>
  <c r="F69" i="1"/>
  <c r="G69" i="1"/>
  <c r="H69" i="1"/>
  <c r="K69" i="1"/>
  <c r="F70" i="1"/>
  <c r="G70" i="1"/>
  <c r="H70" i="1"/>
  <c r="K70" i="1"/>
  <c r="F71" i="1"/>
  <c r="G71" i="1"/>
  <c r="H71" i="1"/>
  <c r="K71" i="1"/>
  <c r="F72" i="1"/>
  <c r="G72" i="1"/>
  <c r="H72" i="1"/>
  <c r="K72" i="1"/>
  <c r="F73" i="1"/>
  <c r="G73" i="1"/>
  <c r="H73" i="1"/>
  <c r="K73" i="1"/>
  <c r="F74" i="1"/>
  <c r="G74" i="1"/>
  <c r="H74" i="1"/>
  <c r="K74" i="1"/>
  <c r="F75" i="1"/>
  <c r="G75" i="1"/>
  <c r="H75" i="1"/>
  <c r="K75" i="1"/>
  <c r="F76" i="1"/>
  <c r="G76" i="1"/>
  <c r="H76" i="1"/>
  <c r="K76" i="1"/>
  <c r="F77" i="1"/>
  <c r="G77" i="1"/>
  <c r="H77" i="1"/>
  <c r="K77" i="1"/>
  <c r="F2268" i="1"/>
  <c r="G2268" i="1"/>
  <c r="H2268" i="1"/>
  <c r="K2268" i="1"/>
  <c r="F78" i="1"/>
  <c r="G78" i="1"/>
  <c r="H78" i="1"/>
  <c r="K78" i="1"/>
  <c r="F79" i="1"/>
  <c r="G79" i="1"/>
  <c r="H79" i="1"/>
  <c r="K79" i="1"/>
  <c r="F2269" i="1"/>
  <c r="G2269" i="1"/>
  <c r="H2269" i="1"/>
  <c r="K2269" i="1"/>
  <c r="F2270" i="1"/>
  <c r="G2270" i="1"/>
  <c r="H2270" i="1"/>
  <c r="K2270" i="1"/>
  <c r="F3396" i="1"/>
  <c r="G3396" i="1"/>
  <c r="H3396" i="1"/>
  <c r="K3396" i="1"/>
  <c r="F3397" i="1"/>
  <c r="G3397" i="1"/>
  <c r="H3397" i="1"/>
  <c r="K3397" i="1"/>
  <c r="F3398" i="1"/>
  <c r="G3398" i="1"/>
  <c r="H3398" i="1"/>
  <c r="K3398" i="1"/>
  <c r="F80" i="1"/>
  <c r="G80" i="1"/>
  <c r="H80" i="1"/>
  <c r="K80" i="1"/>
  <c r="F4910" i="1"/>
  <c r="G4910" i="1"/>
  <c r="H4910" i="1"/>
  <c r="K4910" i="1"/>
  <c r="F6250" i="1"/>
  <c r="G6250" i="1"/>
  <c r="H6250" i="1"/>
  <c r="K6250" i="1"/>
  <c r="F3399" i="1"/>
  <c r="G3399" i="1"/>
  <c r="H3399" i="1"/>
  <c r="K3399" i="1"/>
  <c r="F81" i="1"/>
  <c r="G81" i="1"/>
  <c r="H81" i="1"/>
  <c r="K81" i="1"/>
  <c r="F6251" i="1"/>
  <c r="G6251" i="1"/>
  <c r="H6251" i="1"/>
  <c r="K6251" i="1"/>
  <c r="F3400" i="1"/>
  <c r="G3400" i="1"/>
  <c r="H3400" i="1"/>
  <c r="K3400" i="1"/>
  <c r="F82" i="1"/>
  <c r="G82" i="1"/>
  <c r="H82" i="1"/>
  <c r="K82" i="1"/>
  <c r="F6252" i="1"/>
  <c r="G6252" i="1"/>
  <c r="H6252" i="1"/>
  <c r="K6252" i="1"/>
  <c r="F3401" i="1"/>
  <c r="G3401" i="1"/>
  <c r="H3401" i="1"/>
  <c r="K3401" i="1"/>
  <c r="F4911" i="1"/>
  <c r="G4911" i="1"/>
  <c r="H4911" i="1"/>
  <c r="K4911" i="1"/>
  <c r="F6253" i="1"/>
  <c r="G6253" i="1"/>
  <c r="H6253" i="1"/>
  <c r="K6253" i="1"/>
  <c r="F4912" i="1"/>
  <c r="G4912" i="1"/>
  <c r="H4912" i="1"/>
  <c r="K4912" i="1"/>
  <c r="F6254" i="1"/>
  <c r="G6254" i="1"/>
  <c r="H6254" i="1"/>
  <c r="K6254" i="1"/>
  <c r="F6255" i="1"/>
  <c r="G6255" i="1"/>
  <c r="H6255" i="1"/>
  <c r="K6255" i="1"/>
  <c r="F83" i="1"/>
  <c r="G83" i="1"/>
  <c r="H83" i="1"/>
  <c r="K83" i="1"/>
  <c r="F84" i="1"/>
  <c r="G84" i="1"/>
  <c r="H84" i="1"/>
  <c r="K84" i="1"/>
  <c r="F85" i="1"/>
  <c r="G85" i="1"/>
  <c r="H85" i="1"/>
  <c r="K85" i="1"/>
  <c r="F86" i="1"/>
  <c r="G86" i="1"/>
  <c r="H86" i="1"/>
  <c r="K86" i="1"/>
  <c r="F4913" i="1"/>
  <c r="G4913" i="1"/>
  <c r="H4913" i="1"/>
  <c r="K4913" i="1"/>
  <c r="F3402" i="1"/>
  <c r="G3402" i="1"/>
  <c r="H3402" i="1"/>
  <c r="K3402" i="1"/>
  <c r="F4914" i="1"/>
  <c r="G4914" i="1"/>
  <c r="H4914" i="1"/>
  <c r="K4914" i="1"/>
  <c r="F3403" i="1"/>
  <c r="G3403" i="1"/>
  <c r="H3403" i="1"/>
  <c r="K3403" i="1"/>
  <c r="F4915" i="1"/>
  <c r="G4915" i="1"/>
  <c r="H4915" i="1"/>
  <c r="K4915" i="1"/>
  <c r="F4916" i="1"/>
  <c r="G4916" i="1"/>
  <c r="H4916" i="1"/>
  <c r="K4916" i="1"/>
  <c r="F4917" i="1"/>
  <c r="G4917" i="1"/>
  <c r="H4917" i="1"/>
  <c r="K4917" i="1"/>
  <c r="F4918" i="1"/>
  <c r="G4918" i="1"/>
  <c r="H4918" i="1"/>
  <c r="K4918" i="1"/>
  <c r="F4919" i="1"/>
  <c r="G4919" i="1"/>
  <c r="H4919" i="1"/>
  <c r="K4919" i="1"/>
  <c r="F3404" i="1"/>
  <c r="G3404" i="1"/>
  <c r="H3404" i="1"/>
  <c r="K3404" i="1"/>
  <c r="F87" i="1"/>
  <c r="G87" i="1"/>
  <c r="H87" i="1"/>
  <c r="K87" i="1"/>
  <c r="F88" i="1"/>
  <c r="G88" i="1"/>
  <c r="H88" i="1"/>
  <c r="K88" i="1"/>
  <c r="F89" i="1"/>
  <c r="G89" i="1"/>
  <c r="H89" i="1"/>
  <c r="K89" i="1"/>
  <c r="F4920" i="1"/>
  <c r="G4920" i="1"/>
  <c r="H4920" i="1"/>
  <c r="K4920" i="1"/>
  <c r="F2271" i="1"/>
  <c r="G2271" i="1"/>
  <c r="H2271" i="1"/>
  <c r="K2271" i="1"/>
  <c r="F4921" i="1"/>
  <c r="G4921" i="1"/>
  <c r="H4921" i="1"/>
  <c r="K4921" i="1"/>
  <c r="F6256" i="1"/>
  <c r="G6256" i="1"/>
  <c r="H6256" i="1"/>
  <c r="K6256" i="1"/>
  <c r="F6257" i="1"/>
  <c r="G6257" i="1"/>
  <c r="H6257" i="1"/>
  <c r="K6257" i="1"/>
  <c r="F90" i="1"/>
  <c r="G90" i="1"/>
  <c r="H90" i="1"/>
  <c r="K90" i="1"/>
  <c r="F6258" i="1"/>
  <c r="G6258" i="1"/>
  <c r="H6258" i="1"/>
  <c r="K6258" i="1"/>
  <c r="F6259" i="1"/>
  <c r="G6259" i="1"/>
  <c r="H6259" i="1"/>
  <c r="K6259" i="1"/>
  <c r="F6260" i="1"/>
  <c r="G6260" i="1"/>
  <c r="H6260" i="1"/>
  <c r="K6260" i="1"/>
  <c r="F4922" i="1"/>
  <c r="G4922" i="1"/>
  <c r="H4922" i="1"/>
  <c r="K4922" i="1"/>
  <c r="F91" i="1"/>
  <c r="G91" i="1"/>
  <c r="H91" i="1"/>
  <c r="K91" i="1"/>
  <c r="F6261" i="1"/>
  <c r="G6261" i="1"/>
  <c r="H6261" i="1"/>
  <c r="K6261" i="1"/>
  <c r="F92" i="1"/>
  <c r="G92" i="1"/>
  <c r="H92" i="1"/>
  <c r="K92" i="1"/>
  <c r="F6262" i="1"/>
  <c r="G6262" i="1"/>
  <c r="H6262" i="1"/>
  <c r="K6262" i="1"/>
  <c r="F6263" i="1"/>
  <c r="G6263" i="1"/>
  <c r="H6263" i="1"/>
  <c r="K6263" i="1"/>
  <c r="F6264" i="1"/>
  <c r="G6264" i="1"/>
  <c r="H6264" i="1"/>
  <c r="K6264" i="1"/>
  <c r="F2272" i="1"/>
  <c r="G2272" i="1"/>
  <c r="H2272" i="1"/>
  <c r="K2272" i="1"/>
  <c r="F93" i="1"/>
  <c r="G93" i="1"/>
  <c r="H93" i="1"/>
  <c r="K93" i="1"/>
  <c r="F94" i="1"/>
  <c r="G94" i="1"/>
  <c r="H94" i="1"/>
  <c r="K94" i="1"/>
  <c r="F3405" i="1"/>
  <c r="G3405" i="1"/>
  <c r="H3405" i="1"/>
  <c r="K3405" i="1"/>
  <c r="F95" i="1"/>
  <c r="G95" i="1"/>
  <c r="H95" i="1"/>
  <c r="K95" i="1"/>
  <c r="F2273" i="1"/>
  <c r="G2273" i="1"/>
  <c r="H2273" i="1"/>
  <c r="K2273" i="1"/>
  <c r="F3406" i="1"/>
  <c r="G3406" i="1"/>
  <c r="H3406" i="1"/>
  <c r="K3406" i="1"/>
  <c r="F4923" i="1"/>
  <c r="G4923" i="1"/>
  <c r="H4923" i="1"/>
  <c r="K4923" i="1"/>
  <c r="F96" i="1"/>
  <c r="G96" i="1"/>
  <c r="H96" i="1"/>
  <c r="K96" i="1"/>
  <c r="F97" i="1"/>
  <c r="G97" i="1"/>
  <c r="H97" i="1"/>
  <c r="K97" i="1"/>
  <c r="F2274" i="1"/>
  <c r="G2274" i="1"/>
  <c r="H2274" i="1"/>
  <c r="K2274" i="1"/>
  <c r="F98" i="1"/>
  <c r="G98" i="1"/>
  <c r="H98" i="1"/>
  <c r="K98" i="1"/>
  <c r="F3407" i="1"/>
  <c r="G3407" i="1"/>
  <c r="H3407" i="1"/>
  <c r="K3407" i="1"/>
  <c r="F3408" i="1"/>
  <c r="G3408" i="1"/>
  <c r="H3408" i="1"/>
  <c r="K3408" i="1"/>
  <c r="F4924" i="1"/>
  <c r="G4924" i="1"/>
  <c r="H4924" i="1"/>
  <c r="K4924" i="1"/>
  <c r="F2275" i="1"/>
  <c r="G2275" i="1"/>
  <c r="H2275" i="1"/>
  <c r="K2275" i="1"/>
  <c r="F6265" i="1"/>
  <c r="G6265" i="1"/>
  <c r="H6265" i="1"/>
  <c r="K6265" i="1"/>
  <c r="F3409" i="1"/>
  <c r="G3409" i="1"/>
  <c r="H3409" i="1"/>
  <c r="K3409" i="1"/>
  <c r="F6266" i="1"/>
  <c r="G6266" i="1"/>
  <c r="H6266" i="1"/>
  <c r="K6266" i="1"/>
  <c r="F6267" i="1"/>
  <c r="G6267" i="1"/>
  <c r="H6267" i="1"/>
  <c r="K6267" i="1"/>
  <c r="F99" i="1"/>
  <c r="G99" i="1"/>
  <c r="H99" i="1"/>
  <c r="K99" i="1"/>
  <c r="F4925" i="1"/>
  <c r="G4925" i="1"/>
  <c r="H4925" i="1"/>
  <c r="K4925" i="1"/>
  <c r="F6268" i="1"/>
  <c r="G6268" i="1"/>
  <c r="H6268" i="1"/>
  <c r="K6268" i="1"/>
  <c r="F2276" i="1"/>
  <c r="G2276" i="1"/>
  <c r="H2276" i="1"/>
  <c r="K2276" i="1"/>
  <c r="F6269" i="1"/>
  <c r="G6269" i="1"/>
  <c r="H6269" i="1"/>
  <c r="K6269" i="1"/>
  <c r="F4926" i="1"/>
  <c r="G4926" i="1"/>
  <c r="H4926" i="1"/>
  <c r="K4926" i="1"/>
  <c r="F2277" i="1"/>
  <c r="G2277" i="1"/>
  <c r="H2277" i="1"/>
  <c r="K2277" i="1"/>
  <c r="F6270" i="1"/>
  <c r="G6270" i="1"/>
  <c r="H6270" i="1"/>
  <c r="K6270" i="1"/>
  <c r="F2278" i="1"/>
  <c r="G2278" i="1"/>
  <c r="H2278" i="1"/>
  <c r="K2278" i="1"/>
  <c r="F2279" i="1"/>
  <c r="G2279" i="1"/>
  <c r="H2279" i="1"/>
  <c r="K2279" i="1"/>
  <c r="F4927" i="1"/>
  <c r="G4927" i="1"/>
  <c r="H4927" i="1"/>
  <c r="K4927" i="1"/>
  <c r="F6271" i="1"/>
  <c r="G6271" i="1"/>
  <c r="H6271" i="1"/>
  <c r="K6271" i="1"/>
  <c r="F6272" i="1"/>
  <c r="G6272" i="1"/>
  <c r="H6272" i="1"/>
  <c r="K6272" i="1"/>
  <c r="F4928" i="1"/>
  <c r="G4928" i="1"/>
  <c r="H4928" i="1"/>
  <c r="K4928" i="1"/>
  <c r="F100" i="1"/>
  <c r="G100" i="1"/>
  <c r="H100" i="1"/>
  <c r="K100" i="1"/>
  <c r="F101" i="1"/>
  <c r="G101" i="1"/>
  <c r="H101" i="1"/>
  <c r="K101" i="1"/>
  <c r="F102" i="1"/>
  <c r="G102" i="1"/>
  <c r="H102" i="1"/>
  <c r="K102" i="1"/>
  <c r="F103" i="1"/>
  <c r="G103" i="1"/>
  <c r="H103" i="1"/>
  <c r="K103" i="1"/>
  <c r="F4929" i="1"/>
  <c r="G4929" i="1"/>
  <c r="H4929" i="1"/>
  <c r="K4929" i="1"/>
  <c r="F4930" i="1"/>
  <c r="G4930" i="1"/>
  <c r="H4930" i="1"/>
  <c r="K4930" i="1"/>
  <c r="F6273" i="1"/>
  <c r="G6273" i="1"/>
  <c r="H6273" i="1"/>
  <c r="K6273" i="1"/>
  <c r="F4931" i="1"/>
  <c r="G4931" i="1"/>
  <c r="H4931" i="1"/>
  <c r="K4931" i="1"/>
  <c r="F4932" i="1"/>
  <c r="G4932" i="1"/>
  <c r="H4932" i="1"/>
  <c r="K4932" i="1"/>
  <c r="F3410" i="1"/>
  <c r="G3410" i="1"/>
  <c r="H3410" i="1"/>
  <c r="K3410" i="1"/>
  <c r="F2280" i="1"/>
  <c r="G2280" i="1"/>
  <c r="H2280" i="1"/>
  <c r="K2280" i="1"/>
  <c r="F6274" i="1"/>
  <c r="G6274" i="1"/>
  <c r="H6274" i="1"/>
  <c r="K6274" i="1"/>
  <c r="F6275" i="1"/>
  <c r="G6275" i="1"/>
  <c r="H6275" i="1"/>
  <c r="K6275" i="1"/>
  <c r="F4933" i="1"/>
  <c r="G4933" i="1"/>
  <c r="H4933" i="1"/>
  <c r="K4933" i="1"/>
  <c r="F104" i="1"/>
  <c r="G104" i="1"/>
  <c r="H104" i="1"/>
  <c r="K104" i="1"/>
  <c r="F3411" i="1"/>
  <c r="G3411" i="1"/>
  <c r="H3411" i="1"/>
  <c r="K3411" i="1"/>
  <c r="F105" i="1"/>
  <c r="G105" i="1"/>
  <c r="H105" i="1"/>
  <c r="K105" i="1"/>
  <c r="F3412" i="1"/>
  <c r="G3412" i="1"/>
  <c r="H3412" i="1"/>
  <c r="K3412" i="1"/>
  <c r="F3413" i="1"/>
  <c r="G3413" i="1"/>
  <c r="H3413" i="1"/>
  <c r="K3413" i="1"/>
  <c r="F3414" i="1"/>
  <c r="G3414" i="1"/>
  <c r="H3414" i="1"/>
  <c r="K3414" i="1"/>
  <c r="F6276" i="1"/>
  <c r="G6276" i="1"/>
  <c r="H6276" i="1"/>
  <c r="K6276" i="1"/>
  <c r="F2281" i="1"/>
  <c r="G2281" i="1"/>
  <c r="H2281" i="1"/>
  <c r="K2281" i="1"/>
  <c r="F4934" i="1"/>
  <c r="G4934" i="1"/>
  <c r="H4934" i="1"/>
  <c r="K4934" i="1"/>
  <c r="F2282" i="1"/>
  <c r="G2282" i="1"/>
  <c r="H2282" i="1"/>
  <c r="K2282" i="1"/>
  <c r="F6277" i="1"/>
  <c r="G6277" i="1"/>
  <c r="H6277" i="1"/>
  <c r="K6277" i="1"/>
  <c r="F6278" i="1"/>
  <c r="G6278" i="1"/>
  <c r="H6278" i="1"/>
  <c r="K6278" i="1"/>
  <c r="F2283" i="1"/>
  <c r="G2283" i="1"/>
  <c r="H2283" i="1"/>
  <c r="K2283" i="1"/>
  <c r="F2284" i="1"/>
  <c r="G2284" i="1"/>
  <c r="H2284" i="1"/>
  <c r="K2284" i="1"/>
  <c r="F2285" i="1"/>
  <c r="G2285" i="1"/>
  <c r="H2285" i="1"/>
  <c r="K2285" i="1"/>
  <c r="F6279" i="1"/>
  <c r="G6279" i="1"/>
  <c r="H6279" i="1"/>
  <c r="K6279" i="1"/>
  <c r="F2286" i="1"/>
  <c r="G2286" i="1"/>
  <c r="H2286" i="1"/>
  <c r="K2286" i="1"/>
  <c r="F3415" i="1"/>
  <c r="G3415" i="1"/>
  <c r="H3415" i="1"/>
  <c r="K3415" i="1"/>
  <c r="F4935" i="1"/>
  <c r="G4935" i="1"/>
  <c r="H4935" i="1"/>
  <c r="K4935" i="1"/>
  <c r="F106" i="1"/>
  <c r="G106" i="1"/>
  <c r="H106" i="1"/>
  <c r="K106" i="1"/>
  <c r="F107" i="1"/>
  <c r="G107" i="1"/>
  <c r="H107" i="1"/>
  <c r="K107" i="1"/>
  <c r="F6280" i="1"/>
  <c r="G6280" i="1"/>
  <c r="H6280" i="1"/>
  <c r="K6280" i="1"/>
  <c r="F4936" i="1"/>
  <c r="G4936" i="1"/>
  <c r="H4936" i="1"/>
  <c r="K4936" i="1"/>
  <c r="F108" i="1"/>
  <c r="G108" i="1"/>
  <c r="H108" i="1"/>
  <c r="K108" i="1"/>
  <c r="F4937" i="1"/>
  <c r="G4937" i="1"/>
  <c r="H4937" i="1"/>
  <c r="K4937" i="1"/>
  <c r="F6281" i="1"/>
  <c r="G6281" i="1"/>
  <c r="H6281" i="1"/>
  <c r="K6281" i="1"/>
  <c r="F4938" i="1"/>
  <c r="G4938" i="1"/>
  <c r="H4938" i="1"/>
  <c r="K4938" i="1"/>
  <c r="F4939" i="1"/>
  <c r="G4939" i="1"/>
  <c r="H4939" i="1"/>
  <c r="K4939" i="1"/>
  <c r="F3416" i="1"/>
  <c r="G3416" i="1"/>
  <c r="H3416" i="1"/>
  <c r="K3416" i="1"/>
  <c r="F4940" i="1"/>
  <c r="G4940" i="1"/>
  <c r="H4940" i="1"/>
  <c r="K4940" i="1"/>
  <c r="F4941" i="1"/>
  <c r="G4941" i="1"/>
  <c r="H4941" i="1"/>
  <c r="K4941" i="1"/>
  <c r="F4942" i="1"/>
  <c r="G4942" i="1"/>
  <c r="H4942" i="1"/>
  <c r="K4942" i="1"/>
  <c r="F6282" i="1"/>
  <c r="G6282" i="1"/>
  <c r="H6282" i="1"/>
  <c r="K6282" i="1"/>
  <c r="F4943" i="1"/>
  <c r="G4943" i="1"/>
  <c r="H4943" i="1"/>
  <c r="K4943" i="1"/>
  <c r="F6283" i="1"/>
  <c r="G6283" i="1"/>
  <c r="H6283" i="1"/>
  <c r="K6283" i="1"/>
  <c r="F6284" i="1"/>
  <c r="G6284" i="1"/>
  <c r="H6284" i="1"/>
  <c r="K6284" i="1"/>
  <c r="F109" i="1"/>
  <c r="G109" i="1"/>
  <c r="H109" i="1"/>
  <c r="K109" i="1"/>
  <c r="F110" i="1"/>
  <c r="G110" i="1"/>
  <c r="H110" i="1"/>
  <c r="K110" i="1"/>
  <c r="F3417" i="1"/>
  <c r="G3417" i="1"/>
  <c r="H3417" i="1"/>
  <c r="K3417" i="1"/>
  <c r="F6285" i="1"/>
  <c r="G6285" i="1"/>
  <c r="H6285" i="1"/>
  <c r="K6285" i="1"/>
  <c r="F3418" i="1"/>
  <c r="G3418" i="1"/>
  <c r="H3418" i="1"/>
  <c r="K3418" i="1"/>
  <c r="F6286" i="1"/>
  <c r="G6286" i="1"/>
  <c r="H6286" i="1"/>
  <c r="K6286" i="1"/>
  <c r="F3419" i="1"/>
  <c r="G3419" i="1"/>
  <c r="H3419" i="1"/>
  <c r="K3419" i="1"/>
  <c r="F3420" i="1"/>
  <c r="G3420" i="1"/>
  <c r="H3420" i="1"/>
  <c r="K3420" i="1"/>
  <c r="F111" i="1"/>
  <c r="G111" i="1"/>
  <c r="H111" i="1"/>
  <c r="K111" i="1"/>
  <c r="F112" i="1"/>
  <c r="G112" i="1"/>
  <c r="H112" i="1"/>
  <c r="K112" i="1"/>
  <c r="F2287" i="1"/>
  <c r="G2287" i="1"/>
  <c r="H2287" i="1"/>
  <c r="K2287" i="1"/>
  <c r="F2288" i="1"/>
  <c r="G2288" i="1"/>
  <c r="H2288" i="1"/>
  <c r="K2288" i="1"/>
  <c r="F3421" i="1"/>
  <c r="G3421" i="1"/>
  <c r="H3421" i="1"/>
  <c r="K3421" i="1"/>
  <c r="F113" i="1"/>
  <c r="G113" i="1"/>
  <c r="H113" i="1"/>
  <c r="K113" i="1"/>
  <c r="F4944" i="1"/>
  <c r="G4944" i="1"/>
  <c r="H4944" i="1"/>
  <c r="K4944" i="1"/>
  <c r="F2289" i="1"/>
  <c r="G2289" i="1"/>
  <c r="H2289" i="1"/>
  <c r="K2289" i="1"/>
  <c r="F4945" i="1"/>
  <c r="G4945" i="1"/>
  <c r="H4945" i="1"/>
  <c r="K4945" i="1"/>
  <c r="F114" i="1"/>
  <c r="G114" i="1"/>
  <c r="H114" i="1"/>
  <c r="K114" i="1"/>
  <c r="F3422" i="1"/>
  <c r="G3422" i="1"/>
  <c r="H3422" i="1"/>
  <c r="K3422" i="1"/>
  <c r="F115" i="1"/>
  <c r="G115" i="1"/>
  <c r="H115" i="1"/>
  <c r="K115" i="1"/>
  <c r="F116" i="1"/>
  <c r="G116" i="1"/>
  <c r="H116" i="1"/>
  <c r="K116" i="1"/>
  <c r="F117" i="1"/>
  <c r="G117" i="1"/>
  <c r="H117" i="1"/>
  <c r="K117" i="1"/>
  <c r="F6287" i="1"/>
  <c r="G6287" i="1"/>
  <c r="H6287" i="1"/>
  <c r="K6287" i="1"/>
  <c r="F118" i="1"/>
  <c r="G118" i="1"/>
  <c r="H118" i="1"/>
  <c r="K118" i="1"/>
  <c r="F3423" i="1"/>
  <c r="G3423" i="1"/>
  <c r="H3423" i="1"/>
  <c r="K3423" i="1"/>
  <c r="F6288" i="1"/>
  <c r="G6288" i="1"/>
  <c r="H6288" i="1"/>
  <c r="K6288" i="1"/>
  <c r="F3424" i="1"/>
  <c r="G3424" i="1"/>
  <c r="H3424" i="1"/>
  <c r="K3424" i="1"/>
  <c r="F119" i="1"/>
  <c r="G119" i="1"/>
  <c r="H119" i="1"/>
  <c r="K119" i="1"/>
  <c r="F3425" i="1"/>
  <c r="G3425" i="1"/>
  <c r="H3425" i="1"/>
  <c r="K3425" i="1"/>
  <c r="F120" i="1"/>
  <c r="G120" i="1"/>
  <c r="H120" i="1"/>
  <c r="K120" i="1"/>
  <c r="F121" i="1"/>
  <c r="G121" i="1"/>
  <c r="H121" i="1"/>
  <c r="K121" i="1"/>
  <c r="F4946" i="1"/>
  <c r="G4946" i="1"/>
  <c r="H4946" i="1"/>
  <c r="K4946" i="1"/>
  <c r="F4947" i="1"/>
  <c r="G4947" i="1"/>
  <c r="H4947" i="1"/>
  <c r="K4947" i="1"/>
  <c r="F4948" i="1"/>
  <c r="G4948" i="1"/>
  <c r="H4948" i="1"/>
  <c r="K4948" i="1"/>
  <c r="F6289" i="1"/>
  <c r="G6289" i="1"/>
  <c r="H6289" i="1"/>
  <c r="K6289" i="1"/>
  <c r="F6290" i="1"/>
  <c r="G6290" i="1"/>
  <c r="H6290" i="1"/>
  <c r="K6290" i="1"/>
  <c r="F6291" i="1"/>
  <c r="G6291" i="1"/>
  <c r="H6291" i="1"/>
  <c r="K6291" i="1"/>
  <c r="F3426" i="1"/>
  <c r="G3426" i="1"/>
  <c r="H3426" i="1"/>
  <c r="K3426" i="1"/>
  <c r="F3427" i="1"/>
  <c r="G3427" i="1"/>
  <c r="H3427" i="1"/>
  <c r="K3427" i="1"/>
  <c r="F6292" i="1"/>
  <c r="G6292" i="1"/>
  <c r="H6292" i="1"/>
  <c r="K6292" i="1"/>
  <c r="F3428" i="1"/>
  <c r="G3428" i="1"/>
  <c r="H3428" i="1"/>
  <c r="K3428" i="1"/>
  <c r="F3429" i="1"/>
  <c r="G3429" i="1"/>
  <c r="H3429" i="1"/>
  <c r="K3429" i="1"/>
  <c r="F122" i="1"/>
  <c r="G122" i="1"/>
  <c r="H122" i="1"/>
  <c r="K122" i="1"/>
  <c r="F123" i="1"/>
  <c r="G123" i="1"/>
  <c r="H123" i="1"/>
  <c r="K123" i="1"/>
  <c r="F124" i="1"/>
  <c r="G124" i="1"/>
  <c r="H124" i="1"/>
  <c r="K124" i="1"/>
  <c r="F4949" i="1"/>
  <c r="G4949" i="1"/>
  <c r="H4949" i="1"/>
  <c r="K4949" i="1"/>
  <c r="F4950" i="1"/>
  <c r="G4950" i="1"/>
  <c r="H4950" i="1"/>
  <c r="K4950" i="1"/>
  <c r="F6293" i="1"/>
  <c r="G6293" i="1"/>
  <c r="H6293" i="1"/>
  <c r="K6293" i="1"/>
  <c r="F6294" i="1"/>
  <c r="G6294" i="1"/>
  <c r="H6294" i="1"/>
  <c r="K6294" i="1"/>
  <c r="F4951" i="1"/>
  <c r="G4951" i="1"/>
  <c r="H4951" i="1"/>
  <c r="K4951" i="1"/>
  <c r="F4952" i="1"/>
  <c r="G4952" i="1"/>
  <c r="H4952" i="1"/>
  <c r="K4952" i="1"/>
  <c r="F6295" i="1"/>
  <c r="G6295" i="1"/>
  <c r="H6295" i="1"/>
  <c r="K6295" i="1"/>
  <c r="F4953" i="1"/>
  <c r="G4953" i="1"/>
  <c r="H4953" i="1"/>
  <c r="K4953" i="1"/>
  <c r="F4954" i="1"/>
  <c r="G4954" i="1"/>
  <c r="H4954" i="1"/>
  <c r="K4954" i="1"/>
  <c r="F6296" i="1"/>
  <c r="G6296" i="1"/>
  <c r="H6296" i="1"/>
  <c r="K6296" i="1"/>
  <c r="F2290" i="1"/>
  <c r="G2290" i="1"/>
  <c r="H2290" i="1"/>
  <c r="K2290" i="1"/>
  <c r="F125" i="1"/>
  <c r="G125" i="1"/>
  <c r="H125" i="1"/>
  <c r="K125" i="1"/>
  <c r="F4955" i="1"/>
  <c r="G4955" i="1"/>
  <c r="H4955" i="1"/>
  <c r="K4955" i="1"/>
  <c r="F126" i="1"/>
  <c r="G126" i="1"/>
  <c r="H126" i="1"/>
  <c r="K126" i="1"/>
  <c r="F3430" i="1"/>
  <c r="G3430" i="1"/>
  <c r="H3430" i="1"/>
  <c r="K3430" i="1"/>
  <c r="F3431" i="1"/>
  <c r="G3431" i="1"/>
  <c r="H3431" i="1"/>
  <c r="K3431" i="1"/>
  <c r="F3432" i="1"/>
  <c r="G3432" i="1"/>
  <c r="H3432" i="1"/>
  <c r="K3432" i="1"/>
  <c r="F3433" i="1"/>
  <c r="G3433" i="1"/>
  <c r="H3433" i="1"/>
  <c r="K3433" i="1"/>
  <c r="F6297" i="1"/>
  <c r="G6297" i="1"/>
  <c r="H6297" i="1"/>
  <c r="K6297" i="1"/>
  <c r="F6298" i="1"/>
  <c r="G6298" i="1"/>
  <c r="H6298" i="1"/>
  <c r="K6298" i="1"/>
  <c r="F4956" i="1"/>
  <c r="G4956" i="1"/>
  <c r="H4956" i="1"/>
  <c r="K4956" i="1"/>
  <c r="F2291" i="1"/>
  <c r="G2291" i="1"/>
  <c r="H2291" i="1"/>
  <c r="K2291" i="1"/>
  <c r="F2292" i="1"/>
  <c r="G2292" i="1"/>
  <c r="H2292" i="1"/>
  <c r="K2292" i="1"/>
  <c r="F2293" i="1"/>
  <c r="G2293" i="1"/>
  <c r="H2293" i="1"/>
  <c r="K2293" i="1"/>
  <c r="F6299" i="1"/>
  <c r="G6299" i="1"/>
  <c r="H6299" i="1"/>
  <c r="K6299" i="1"/>
  <c r="F3434" i="1"/>
  <c r="G3434" i="1"/>
  <c r="H3434" i="1"/>
  <c r="K3434" i="1"/>
  <c r="F3435" i="1"/>
  <c r="G3435" i="1"/>
  <c r="H3435" i="1"/>
  <c r="K3435" i="1"/>
  <c r="F3436" i="1"/>
  <c r="G3436" i="1"/>
  <c r="H3436" i="1"/>
  <c r="K3436" i="1"/>
  <c r="F6300" i="1"/>
  <c r="G6300" i="1"/>
  <c r="H6300" i="1"/>
  <c r="K6300" i="1"/>
  <c r="F127" i="1"/>
  <c r="G127" i="1"/>
  <c r="H127" i="1"/>
  <c r="K127" i="1"/>
  <c r="F3437" i="1"/>
  <c r="G3437" i="1"/>
  <c r="H3437" i="1"/>
  <c r="K3437" i="1"/>
  <c r="F6301" i="1"/>
  <c r="G6301" i="1"/>
  <c r="H6301" i="1"/>
  <c r="K6301" i="1"/>
  <c r="F3438" i="1"/>
  <c r="G3438" i="1"/>
  <c r="H3438" i="1"/>
  <c r="K3438" i="1"/>
  <c r="F2294" i="1"/>
  <c r="G2294" i="1"/>
  <c r="H2294" i="1"/>
  <c r="K2294" i="1"/>
  <c r="F2295" i="1"/>
  <c r="G2295" i="1"/>
  <c r="H2295" i="1"/>
  <c r="K2295" i="1"/>
  <c r="F2296" i="1"/>
  <c r="G2296" i="1"/>
  <c r="H2296" i="1"/>
  <c r="K2296" i="1"/>
  <c r="F2297" i="1"/>
  <c r="G2297" i="1"/>
  <c r="H2297" i="1"/>
  <c r="K2297" i="1"/>
  <c r="F6302" i="1"/>
  <c r="G6302" i="1"/>
  <c r="H6302" i="1"/>
  <c r="K6302" i="1"/>
  <c r="F4957" i="1"/>
  <c r="G4957" i="1"/>
  <c r="H4957" i="1"/>
  <c r="K4957" i="1"/>
  <c r="F4958" i="1"/>
  <c r="G4958" i="1"/>
  <c r="H4958" i="1"/>
  <c r="K4958" i="1"/>
  <c r="F6303" i="1"/>
  <c r="G6303" i="1"/>
  <c r="H6303" i="1"/>
  <c r="K6303" i="1"/>
  <c r="F4959" i="1"/>
  <c r="G4959" i="1"/>
  <c r="H4959" i="1"/>
  <c r="K4959" i="1"/>
  <c r="F2298" i="1"/>
  <c r="G2298" i="1"/>
  <c r="H2298" i="1"/>
  <c r="K2298" i="1"/>
  <c r="F128" i="1"/>
  <c r="G128" i="1"/>
  <c r="H128" i="1"/>
  <c r="K128" i="1"/>
  <c r="F3439" i="1"/>
  <c r="G3439" i="1"/>
  <c r="H3439" i="1"/>
  <c r="K3439" i="1"/>
  <c r="F4960" i="1"/>
  <c r="G4960" i="1"/>
  <c r="H4960" i="1"/>
  <c r="K4960" i="1"/>
  <c r="F4961" i="1"/>
  <c r="G4961" i="1"/>
  <c r="H4961" i="1"/>
  <c r="K4961" i="1"/>
  <c r="F129" i="1"/>
  <c r="G129" i="1"/>
  <c r="H129" i="1"/>
  <c r="K129" i="1"/>
  <c r="F2299" i="1"/>
  <c r="G2299" i="1"/>
  <c r="H2299" i="1"/>
  <c r="K2299" i="1"/>
  <c r="F3440" i="1"/>
  <c r="G3440" i="1"/>
  <c r="H3440" i="1"/>
  <c r="K3440" i="1"/>
  <c r="F3441" i="1"/>
  <c r="G3441" i="1"/>
  <c r="H3441" i="1"/>
  <c r="K3441" i="1"/>
  <c r="F6304" i="1"/>
  <c r="G6304" i="1"/>
  <c r="H6304" i="1"/>
  <c r="K6304" i="1"/>
  <c r="F6305" i="1"/>
  <c r="G6305" i="1"/>
  <c r="H6305" i="1"/>
  <c r="K6305" i="1"/>
  <c r="F4962" i="1"/>
  <c r="G4962" i="1"/>
  <c r="H4962" i="1"/>
  <c r="K4962" i="1"/>
  <c r="F3442" i="1"/>
  <c r="G3442" i="1"/>
  <c r="H3442" i="1"/>
  <c r="K3442" i="1"/>
  <c r="F3443" i="1"/>
  <c r="G3443" i="1"/>
  <c r="H3443" i="1"/>
  <c r="K3443" i="1"/>
  <c r="F3444" i="1"/>
  <c r="G3444" i="1"/>
  <c r="H3444" i="1"/>
  <c r="K3444" i="1"/>
  <c r="F3445" i="1"/>
  <c r="G3445" i="1"/>
  <c r="H3445" i="1"/>
  <c r="K3445" i="1"/>
  <c r="F3446" i="1"/>
  <c r="G3446" i="1"/>
  <c r="H3446" i="1"/>
  <c r="K3446" i="1"/>
  <c r="F2300" i="1"/>
  <c r="G2300" i="1"/>
  <c r="H2300" i="1"/>
  <c r="K2300" i="1"/>
  <c r="F2301" i="1"/>
  <c r="G2301" i="1"/>
  <c r="H2301" i="1"/>
  <c r="K2301" i="1"/>
  <c r="F2302" i="1"/>
  <c r="G2302" i="1"/>
  <c r="H2302" i="1"/>
  <c r="K2302" i="1"/>
  <c r="F2303" i="1"/>
  <c r="G2303" i="1"/>
  <c r="H2303" i="1"/>
  <c r="K2303" i="1"/>
  <c r="F130" i="1"/>
  <c r="G130" i="1"/>
  <c r="H130" i="1"/>
  <c r="K130" i="1"/>
  <c r="F131" i="1"/>
  <c r="G131" i="1"/>
  <c r="H131" i="1"/>
  <c r="K131" i="1"/>
  <c r="F132" i="1"/>
  <c r="G132" i="1"/>
  <c r="H132" i="1"/>
  <c r="K132" i="1"/>
  <c r="F3447" i="1"/>
  <c r="G3447" i="1"/>
  <c r="H3447" i="1"/>
  <c r="K3447" i="1"/>
  <c r="F4963" i="1"/>
  <c r="G4963" i="1"/>
  <c r="H4963" i="1"/>
  <c r="K4963" i="1"/>
  <c r="F4964" i="1"/>
  <c r="G4964" i="1"/>
  <c r="H4964" i="1"/>
  <c r="K4964" i="1"/>
  <c r="F6306" i="1"/>
  <c r="G6306" i="1"/>
  <c r="H6306" i="1"/>
  <c r="K6306" i="1"/>
  <c r="F6307" i="1"/>
  <c r="G6307" i="1"/>
  <c r="H6307" i="1"/>
  <c r="K6307" i="1"/>
  <c r="F3448" i="1"/>
  <c r="G3448" i="1"/>
  <c r="H3448" i="1"/>
  <c r="K3448" i="1"/>
  <c r="F2304" i="1"/>
  <c r="G2304" i="1"/>
  <c r="H2304" i="1"/>
  <c r="K2304" i="1"/>
  <c r="F6308" i="1"/>
  <c r="G6308" i="1"/>
  <c r="H6308" i="1"/>
  <c r="K6308" i="1"/>
  <c r="F3449" i="1"/>
  <c r="G3449" i="1"/>
  <c r="H3449" i="1"/>
  <c r="K3449" i="1"/>
  <c r="F133" i="1"/>
  <c r="G133" i="1"/>
  <c r="H133" i="1"/>
  <c r="K133" i="1"/>
  <c r="F6309" i="1"/>
  <c r="G6309" i="1"/>
  <c r="H6309" i="1"/>
  <c r="K6309" i="1"/>
  <c r="F2305" i="1"/>
  <c r="G2305" i="1"/>
  <c r="H2305" i="1"/>
  <c r="K2305" i="1"/>
  <c r="F134" i="1"/>
  <c r="G134" i="1"/>
  <c r="H134" i="1"/>
  <c r="K134" i="1"/>
  <c r="F6310" i="1"/>
  <c r="G6310" i="1"/>
  <c r="H6310" i="1"/>
  <c r="K6310" i="1"/>
  <c r="F6311" i="1"/>
  <c r="G6311" i="1"/>
  <c r="H6311" i="1"/>
  <c r="K6311" i="1"/>
  <c r="F135" i="1"/>
  <c r="G135" i="1"/>
  <c r="H135" i="1"/>
  <c r="K135" i="1"/>
  <c r="F136" i="1"/>
  <c r="G136" i="1"/>
  <c r="H136" i="1"/>
  <c r="K136" i="1"/>
  <c r="F6312" i="1"/>
  <c r="G6312" i="1"/>
  <c r="H6312" i="1"/>
  <c r="K6312" i="1"/>
  <c r="F3450" i="1"/>
  <c r="G3450" i="1"/>
  <c r="H3450" i="1"/>
  <c r="K3450" i="1"/>
  <c r="F3451" i="1"/>
  <c r="G3451" i="1"/>
  <c r="H3451" i="1"/>
  <c r="K3451" i="1"/>
  <c r="F6313" i="1"/>
  <c r="G6313" i="1"/>
  <c r="H6313" i="1"/>
  <c r="K6313" i="1"/>
  <c r="F2306" i="1"/>
  <c r="G2306" i="1"/>
  <c r="H2306" i="1"/>
  <c r="K2306" i="1"/>
  <c r="F137" i="1"/>
  <c r="G137" i="1"/>
  <c r="H137" i="1"/>
  <c r="K137" i="1"/>
  <c r="F6314" i="1"/>
  <c r="G6314" i="1"/>
  <c r="H6314" i="1"/>
  <c r="K6314" i="1"/>
  <c r="F138" i="1"/>
  <c r="G138" i="1"/>
  <c r="H138" i="1"/>
  <c r="K138" i="1"/>
  <c r="F139" i="1"/>
  <c r="G139" i="1"/>
  <c r="H139" i="1"/>
  <c r="K139" i="1"/>
  <c r="F2307" i="1"/>
  <c r="G2307" i="1"/>
  <c r="H2307" i="1"/>
  <c r="K2307" i="1"/>
  <c r="F2308" i="1"/>
  <c r="G2308" i="1"/>
  <c r="H2308" i="1"/>
  <c r="K2308" i="1"/>
  <c r="F3452" i="1"/>
  <c r="G3452" i="1"/>
  <c r="H3452" i="1"/>
  <c r="K3452" i="1"/>
  <c r="F2309" i="1"/>
  <c r="G2309" i="1"/>
  <c r="H2309" i="1"/>
  <c r="K2309" i="1"/>
  <c r="F6315" i="1"/>
  <c r="G6315" i="1"/>
  <c r="H6315" i="1"/>
  <c r="K6315" i="1"/>
  <c r="F140" i="1"/>
  <c r="G140" i="1"/>
  <c r="H140" i="1"/>
  <c r="K140" i="1"/>
  <c r="F141" i="1"/>
  <c r="G141" i="1"/>
  <c r="H141" i="1"/>
  <c r="K141" i="1"/>
  <c r="F142" i="1"/>
  <c r="G142" i="1"/>
  <c r="H142" i="1"/>
  <c r="K142" i="1"/>
  <c r="F143" i="1"/>
  <c r="G143" i="1"/>
  <c r="H143" i="1"/>
  <c r="K143" i="1"/>
  <c r="F2310" i="1"/>
  <c r="G2310" i="1"/>
  <c r="H2310" i="1"/>
  <c r="K2310" i="1"/>
  <c r="F144" i="1"/>
  <c r="G144" i="1"/>
  <c r="H144" i="1"/>
  <c r="K144" i="1"/>
  <c r="F145" i="1"/>
  <c r="G145" i="1"/>
  <c r="H145" i="1"/>
  <c r="K145" i="1"/>
  <c r="F3453" i="1"/>
  <c r="G3453" i="1"/>
  <c r="H3453" i="1"/>
  <c r="K3453" i="1"/>
  <c r="F2311" i="1"/>
  <c r="G2311" i="1"/>
  <c r="H2311" i="1"/>
  <c r="K2311" i="1"/>
  <c r="F6316" i="1"/>
  <c r="G6316" i="1"/>
  <c r="H6316" i="1"/>
  <c r="K6316" i="1"/>
  <c r="F4965" i="1"/>
  <c r="G4965" i="1"/>
  <c r="H4965" i="1"/>
  <c r="K4965" i="1"/>
  <c r="F2312" i="1"/>
  <c r="G2312" i="1"/>
  <c r="H2312" i="1"/>
  <c r="K2312" i="1"/>
  <c r="F6317" i="1"/>
  <c r="G6317" i="1"/>
  <c r="H6317" i="1"/>
  <c r="K6317" i="1"/>
  <c r="F6318" i="1"/>
  <c r="G6318" i="1"/>
  <c r="H6318" i="1"/>
  <c r="K6318" i="1"/>
  <c r="F6319" i="1"/>
  <c r="G6319" i="1"/>
  <c r="H6319" i="1"/>
  <c r="K6319" i="1"/>
  <c r="F146" i="1"/>
  <c r="G146" i="1"/>
  <c r="H146" i="1"/>
  <c r="K146" i="1"/>
  <c r="F6320" i="1"/>
  <c r="G6320" i="1"/>
  <c r="H6320" i="1"/>
  <c r="K6320" i="1"/>
  <c r="F6321" i="1"/>
  <c r="G6321" i="1"/>
  <c r="H6321" i="1"/>
  <c r="K6321" i="1"/>
  <c r="F3454" i="1"/>
  <c r="G3454" i="1"/>
  <c r="H3454" i="1"/>
  <c r="K3454" i="1"/>
  <c r="F6322" i="1"/>
  <c r="G6322" i="1"/>
  <c r="H6322" i="1"/>
  <c r="K6322" i="1"/>
  <c r="F6323" i="1"/>
  <c r="G6323" i="1"/>
  <c r="H6323" i="1"/>
  <c r="K6323" i="1"/>
  <c r="F6324" i="1"/>
  <c r="G6324" i="1"/>
  <c r="H6324" i="1"/>
  <c r="K6324" i="1"/>
  <c r="F6325" i="1"/>
  <c r="G6325" i="1"/>
  <c r="H6325" i="1"/>
  <c r="K6325" i="1"/>
  <c r="F3455" i="1"/>
  <c r="G3455" i="1"/>
  <c r="H3455" i="1"/>
  <c r="K3455" i="1"/>
  <c r="F3456" i="1"/>
  <c r="G3456" i="1"/>
  <c r="H3456" i="1"/>
  <c r="K3456" i="1"/>
  <c r="F3457" i="1"/>
  <c r="G3457" i="1"/>
  <c r="H3457" i="1"/>
  <c r="K3457" i="1"/>
  <c r="F3458" i="1"/>
  <c r="G3458" i="1"/>
  <c r="H3458" i="1"/>
  <c r="K3458" i="1"/>
  <c r="F3459" i="1"/>
  <c r="G3459" i="1"/>
  <c r="H3459" i="1"/>
  <c r="K3459" i="1"/>
  <c r="F6326" i="1"/>
  <c r="G6326" i="1"/>
  <c r="H6326" i="1"/>
  <c r="K6326" i="1"/>
  <c r="F147" i="1"/>
  <c r="G147" i="1"/>
  <c r="H147" i="1"/>
  <c r="K147" i="1"/>
  <c r="F148" i="1"/>
  <c r="G148" i="1"/>
  <c r="H148" i="1"/>
  <c r="K148" i="1"/>
  <c r="F3460" i="1"/>
  <c r="G3460" i="1"/>
  <c r="H3460" i="1"/>
  <c r="K3460" i="1"/>
  <c r="F6327" i="1"/>
  <c r="G6327" i="1"/>
  <c r="H6327" i="1"/>
  <c r="K6327" i="1"/>
  <c r="F149" i="1"/>
  <c r="G149" i="1"/>
  <c r="H149" i="1"/>
  <c r="K149" i="1"/>
  <c r="F150" i="1"/>
  <c r="G150" i="1"/>
  <c r="H150" i="1"/>
  <c r="K150" i="1"/>
  <c r="F151" i="1"/>
  <c r="G151" i="1"/>
  <c r="H151" i="1"/>
  <c r="K151" i="1"/>
  <c r="F3461" i="1"/>
  <c r="G3461" i="1"/>
  <c r="H3461" i="1"/>
  <c r="K3461" i="1"/>
  <c r="F4966" i="1"/>
  <c r="G4966" i="1"/>
  <c r="H4966" i="1"/>
  <c r="K4966" i="1"/>
  <c r="F3462" i="1"/>
  <c r="G3462" i="1"/>
  <c r="H3462" i="1"/>
  <c r="K3462" i="1"/>
  <c r="F2313" i="1"/>
  <c r="G2313" i="1"/>
  <c r="H2313" i="1"/>
  <c r="K2313" i="1"/>
  <c r="F6328" i="1"/>
  <c r="G6328" i="1"/>
  <c r="H6328" i="1"/>
  <c r="K6328" i="1"/>
  <c r="F2314" i="1"/>
  <c r="G2314" i="1"/>
  <c r="H2314" i="1"/>
  <c r="K2314" i="1"/>
  <c r="F152" i="1"/>
  <c r="G152" i="1"/>
  <c r="H152" i="1"/>
  <c r="K152" i="1"/>
  <c r="F3463" i="1"/>
  <c r="G3463" i="1"/>
  <c r="H3463" i="1"/>
  <c r="K3463" i="1"/>
  <c r="F153" i="1"/>
  <c r="G153" i="1"/>
  <c r="H153" i="1"/>
  <c r="K153" i="1"/>
  <c r="F3464" i="1"/>
  <c r="G3464" i="1"/>
  <c r="H3464" i="1"/>
  <c r="K3464" i="1"/>
  <c r="F3465" i="1"/>
  <c r="G3465" i="1"/>
  <c r="H3465" i="1"/>
  <c r="K3465" i="1"/>
  <c r="F3466" i="1"/>
  <c r="G3466" i="1"/>
  <c r="H3466" i="1"/>
  <c r="K3466" i="1"/>
  <c r="F154" i="1"/>
  <c r="G154" i="1"/>
  <c r="H154" i="1"/>
  <c r="K154" i="1"/>
  <c r="F155" i="1"/>
  <c r="G155" i="1"/>
  <c r="H155" i="1"/>
  <c r="K155" i="1"/>
  <c r="F6329" i="1"/>
  <c r="G6329" i="1"/>
  <c r="H6329" i="1"/>
  <c r="K6329" i="1"/>
  <c r="F4967" i="1"/>
  <c r="G4967" i="1"/>
  <c r="H4967" i="1"/>
  <c r="K4967" i="1"/>
  <c r="F4968" i="1"/>
  <c r="G4968" i="1"/>
  <c r="H4968" i="1"/>
  <c r="K4968" i="1"/>
  <c r="F4969" i="1"/>
  <c r="G4969" i="1"/>
  <c r="H4969" i="1"/>
  <c r="K4969" i="1"/>
  <c r="F4970" i="1"/>
  <c r="G4970" i="1"/>
  <c r="H4970" i="1"/>
  <c r="K4970" i="1"/>
  <c r="F4971" i="1"/>
  <c r="G4971" i="1"/>
  <c r="H4971" i="1"/>
  <c r="K4971" i="1"/>
  <c r="F2315" i="1"/>
  <c r="G2315" i="1"/>
  <c r="H2315" i="1"/>
  <c r="K2315" i="1"/>
  <c r="F2316" i="1"/>
  <c r="G2316" i="1"/>
  <c r="H2316" i="1"/>
  <c r="K2316" i="1"/>
  <c r="F3467" i="1"/>
  <c r="G3467" i="1"/>
  <c r="H3467" i="1"/>
  <c r="K3467" i="1"/>
  <c r="F4972" i="1"/>
  <c r="G4972" i="1"/>
  <c r="H4972" i="1"/>
  <c r="K4972" i="1"/>
  <c r="F6330" i="1"/>
  <c r="G6330" i="1"/>
  <c r="H6330" i="1"/>
  <c r="K6330" i="1"/>
  <c r="F3468" i="1"/>
  <c r="G3468" i="1"/>
  <c r="H3468" i="1"/>
  <c r="K3468" i="1"/>
  <c r="F6331" i="1"/>
  <c r="G6331" i="1"/>
  <c r="H6331" i="1"/>
  <c r="K6331" i="1"/>
  <c r="F3469" i="1"/>
  <c r="G3469" i="1"/>
  <c r="H3469" i="1"/>
  <c r="K3469" i="1"/>
  <c r="F2317" i="1"/>
  <c r="G2317" i="1"/>
  <c r="H2317" i="1"/>
  <c r="K2317" i="1"/>
  <c r="F2318" i="1"/>
  <c r="G2318" i="1"/>
  <c r="H2318" i="1"/>
  <c r="K2318" i="1"/>
  <c r="F2319" i="1"/>
  <c r="G2319" i="1"/>
  <c r="H2319" i="1"/>
  <c r="K2319" i="1"/>
  <c r="F156" i="1"/>
  <c r="G156" i="1"/>
  <c r="H156" i="1"/>
  <c r="K156" i="1"/>
  <c r="F157" i="1"/>
  <c r="G157" i="1"/>
  <c r="H157" i="1"/>
  <c r="K157" i="1"/>
  <c r="F158" i="1"/>
  <c r="G158" i="1"/>
  <c r="H158" i="1"/>
  <c r="K158" i="1"/>
  <c r="F159" i="1"/>
  <c r="G159" i="1"/>
  <c r="H159" i="1"/>
  <c r="K159" i="1"/>
  <c r="F160" i="1"/>
  <c r="G160" i="1"/>
  <c r="H160" i="1"/>
  <c r="K160" i="1"/>
  <c r="F3470" i="1"/>
  <c r="G3470" i="1"/>
  <c r="H3470" i="1"/>
  <c r="K3470" i="1"/>
  <c r="F3471" i="1"/>
  <c r="G3471" i="1"/>
  <c r="H3471" i="1"/>
  <c r="K3471" i="1"/>
  <c r="F161" i="1"/>
  <c r="G161" i="1"/>
  <c r="H161" i="1"/>
  <c r="K161" i="1"/>
  <c r="F162" i="1"/>
  <c r="G162" i="1"/>
  <c r="H162" i="1"/>
  <c r="K162" i="1"/>
  <c r="F163" i="1"/>
  <c r="G163" i="1"/>
  <c r="H163" i="1"/>
  <c r="K163" i="1"/>
  <c r="F164" i="1"/>
  <c r="G164" i="1"/>
  <c r="H164" i="1"/>
  <c r="K164" i="1"/>
  <c r="F165" i="1"/>
  <c r="G165" i="1"/>
  <c r="H165" i="1"/>
  <c r="K165" i="1"/>
  <c r="F4973" i="1"/>
  <c r="G4973" i="1"/>
  <c r="H4973" i="1"/>
  <c r="K4973" i="1"/>
  <c r="F3472" i="1"/>
  <c r="G3472" i="1"/>
  <c r="H3472" i="1"/>
  <c r="K3472" i="1"/>
  <c r="F6332" i="1"/>
  <c r="G6332" i="1"/>
  <c r="H6332" i="1"/>
  <c r="K6332" i="1"/>
  <c r="F166" i="1"/>
  <c r="G166" i="1"/>
  <c r="H166" i="1"/>
  <c r="K166" i="1"/>
  <c r="F167" i="1"/>
  <c r="G167" i="1"/>
  <c r="H167" i="1"/>
  <c r="K167" i="1"/>
  <c r="F168" i="1"/>
  <c r="G168" i="1"/>
  <c r="H168" i="1"/>
  <c r="K168" i="1"/>
  <c r="F169" i="1"/>
  <c r="G169" i="1"/>
  <c r="H169" i="1"/>
  <c r="K169" i="1"/>
  <c r="F6333" i="1"/>
  <c r="G6333" i="1"/>
  <c r="H6333" i="1"/>
  <c r="K6333" i="1"/>
  <c r="F2320" i="1"/>
  <c r="G2320" i="1"/>
  <c r="H2320" i="1"/>
  <c r="K2320" i="1"/>
  <c r="F170" i="1"/>
  <c r="G170" i="1"/>
  <c r="H170" i="1"/>
  <c r="K170" i="1"/>
  <c r="F3473" i="1"/>
  <c r="G3473" i="1"/>
  <c r="H3473" i="1"/>
  <c r="K3473" i="1"/>
  <c r="F3474" i="1"/>
  <c r="G3474" i="1"/>
  <c r="H3474" i="1"/>
  <c r="K3474" i="1"/>
  <c r="F3475" i="1"/>
  <c r="G3475" i="1"/>
  <c r="H3475" i="1"/>
  <c r="K3475" i="1"/>
  <c r="F171" i="1"/>
  <c r="G171" i="1"/>
  <c r="H171" i="1"/>
  <c r="K171" i="1"/>
  <c r="F172" i="1"/>
  <c r="G172" i="1"/>
  <c r="H172" i="1"/>
  <c r="K172" i="1"/>
  <c r="F173" i="1"/>
  <c r="G173" i="1"/>
  <c r="H173" i="1"/>
  <c r="K173" i="1"/>
  <c r="F6334" i="1"/>
  <c r="G6334" i="1"/>
  <c r="H6334" i="1"/>
  <c r="K6334" i="1"/>
  <c r="F6335" i="1"/>
  <c r="G6335" i="1"/>
  <c r="H6335" i="1"/>
  <c r="K6335" i="1"/>
  <c r="F174" i="1"/>
  <c r="G174" i="1"/>
  <c r="H174" i="1"/>
  <c r="K174" i="1"/>
  <c r="F6336" i="1"/>
  <c r="G6336" i="1"/>
  <c r="H6336" i="1"/>
  <c r="K6336" i="1"/>
  <c r="F175" i="1"/>
  <c r="G175" i="1"/>
  <c r="H175" i="1"/>
  <c r="K175" i="1"/>
  <c r="F3476" i="1"/>
  <c r="G3476" i="1"/>
  <c r="H3476" i="1"/>
  <c r="K3476" i="1"/>
  <c r="F2321" i="1"/>
  <c r="G2321" i="1"/>
  <c r="H2321" i="1"/>
  <c r="K2321" i="1"/>
  <c r="F3477" i="1"/>
  <c r="G3477" i="1"/>
  <c r="H3477" i="1"/>
  <c r="K3477" i="1"/>
  <c r="F3478" i="1"/>
  <c r="G3478" i="1"/>
  <c r="H3478" i="1"/>
  <c r="K3478" i="1"/>
  <c r="F176" i="1"/>
  <c r="G176" i="1"/>
  <c r="H176" i="1"/>
  <c r="K176" i="1"/>
  <c r="F177" i="1"/>
  <c r="G177" i="1"/>
  <c r="H177" i="1"/>
  <c r="K177" i="1"/>
  <c r="F178" i="1"/>
  <c r="G178" i="1"/>
  <c r="H178" i="1"/>
  <c r="K178" i="1"/>
  <c r="F179" i="1"/>
  <c r="G179" i="1"/>
  <c r="H179" i="1"/>
  <c r="K179" i="1"/>
  <c r="F4974" i="1"/>
  <c r="G4974" i="1"/>
  <c r="H4974" i="1"/>
  <c r="K4974" i="1"/>
  <c r="F4975" i="1"/>
  <c r="G4975" i="1"/>
  <c r="H4975" i="1"/>
  <c r="K4975" i="1"/>
  <c r="F3479" i="1"/>
  <c r="G3479" i="1"/>
  <c r="H3479" i="1"/>
  <c r="K3479" i="1"/>
  <c r="F3480" i="1"/>
  <c r="G3480" i="1"/>
  <c r="H3480" i="1"/>
  <c r="K3480" i="1"/>
  <c r="F2322" i="1"/>
  <c r="G2322" i="1"/>
  <c r="H2322" i="1"/>
  <c r="K2322" i="1"/>
  <c r="F180" i="1"/>
  <c r="G180" i="1"/>
  <c r="H180" i="1"/>
  <c r="K180" i="1"/>
  <c r="F3481" i="1"/>
  <c r="G3481" i="1"/>
  <c r="H3481" i="1"/>
  <c r="K3481" i="1"/>
  <c r="F2323" i="1"/>
  <c r="G2323" i="1"/>
  <c r="H2323" i="1"/>
  <c r="K2323" i="1"/>
  <c r="F2324" i="1"/>
  <c r="G2324" i="1"/>
  <c r="H2324" i="1"/>
  <c r="K2324" i="1"/>
  <c r="F6337" i="1"/>
  <c r="G6337" i="1"/>
  <c r="H6337" i="1"/>
  <c r="K6337" i="1"/>
  <c r="F2325" i="1"/>
  <c r="G2325" i="1"/>
  <c r="H2325" i="1"/>
  <c r="K2325" i="1"/>
  <c r="F6338" i="1"/>
  <c r="G6338" i="1"/>
  <c r="H6338" i="1"/>
  <c r="K6338" i="1"/>
  <c r="F4976" i="1"/>
  <c r="G4976" i="1"/>
  <c r="H4976" i="1"/>
  <c r="K4976" i="1"/>
  <c r="F6339" i="1"/>
  <c r="G6339" i="1"/>
  <c r="H6339" i="1"/>
  <c r="K6339" i="1"/>
  <c r="F6340" i="1"/>
  <c r="G6340" i="1"/>
  <c r="H6340" i="1"/>
  <c r="K6340" i="1"/>
  <c r="F181" i="1"/>
  <c r="G181" i="1"/>
  <c r="H181" i="1"/>
  <c r="K181" i="1"/>
  <c r="F4977" i="1"/>
  <c r="G4977" i="1"/>
  <c r="H4977" i="1"/>
  <c r="K4977" i="1"/>
  <c r="F182" i="1"/>
  <c r="G182" i="1"/>
  <c r="H182" i="1"/>
  <c r="K182" i="1"/>
  <c r="F4978" i="1"/>
  <c r="G4978" i="1"/>
  <c r="H4978" i="1"/>
  <c r="K4978" i="1"/>
  <c r="F6341" i="1"/>
  <c r="G6341" i="1"/>
  <c r="H6341" i="1"/>
  <c r="K6341" i="1"/>
  <c r="F6342" i="1"/>
  <c r="G6342" i="1"/>
  <c r="H6342" i="1"/>
  <c r="K6342" i="1"/>
  <c r="F2326" i="1"/>
  <c r="G2326" i="1"/>
  <c r="H2326" i="1"/>
  <c r="K2326" i="1"/>
  <c r="F4979" i="1"/>
  <c r="G4979" i="1"/>
  <c r="H4979" i="1"/>
  <c r="K4979" i="1"/>
  <c r="F183" i="1"/>
  <c r="G183" i="1"/>
  <c r="H183" i="1"/>
  <c r="K183" i="1"/>
  <c r="F6343" i="1"/>
  <c r="G6343" i="1"/>
  <c r="H6343" i="1"/>
  <c r="K6343" i="1"/>
  <c r="F6344" i="1"/>
  <c r="G6344" i="1"/>
  <c r="H6344" i="1"/>
  <c r="K6344" i="1"/>
  <c r="F184" i="1"/>
  <c r="G184" i="1"/>
  <c r="H184" i="1"/>
  <c r="K184" i="1"/>
  <c r="F3482" i="1"/>
  <c r="G3482" i="1"/>
  <c r="H3482" i="1"/>
  <c r="K3482" i="1"/>
  <c r="F185" i="1"/>
  <c r="G185" i="1"/>
  <c r="H185" i="1"/>
  <c r="K185" i="1"/>
  <c r="F186" i="1"/>
  <c r="G186" i="1"/>
  <c r="H186" i="1"/>
  <c r="K186" i="1"/>
  <c r="F187" i="1"/>
  <c r="G187" i="1"/>
  <c r="H187" i="1"/>
  <c r="K187" i="1"/>
  <c r="F2327" i="1"/>
  <c r="G2327" i="1"/>
  <c r="H2327" i="1"/>
  <c r="K2327" i="1"/>
  <c r="F2328" i="1"/>
  <c r="G2328" i="1"/>
  <c r="H2328" i="1"/>
  <c r="K2328" i="1"/>
  <c r="F188" i="1"/>
  <c r="G188" i="1"/>
  <c r="H188" i="1"/>
  <c r="K188" i="1"/>
  <c r="F189" i="1"/>
  <c r="G189" i="1"/>
  <c r="H189" i="1"/>
  <c r="K189" i="1"/>
  <c r="F3483" i="1"/>
  <c r="G3483" i="1"/>
  <c r="H3483" i="1"/>
  <c r="K3483" i="1"/>
  <c r="F190" i="1"/>
  <c r="G190" i="1"/>
  <c r="H190" i="1"/>
  <c r="K190" i="1"/>
  <c r="F191" i="1"/>
  <c r="G191" i="1"/>
  <c r="H191" i="1"/>
  <c r="K191" i="1"/>
  <c r="F192" i="1"/>
  <c r="G192" i="1"/>
  <c r="H192" i="1"/>
  <c r="K192" i="1"/>
  <c r="F193" i="1"/>
  <c r="G193" i="1"/>
  <c r="H193" i="1"/>
  <c r="K193" i="1"/>
  <c r="F194" i="1"/>
  <c r="G194" i="1"/>
  <c r="H194" i="1"/>
  <c r="K194" i="1"/>
  <c r="F2329" i="1"/>
  <c r="G2329" i="1"/>
  <c r="H2329" i="1"/>
  <c r="K2329" i="1"/>
  <c r="F2330" i="1"/>
  <c r="G2330" i="1"/>
  <c r="H2330" i="1"/>
  <c r="K2330" i="1"/>
  <c r="F2331" i="1"/>
  <c r="G2331" i="1"/>
  <c r="H2331" i="1"/>
  <c r="K2331" i="1"/>
  <c r="F2332" i="1"/>
  <c r="G2332" i="1"/>
  <c r="H2332" i="1"/>
  <c r="K2332" i="1"/>
  <c r="F2333" i="1"/>
  <c r="G2333" i="1"/>
  <c r="H2333" i="1"/>
  <c r="K2333" i="1"/>
  <c r="F2334" i="1"/>
  <c r="G2334" i="1"/>
  <c r="H2334" i="1"/>
  <c r="K2334" i="1"/>
  <c r="F3484" i="1"/>
  <c r="G3484" i="1"/>
  <c r="H3484" i="1"/>
  <c r="K3484" i="1"/>
  <c r="F3485" i="1"/>
  <c r="G3485" i="1"/>
  <c r="H3485" i="1"/>
  <c r="K3485" i="1"/>
  <c r="F3486" i="1"/>
  <c r="G3486" i="1"/>
  <c r="H3486" i="1"/>
  <c r="K3486" i="1"/>
  <c r="F3487" i="1"/>
  <c r="G3487" i="1"/>
  <c r="H3487" i="1"/>
  <c r="K3487" i="1"/>
  <c r="F3488" i="1"/>
  <c r="G3488" i="1"/>
  <c r="H3488" i="1"/>
  <c r="K3488" i="1"/>
  <c r="F3489" i="1"/>
  <c r="G3489" i="1"/>
  <c r="H3489" i="1"/>
  <c r="K3489" i="1"/>
  <c r="F3490" i="1"/>
  <c r="G3490" i="1"/>
  <c r="H3490" i="1"/>
  <c r="K3490" i="1"/>
  <c r="F2335" i="1"/>
  <c r="G2335" i="1"/>
  <c r="H2335" i="1"/>
  <c r="K2335" i="1"/>
  <c r="F6345" i="1"/>
  <c r="G6345" i="1"/>
  <c r="H6345" i="1"/>
  <c r="K6345" i="1"/>
  <c r="F6346" i="1"/>
  <c r="G6346" i="1"/>
  <c r="H6346" i="1"/>
  <c r="K6346" i="1"/>
  <c r="F4980" i="1"/>
  <c r="G4980" i="1"/>
  <c r="H4980" i="1"/>
  <c r="K4980" i="1"/>
  <c r="F4981" i="1"/>
  <c r="G4981" i="1"/>
  <c r="H4981" i="1"/>
  <c r="K4981" i="1"/>
  <c r="F6347" i="1"/>
  <c r="G6347" i="1"/>
  <c r="H6347" i="1"/>
  <c r="K6347" i="1"/>
  <c r="F6348" i="1"/>
  <c r="G6348" i="1"/>
  <c r="H6348" i="1"/>
  <c r="K6348" i="1"/>
  <c r="F6349" i="1"/>
  <c r="G6349" i="1"/>
  <c r="H6349" i="1"/>
  <c r="K6349" i="1"/>
  <c r="F4982" i="1"/>
  <c r="G4982" i="1"/>
  <c r="H4982" i="1"/>
  <c r="K4982" i="1"/>
  <c r="F4983" i="1"/>
  <c r="G4983" i="1"/>
  <c r="H4983" i="1"/>
  <c r="K4983" i="1"/>
  <c r="F3491" i="1"/>
  <c r="G3491" i="1"/>
  <c r="H3491" i="1"/>
  <c r="K3491" i="1"/>
  <c r="F6350" i="1"/>
  <c r="G6350" i="1"/>
  <c r="H6350" i="1"/>
  <c r="K6350" i="1"/>
  <c r="F2336" i="1"/>
  <c r="G2336" i="1"/>
  <c r="H2336" i="1"/>
  <c r="K2336" i="1"/>
  <c r="F6351" i="1"/>
  <c r="G6351" i="1"/>
  <c r="H6351" i="1"/>
  <c r="K6351" i="1"/>
  <c r="F3492" i="1"/>
  <c r="G3492" i="1"/>
  <c r="H3492" i="1"/>
  <c r="K3492" i="1"/>
  <c r="F4984" i="1"/>
  <c r="G4984" i="1"/>
  <c r="H4984" i="1"/>
  <c r="K4984" i="1"/>
  <c r="F195" i="1"/>
  <c r="G195" i="1"/>
  <c r="H195" i="1"/>
  <c r="K195" i="1"/>
  <c r="F2337" i="1"/>
  <c r="G2337" i="1"/>
  <c r="H2337" i="1"/>
  <c r="K2337" i="1"/>
  <c r="F196" i="1"/>
  <c r="G196" i="1"/>
  <c r="H196" i="1"/>
  <c r="K196" i="1"/>
  <c r="F3493" i="1"/>
  <c r="G3493" i="1"/>
  <c r="H3493" i="1"/>
  <c r="K3493" i="1"/>
  <c r="F6352" i="1"/>
  <c r="G6352" i="1"/>
  <c r="H6352" i="1"/>
  <c r="K6352" i="1"/>
  <c r="F197" i="1"/>
  <c r="G197" i="1"/>
  <c r="H197" i="1"/>
  <c r="K197" i="1"/>
  <c r="F6353" i="1"/>
  <c r="G6353" i="1"/>
  <c r="H6353" i="1"/>
  <c r="K6353" i="1"/>
  <c r="F3494" i="1"/>
  <c r="G3494" i="1"/>
  <c r="H3494" i="1"/>
  <c r="K3494" i="1"/>
  <c r="F6354" i="1"/>
  <c r="G6354" i="1"/>
  <c r="H6354" i="1"/>
  <c r="K6354" i="1"/>
  <c r="F4985" i="1"/>
  <c r="G4985" i="1"/>
  <c r="H4985" i="1"/>
  <c r="K4985" i="1"/>
  <c r="F6355" i="1"/>
  <c r="G6355" i="1"/>
  <c r="H6355" i="1"/>
  <c r="K6355" i="1"/>
  <c r="F2338" i="1"/>
  <c r="G2338" i="1"/>
  <c r="H2338" i="1"/>
  <c r="K2338" i="1"/>
  <c r="F4986" i="1"/>
  <c r="G4986" i="1"/>
  <c r="H4986" i="1"/>
  <c r="K4986" i="1"/>
  <c r="F4987" i="1"/>
  <c r="G4987" i="1"/>
  <c r="H4987" i="1"/>
  <c r="K4987" i="1"/>
  <c r="F3495" i="1"/>
  <c r="G3495" i="1"/>
  <c r="H3495" i="1"/>
  <c r="K3495" i="1"/>
  <c r="F3496" i="1"/>
  <c r="G3496" i="1"/>
  <c r="H3496" i="1"/>
  <c r="K3496" i="1"/>
  <c r="F3497" i="1"/>
  <c r="G3497" i="1"/>
  <c r="H3497" i="1"/>
  <c r="K3497" i="1"/>
  <c r="F3498" i="1"/>
  <c r="G3498" i="1"/>
  <c r="H3498" i="1"/>
  <c r="K3498" i="1"/>
  <c r="F3499" i="1"/>
  <c r="G3499" i="1"/>
  <c r="H3499" i="1"/>
  <c r="K3499" i="1"/>
  <c r="F3500" i="1"/>
  <c r="G3500" i="1"/>
  <c r="H3500" i="1"/>
  <c r="K3500" i="1"/>
  <c r="F2339" i="1"/>
  <c r="G2339" i="1"/>
  <c r="H2339" i="1"/>
  <c r="K2339" i="1"/>
  <c r="F198" i="1"/>
  <c r="G198" i="1"/>
  <c r="H198" i="1"/>
  <c r="K198" i="1"/>
  <c r="F199" i="1"/>
  <c r="G199" i="1"/>
  <c r="H199" i="1"/>
  <c r="K199" i="1"/>
  <c r="F200" i="1"/>
  <c r="G200" i="1"/>
  <c r="H200" i="1"/>
  <c r="K200" i="1"/>
  <c r="F201" i="1"/>
  <c r="G201" i="1"/>
  <c r="H201" i="1"/>
  <c r="K201" i="1"/>
  <c r="F202" i="1"/>
  <c r="G202" i="1"/>
  <c r="H202" i="1"/>
  <c r="K202" i="1"/>
  <c r="F2340" i="1"/>
  <c r="G2340" i="1"/>
  <c r="H2340" i="1"/>
  <c r="K2340" i="1"/>
  <c r="F6356" i="1"/>
  <c r="G6356" i="1"/>
  <c r="H6356" i="1"/>
  <c r="K6356" i="1"/>
  <c r="F4988" i="1"/>
  <c r="G4988" i="1"/>
  <c r="H4988" i="1"/>
  <c r="K4988" i="1"/>
  <c r="F203" i="1"/>
  <c r="G203" i="1"/>
  <c r="H203" i="1"/>
  <c r="K203" i="1"/>
  <c r="F4989" i="1"/>
  <c r="G4989" i="1"/>
  <c r="H4989" i="1"/>
  <c r="K4989" i="1"/>
  <c r="F3501" i="1"/>
  <c r="G3501" i="1"/>
  <c r="H3501" i="1"/>
  <c r="K3501" i="1"/>
  <c r="F3502" i="1"/>
  <c r="G3502" i="1"/>
  <c r="H3502" i="1"/>
  <c r="K3502" i="1"/>
  <c r="F4990" i="1"/>
  <c r="G4990" i="1"/>
  <c r="H4990" i="1"/>
  <c r="K4990" i="1"/>
  <c r="F3503" i="1"/>
  <c r="G3503" i="1"/>
  <c r="H3503" i="1"/>
  <c r="K3503" i="1"/>
  <c r="F3504" i="1"/>
  <c r="G3504" i="1"/>
  <c r="H3504" i="1"/>
  <c r="K3504" i="1"/>
  <c r="F2341" i="1"/>
  <c r="G2341" i="1"/>
  <c r="H2341" i="1"/>
  <c r="K2341" i="1"/>
  <c r="F204" i="1"/>
  <c r="G204" i="1"/>
  <c r="H204" i="1"/>
  <c r="K204" i="1"/>
  <c r="F2342" i="1"/>
  <c r="G2342" i="1"/>
  <c r="H2342" i="1"/>
  <c r="K2342" i="1"/>
  <c r="F6357" i="1"/>
  <c r="G6357" i="1"/>
  <c r="H6357" i="1"/>
  <c r="K6357" i="1"/>
  <c r="F6358" i="1"/>
  <c r="G6358" i="1"/>
  <c r="H6358" i="1"/>
  <c r="K6358" i="1"/>
  <c r="F3505" i="1"/>
  <c r="G3505" i="1"/>
  <c r="H3505" i="1"/>
  <c r="K3505" i="1"/>
  <c r="F205" i="1"/>
  <c r="G205" i="1"/>
  <c r="H205" i="1"/>
  <c r="K205" i="1"/>
  <c r="F6359" i="1"/>
  <c r="G6359" i="1"/>
  <c r="H6359" i="1"/>
  <c r="K6359" i="1"/>
  <c r="F6360" i="1"/>
  <c r="G6360" i="1"/>
  <c r="H6360" i="1"/>
  <c r="K6360" i="1"/>
  <c r="F4991" i="1"/>
  <c r="G4991" i="1"/>
  <c r="H4991" i="1"/>
  <c r="K4991" i="1"/>
  <c r="F2343" i="1"/>
  <c r="G2343" i="1"/>
  <c r="H2343" i="1"/>
  <c r="K2343" i="1"/>
  <c r="F206" i="1"/>
  <c r="G206" i="1"/>
  <c r="H206" i="1"/>
  <c r="K206" i="1"/>
  <c r="F4992" i="1"/>
  <c r="G4992" i="1"/>
  <c r="H4992" i="1"/>
  <c r="K4992" i="1"/>
  <c r="F6361" i="1"/>
  <c r="G6361" i="1"/>
  <c r="H6361" i="1"/>
  <c r="K6361" i="1"/>
  <c r="F3506" i="1"/>
  <c r="G3506" i="1"/>
  <c r="H3506" i="1"/>
  <c r="K3506" i="1"/>
  <c r="F2344" i="1"/>
  <c r="G2344" i="1"/>
  <c r="H2344" i="1"/>
  <c r="K2344" i="1"/>
  <c r="F2345" i="1"/>
  <c r="G2345" i="1"/>
  <c r="H2345" i="1"/>
  <c r="K2345" i="1"/>
  <c r="F207" i="1"/>
  <c r="G207" i="1"/>
  <c r="H207" i="1"/>
  <c r="K207" i="1"/>
  <c r="F6362" i="1"/>
  <c r="G6362" i="1"/>
  <c r="H6362" i="1"/>
  <c r="K6362" i="1"/>
  <c r="F3507" i="1"/>
  <c r="G3507" i="1"/>
  <c r="H3507" i="1"/>
  <c r="K3507" i="1"/>
  <c r="F208" i="1"/>
  <c r="G208" i="1"/>
  <c r="H208" i="1"/>
  <c r="K208" i="1"/>
  <c r="F6363" i="1"/>
  <c r="G6363" i="1"/>
  <c r="H6363" i="1"/>
  <c r="K6363" i="1"/>
  <c r="F6364" i="1"/>
  <c r="G6364" i="1"/>
  <c r="H6364" i="1"/>
  <c r="K6364" i="1"/>
  <c r="F209" i="1"/>
  <c r="G209" i="1"/>
  <c r="H209" i="1"/>
  <c r="K209" i="1"/>
  <c r="F6365" i="1"/>
  <c r="G6365" i="1"/>
  <c r="H6365" i="1"/>
  <c r="K6365" i="1"/>
  <c r="F210" i="1"/>
  <c r="G210" i="1"/>
  <c r="H210" i="1"/>
  <c r="K210" i="1"/>
  <c r="F6366" i="1"/>
  <c r="G6366" i="1"/>
  <c r="H6366" i="1"/>
  <c r="K6366" i="1"/>
  <c r="F6367" i="1"/>
  <c r="G6367" i="1"/>
  <c r="H6367" i="1"/>
  <c r="K6367" i="1"/>
  <c r="F3508" i="1"/>
  <c r="G3508" i="1"/>
  <c r="H3508" i="1"/>
  <c r="K3508" i="1"/>
  <c r="F3509" i="1"/>
  <c r="G3509" i="1"/>
  <c r="H3509" i="1"/>
  <c r="K3509" i="1"/>
  <c r="F2346" i="1"/>
  <c r="G2346" i="1"/>
  <c r="H2346" i="1"/>
  <c r="K2346" i="1"/>
  <c r="F4993" i="1"/>
  <c r="G4993" i="1"/>
  <c r="H4993" i="1"/>
  <c r="K4993" i="1"/>
  <c r="F4994" i="1"/>
  <c r="G4994" i="1"/>
  <c r="H4994" i="1"/>
  <c r="K4994" i="1"/>
  <c r="F2347" i="1"/>
  <c r="G2347" i="1"/>
  <c r="H2347" i="1"/>
  <c r="K2347" i="1"/>
  <c r="F3510" i="1"/>
  <c r="G3510" i="1"/>
  <c r="H3510" i="1"/>
  <c r="K3510" i="1"/>
  <c r="F6368" i="1"/>
  <c r="G6368" i="1"/>
  <c r="H6368" i="1"/>
  <c r="K6368" i="1"/>
  <c r="F6369" i="1"/>
  <c r="G6369" i="1"/>
  <c r="H6369" i="1"/>
  <c r="K6369" i="1"/>
  <c r="F211" i="1"/>
  <c r="G211" i="1"/>
  <c r="H211" i="1"/>
  <c r="K211" i="1"/>
  <c r="F3511" i="1"/>
  <c r="G3511" i="1"/>
  <c r="H3511" i="1"/>
  <c r="K3511" i="1"/>
  <c r="F3512" i="1"/>
  <c r="G3512" i="1"/>
  <c r="H3512" i="1"/>
  <c r="K3512" i="1"/>
  <c r="F6370" i="1"/>
  <c r="G6370" i="1"/>
  <c r="H6370" i="1"/>
  <c r="K6370" i="1"/>
  <c r="F4995" i="1"/>
  <c r="G4995" i="1"/>
  <c r="H4995" i="1"/>
  <c r="K4995" i="1"/>
  <c r="F6371" i="1"/>
  <c r="G6371" i="1"/>
  <c r="H6371" i="1"/>
  <c r="K6371" i="1"/>
  <c r="F3513" i="1"/>
  <c r="G3513" i="1"/>
  <c r="H3513" i="1"/>
  <c r="K3513" i="1"/>
  <c r="F4996" i="1"/>
  <c r="G4996" i="1"/>
  <c r="H4996" i="1"/>
  <c r="K4996" i="1"/>
  <c r="F212" i="1"/>
  <c r="G212" i="1"/>
  <c r="H212" i="1"/>
  <c r="K212" i="1"/>
  <c r="F4997" i="1"/>
  <c r="G4997" i="1"/>
  <c r="H4997" i="1"/>
  <c r="K4997" i="1"/>
  <c r="F4998" i="1"/>
  <c r="G4998" i="1"/>
  <c r="H4998" i="1"/>
  <c r="K4998" i="1"/>
  <c r="F6372" i="1"/>
  <c r="G6372" i="1"/>
  <c r="H6372" i="1"/>
  <c r="K6372" i="1"/>
  <c r="F213" i="1"/>
  <c r="G213" i="1"/>
  <c r="H213" i="1"/>
  <c r="K213" i="1"/>
  <c r="F214" i="1"/>
  <c r="G214" i="1"/>
  <c r="H214" i="1"/>
  <c r="K214" i="1"/>
  <c r="F215" i="1"/>
  <c r="G215" i="1"/>
  <c r="H215" i="1"/>
  <c r="K215" i="1"/>
  <c r="F6373" i="1"/>
  <c r="G6373" i="1"/>
  <c r="H6373" i="1"/>
  <c r="K6373" i="1"/>
  <c r="F4999" i="1"/>
  <c r="G4999" i="1"/>
  <c r="H4999" i="1"/>
  <c r="K4999" i="1"/>
  <c r="F5000" i="1"/>
  <c r="G5000" i="1"/>
  <c r="H5000" i="1"/>
  <c r="K5000" i="1"/>
  <c r="F5001" i="1"/>
  <c r="G5001" i="1"/>
  <c r="H5001" i="1"/>
  <c r="K5001" i="1"/>
  <c r="F5002" i="1"/>
  <c r="G5002" i="1"/>
  <c r="H5002" i="1"/>
  <c r="K5002" i="1"/>
  <c r="F5003" i="1"/>
  <c r="G5003" i="1"/>
  <c r="H5003" i="1"/>
  <c r="K5003" i="1"/>
  <c r="F5004" i="1"/>
  <c r="G5004" i="1"/>
  <c r="H5004" i="1"/>
  <c r="K5004" i="1"/>
  <c r="F5005" i="1"/>
  <c r="G5005" i="1"/>
  <c r="H5005" i="1"/>
  <c r="K5005" i="1"/>
  <c r="F6374" i="1"/>
  <c r="G6374" i="1"/>
  <c r="H6374" i="1"/>
  <c r="K6374" i="1"/>
  <c r="F3514" i="1"/>
  <c r="G3514" i="1"/>
  <c r="H3514" i="1"/>
  <c r="K3514" i="1"/>
  <c r="F3515" i="1"/>
  <c r="G3515" i="1"/>
  <c r="H3515" i="1"/>
  <c r="K3515" i="1"/>
  <c r="F2348" i="1"/>
  <c r="G2348" i="1"/>
  <c r="H2348" i="1"/>
  <c r="K2348" i="1"/>
  <c r="F3516" i="1"/>
  <c r="G3516" i="1"/>
  <c r="H3516" i="1"/>
  <c r="K3516" i="1"/>
  <c r="F3517" i="1"/>
  <c r="G3517" i="1"/>
  <c r="H3517" i="1"/>
  <c r="K3517" i="1"/>
  <c r="F2349" i="1"/>
  <c r="G2349" i="1"/>
  <c r="H2349" i="1"/>
  <c r="K2349" i="1"/>
  <c r="F216" i="1"/>
  <c r="G216" i="1"/>
  <c r="H216" i="1"/>
  <c r="K216" i="1"/>
  <c r="F217" i="1"/>
  <c r="G217" i="1"/>
  <c r="H217" i="1"/>
  <c r="K217" i="1"/>
  <c r="F218" i="1"/>
  <c r="G218" i="1"/>
  <c r="H218" i="1"/>
  <c r="K218" i="1"/>
  <c r="F219" i="1"/>
  <c r="G219" i="1"/>
  <c r="H219" i="1"/>
  <c r="K219" i="1"/>
  <c r="F220" i="1"/>
  <c r="G220" i="1"/>
  <c r="H220" i="1"/>
  <c r="K220" i="1"/>
  <c r="F221" i="1"/>
  <c r="G221" i="1"/>
  <c r="H221" i="1"/>
  <c r="K221" i="1"/>
  <c r="F222" i="1"/>
  <c r="G222" i="1"/>
  <c r="H222" i="1"/>
  <c r="K222" i="1"/>
  <c r="F223" i="1"/>
  <c r="G223" i="1"/>
  <c r="H223" i="1"/>
  <c r="K223" i="1"/>
  <c r="F224" i="1"/>
  <c r="G224" i="1"/>
  <c r="H224" i="1"/>
  <c r="K224" i="1"/>
  <c r="F225" i="1"/>
  <c r="G225" i="1"/>
  <c r="H225" i="1"/>
  <c r="K225" i="1"/>
  <c r="F226" i="1"/>
  <c r="G226" i="1"/>
  <c r="H226" i="1"/>
  <c r="K226" i="1"/>
  <c r="F227" i="1"/>
  <c r="G227" i="1"/>
  <c r="H227" i="1"/>
  <c r="K227" i="1"/>
  <c r="F2350" i="1"/>
  <c r="G2350" i="1"/>
  <c r="H2350" i="1"/>
  <c r="K2350" i="1"/>
  <c r="F2351" i="1"/>
  <c r="G2351" i="1"/>
  <c r="H2351" i="1"/>
  <c r="K2351" i="1"/>
  <c r="F3518" i="1"/>
  <c r="G3518" i="1"/>
  <c r="H3518" i="1"/>
  <c r="K3518" i="1"/>
  <c r="F228" i="1"/>
  <c r="G228" i="1"/>
  <c r="H228" i="1"/>
  <c r="K228" i="1"/>
  <c r="F6375" i="1"/>
  <c r="G6375" i="1"/>
  <c r="H6375" i="1"/>
  <c r="K6375" i="1"/>
  <c r="F5006" i="1"/>
  <c r="G5006" i="1"/>
  <c r="H5006" i="1"/>
  <c r="K5006" i="1"/>
  <c r="F2352" i="1"/>
  <c r="G2352" i="1"/>
  <c r="H2352" i="1"/>
  <c r="K2352" i="1"/>
  <c r="F229" i="1"/>
  <c r="G229" i="1"/>
  <c r="H229" i="1"/>
  <c r="K229" i="1"/>
  <c r="F3519" i="1"/>
  <c r="G3519" i="1"/>
  <c r="H3519" i="1"/>
  <c r="K3519" i="1"/>
  <c r="F230" i="1"/>
  <c r="G230" i="1"/>
  <c r="H230" i="1"/>
  <c r="K230" i="1"/>
  <c r="F3520" i="1"/>
  <c r="G3520" i="1"/>
  <c r="H3520" i="1"/>
  <c r="K3520" i="1"/>
  <c r="F3521" i="1"/>
  <c r="G3521" i="1"/>
  <c r="H3521" i="1"/>
  <c r="K3521" i="1"/>
  <c r="F6376" i="1"/>
  <c r="G6376" i="1"/>
  <c r="H6376" i="1"/>
  <c r="K6376" i="1"/>
  <c r="F6377" i="1"/>
  <c r="G6377" i="1"/>
  <c r="H6377" i="1"/>
  <c r="K6377" i="1"/>
  <c r="F5007" i="1"/>
  <c r="G5007" i="1"/>
  <c r="H5007" i="1"/>
  <c r="K5007" i="1"/>
  <c r="F6378" i="1"/>
  <c r="G6378" i="1"/>
  <c r="H6378" i="1"/>
  <c r="K6378" i="1"/>
  <c r="F231" i="1"/>
  <c r="G231" i="1"/>
  <c r="H231" i="1"/>
  <c r="K231" i="1"/>
  <c r="F2353" i="1"/>
  <c r="G2353" i="1"/>
  <c r="H2353" i="1"/>
  <c r="K2353" i="1"/>
  <c r="F5008" i="1"/>
  <c r="G5008" i="1"/>
  <c r="H5008" i="1"/>
  <c r="K5008" i="1"/>
  <c r="F6379" i="1"/>
  <c r="G6379" i="1"/>
  <c r="H6379" i="1"/>
  <c r="K6379" i="1"/>
  <c r="F5009" i="1"/>
  <c r="G5009" i="1"/>
  <c r="H5009" i="1"/>
  <c r="K5009" i="1"/>
  <c r="F6380" i="1"/>
  <c r="G6380" i="1"/>
  <c r="H6380" i="1"/>
  <c r="K6380" i="1"/>
  <c r="F6381" i="1"/>
  <c r="G6381" i="1"/>
  <c r="H6381" i="1"/>
  <c r="K6381" i="1"/>
  <c r="F6382" i="1"/>
  <c r="G6382" i="1"/>
  <c r="H6382" i="1"/>
  <c r="K6382" i="1"/>
  <c r="F232" i="1"/>
  <c r="G232" i="1"/>
  <c r="H232" i="1"/>
  <c r="K232" i="1"/>
  <c r="F233" i="1"/>
  <c r="G233" i="1"/>
  <c r="H233" i="1"/>
  <c r="K233" i="1"/>
  <c r="F234" i="1"/>
  <c r="G234" i="1"/>
  <c r="H234" i="1"/>
  <c r="K234" i="1"/>
  <c r="F2354" i="1"/>
  <c r="G2354" i="1"/>
  <c r="H2354" i="1"/>
  <c r="K2354" i="1"/>
  <c r="F235" i="1"/>
  <c r="G235" i="1"/>
  <c r="H235" i="1"/>
  <c r="K235" i="1"/>
  <c r="F236" i="1"/>
  <c r="G236" i="1"/>
  <c r="H236" i="1"/>
  <c r="K236" i="1"/>
  <c r="F3522" i="1"/>
  <c r="G3522" i="1"/>
  <c r="H3522" i="1"/>
  <c r="K3522" i="1"/>
  <c r="F237" i="1"/>
  <c r="G237" i="1"/>
  <c r="H237" i="1"/>
  <c r="K237" i="1"/>
  <c r="F238" i="1"/>
  <c r="G238" i="1"/>
  <c r="H238" i="1"/>
  <c r="K238" i="1"/>
  <c r="F5010" i="1"/>
  <c r="G5010" i="1"/>
  <c r="H5010" i="1"/>
  <c r="K5010" i="1"/>
  <c r="F239" i="1"/>
  <c r="G239" i="1"/>
  <c r="H239" i="1"/>
  <c r="K239" i="1"/>
  <c r="F6383" i="1"/>
  <c r="G6383" i="1"/>
  <c r="H6383" i="1"/>
  <c r="K6383" i="1"/>
  <c r="F2355" i="1"/>
  <c r="G2355" i="1"/>
  <c r="H2355" i="1"/>
  <c r="K2355" i="1"/>
  <c r="F240" i="1"/>
  <c r="G240" i="1"/>
  <c r="H240" i="1"/>
  <c r="K240" i="1"/>
  <c r="F2356" i="1"/>
  <c r="G2356" i="1"/>
  <c r="H2356" i="1"/>
  <c r="K2356" i="1"/>
  <c r="F2357" i="1"/>
  <c r="G2357" i="1"/>
  <c r="H2357" i="1"/>
  <c r="K2357" i="1"/>
  <c r="F6384" i="1"/>
  <c r="G6384" i="1"/>
  <c r="H6384" i="1"/>
  <c r="K6384" i="1"/>
  <c r="F241" i="1"/>
  <c r="G241" i="1"/>
  <c r="H241" i="1"/>
  <c r="K241" i="1"/>
  <c r="F242" i="1"/>
  <c r="G242" i="1"/>
  <c r="H242" i="1"/>
  <c r="K242" i="1"/>
  <c r="F6385" i="1"/>
  <c r="G6385" i="1"/>
  <c r="H6385" i="1"/>
  <c r="K6385" i="1"/>
  <c r="F3523" i="1"/>
  <c r="G3523" i="1"/>
  <c r="H3523" i="1"/>
  <c r="K3523" i="1"/>
  <c r="F3524" i="1"/>
  <c r="G3524" i="1"/>
  <c r="H3524" i="1"/>
  <c r="K3524" i="1"/>
  <c r="F2358" i="1"/>
  <c r="G2358" i="1"/>
  <c r="H2358" i="1"/>
  <c r="K2358" i="1"/>
  <c r="F3525" i="1"/>
  <c r="G3525" i="1"/>
  <c r="H3525" i="1"/>
  <c r="K3525" i="1"/>
  <c r="F3526" i="1"/>
  <c r="G3526" i="1"/>
  <c r="H3526" i="1"/>
  <c r="K3526" i="1"/>
  <c r="F3527" i="1"/>
  <c r="G3527" i="1"/>
  <c r="H3527" i="1"/>
  <c r="K3527" i="1"/>
  <c r="F3528" i="1"/>
  <c r="G3528" i="1"/>
  <c r="H3528" i="1"/>
  <c r="K3528" i="1"/>
  <c r="F5011" i="1"/>
  <c r="G5011" i="1"/>
  <c r="H5011" i="1"/>
  <c r="K5011" i="1"/>
  <c r="F6386" i="1"/>
  <c r="G6386" i="1"/>
  <c r="H6386" i="1"/>
  <c r="K6386" i="1"/>
  <c r="F6387" i="1"/>
  <c r="G6387" i="1"/>
  <c r="H6387" i="1"/>
  <c r="K6387" i="1"/>
  <c r="F3529" i="1"/>
  <c r="G3529" i="1"/>
  <c r="H3529" i="1"/>
  <c r="K3529" i="1"/>
  <c r="F3530" i="1"/>
  <c r="G3530" i="1"/>
  <c r="H3530" i="1"/>
  <c r="K3530" i="1"/>
  <c r="F3531" i="1"/>
  <c r="G3531" i="1"/>
  <c r="H3531" i="1"/>
  <c r="K3531" i="1"/>
  <c r="F2359" i="1"/>
  <c r="G2359" i="1"/>
  <c r="H2359" i="1"/>
  <c r="K2359" i="1"/>
  <c r="F243" i="1"/>
  <c r="G243" i="1"/>
  <c r="H243" i="1"/>
  <c r="K243" i="1"/>
  <c r="F3532" i="1"/>
  <c r="G3532" i="1"/>
  <c r="H3532" i="1"/>
  <c r="K3532" i="1"/>
  <c r="F6388" i="1"/>
  <c r="G6388" i="1"/>
  <c r="H6388" i="1"/>
  <c r="K6388" i="1"/>
  <c r="F3533" i="1"/>
  <c r="G3533" i="1"/>
  <c r="H3533" i="1"/>
  <c r="K3533" i="1"/>
  <c r="F6389" i="1"/>
  <c r="G6389" i="1"/>
  <c r="H6389" i="1"/>
  <c r="K6389" i="1"/>
  <c r="F244" i="1"/>
  <c r="G244" i="1"/>
  <c r="H244" i="1"/>
  <c r="K244" i="1"/>
  <c r="F245" i="1"/>
  <c r="G245" i="1"/>
  <c r="H245" i="1"/>
  <c r="K245" i="1"/>
  <c r="F5012" i="1"/>
  <c r="G5012" i="1"/>
  <c r="H5012" i="1"/>
  <c r="K5012" i="1"/>
  <c r="F246" i="1"/>
  <c r="G246" i="1"/>
  <c r="H246" i="1"/>
  <c r="K246" i="1"/>
  <c r="F3534" i="1"/>
  <c r="G3534" i="1"/>
  <c r="H3534" i="1"/>
  <c r="K3534" i="1"/>
  <c r="F3535" i="1"/>
  <c r="G3535" i="1"/>
  <c r="H3535" i="1"/>
  <c r="K3535" i="1"/>
  <c r="F247" i="1"/>
  <c r="G247" i="1"/>
  <c r="H247" i="1"/>
  <c r="K247" i="1"/>
  <c r="F248" i="1"/>
  <c r="G248" i="1"/>
  <c r="H248" i="1"/>
  <c r="K248" i="1"/>
  <c r="F249" i="1"/>
  <c r="G249" i="1"/>
  <c r="H249" i="1"/>
  <c r="K249" i="1"/>
  <c r="F250" i="1"/>
  <c r="G250" i="1"/>
  <c r="H250" i="1"/>
  <c r="K250" i="1"/>
  <c r="F251" i="1"/>
  <c r="G251" i="1"/>
  <c r="H251" i="1"/>
  <c r="K251" i="1"/>
  <c r="F3536" i="1"/>
  <c r="G3536" i="1"/>
  <c r="H3536" i="1"/>
  <c r="K3536" i="1"/>
  <c r="F252" i="1"/>
  <c r="G252" i="1"/>
  <c r="H252" i="1"/>
  <c r="K252" i="1"/>
  <c r="F3537" i="1"/>
  <c r="G3537" i="1"/>
  <c r="H3537" i="1"/>
  <c r="K3537" i="1"/>
  <c r="F253" i="1"/>
  <c r="G253" i="1"/>
  <c r="H253" i="1"/>
  <c r="K253" i="1"/>
  <c r="F254" i="1"/>
  <c r="G254" i="1"/>
  <c r="H254" i="1"/>
  <c r="K254" i="1"/>
  <c r="F3538" i="1"/>
  <c r="G3538" i="1"/>
  <c r="H3538" i="1"/>
  <c r="K3538" i="1"/>
  <c r="F255" i="1"/>
  <c r="G255" i="1"/>
  <c r="H255" i="1"/>
  <c r="K255" i="1"/>
  <c r="F6390" i="1"/>
  <c r="G6390" i="1"/>
  <c r="H6390" i="1"/>
  <c r="K6390" i="1"/>
  <c r="F3539" i="1"/>
  <c r="G3539" i="1"/>
  <c r="H3539" i="1"/>
  <c r="K3539" i="1"/>
  <c r="F2360" i="1"/>
  <c r="G2360" i="1"/>
  <c r="H2360" i="1"/>
  <c r="K2360" i="1"/>
  <c r="F2361" i="1"/>
  <c r="G2361" i="1"/>
  <c r="H2361" i="1"/>
  <c r="K2361" i="1"/>
  <c r="F256" i="1"/>
  <c r="G256" i="1"/>
  <c r="H256" i="1"/>
  <c r="K256" i="1"/>
  <c r="F5013" i="1"/>
  <c r="G5013" i="1"/>
  <c r="H5013" i="1"/>
  <c r="K5013" i="1"/>
  <c r="F5014" i="1"/>
  <c r="G5014" i="1"/>
  <c r="H5014" i="1"/>
  <c r="K5014" i="1"/>
  <c r="F3540" i="1"/>
  <c r="G3540" i="1"/>
  <c r="H3540" i="1"/>
  <c r="K3540" i="1"/>
  <c r="F6391" i="1"/>
  <c r="G6391" i="1"/>
  <c r="H6391" i="1"/>
  <c r="K6391" i="1"/>
  <c r="F257" i="1"/>
  <c r="G257" i="1"/>
  <c r="H257" i="1"/>
  <c r="K257" i="1"/>
  <c r="F3541" i="1"/>
  <c r="G3541" i="1"/>
  <c r="H3541" i="1"/>
  <c r="K3541" i="1"/>
  <c r="F6392" i="1"/>
  <c r="G6392" i="1"/>
  <c r="H6392" i="1"/>
  <c r="K6392" i="1"/>
  <c r="F5015" i="1"/>
  <c r="G5015" i="1"/>
  <c r="H5015" i="1"/>
  <c r="K5015" i="1"/>
  <c r="F3542" i="1"/>
  <c r="G3542" i="1"/>
  <c r="H3542" i="1"/>
  <c r="K3542" i="1"/>
  <c r="F3543" i="1"/>
  <c r="G3543" i="1"/>
  <c r="H3543" i="1"/>
  <c r="K3543" i="1"/>
  <c r="F2362" i="1"/>
  <c r="G2362" i="1"/>
  <c r="H2362" i="1"/>
  <c r="K2362" i="1"/>
  <c r="F258" i="1"/>
  <c r="G258" i="1"/>
  <c r="H258" i="1"/>
  <c r="K258" i="1"/>
  <c r="F259" i="1"/>
  <c r="G259" i="1"/>
  <c r="H259" i="1"/>
  <c r="K259" i="1"/>
  <c r="F260" i="1"/>
  <c r="G260" i="1"/>
  <c r="H260" i="1"/>
  <c r="K260" i="1"/>
  <c r="F261" i="1"/>
  <c r="G261" i="1"/>
  <c r="H261" i="1"/>
  <c r="K261" i="1"/>
  <c r="F262" i="1"/>
  <c r="G262" i="1"/>
  <c r="H262" i="1"/>
  <c r="K262" i="1"/>
  <c r="F3544" i="1"/>
  <c r="G3544" i="1"/>
  <c r="H3544" i="1"/>
  <c r="K3544" i="1"/>
  <c r="F5016" i="1"/>
  <c r="G5016" i="1"/>
  <c r="H5016" i="1"/>
  <c r="K5016" i="1"/>
  <c r="F5017" i="1"/>
  <c r="G5017" i="1"/>
  <c r="H5017" i="1"/>
  <c r="K5017" i="1"/>
  <c r="F263" i="1"/>
  <c r="G263" i="1"/>
  <c r="H263" i="1"/>
  <c r="K263" i="1"/>
  <c r="F6393" i="1"/>
  <c r="G6393" i="1"/>
  <c r="H6393" i="1"/>
  <c r="K6393" i="1"/>
  <c r="F5018" i="1"/>
  <c r="G5018" i="1"/>
  <c r="H5018" i="1"/>
  <c r="K5018" i="1"/>
  <c r="F3545" i="1"/>
  <c r="G3545" i="1"/>
  <c r="H3545" i="1"/>
  <c r="K3545" i="1"/>
  <c r="F264" i="1"/>
  <c r="G264" i="1"/>
  <c r="H264" i="1"/>
  <c r="K264" i="1"/>
  <c r="F6394" i="1"/>
  <c r="G6394" i="1"/>
  <c r="H6394" i="1"/>
  <c r="K6394" i="1"/>
  <c r="F5019" i="1"/>
  <c r="G5019" i="1"/>
  <c r="H5019" i="1"/>
  <c r="K5019" i="1"/>
  <c r="F265" i="1"/>
  <c r="G265" i="1"/>
  <c r="H265" i="1"/>
  <c r="K265" i="1"/>
  <c r="F2363" i="1"/>
  <c r="G2363" i="1"/>
  <c r="H2363" i="1"/>
  <c r="K2363" i="1"/>
  <c r="F5020" i="1"/>
  <c r="G5020" i="1"/>
  <c r="H5020" i="1"/>
  <c r="K5020" i="1"/>
  <c r="F2364" i="1"/>
  <c r="G2364" i="1"/>
  <c r="H2364" i="1"/>
  <c r="K2364" i="1"/>
  <c r="F5021" i="1"/>
  <c r="G5021" i="1"/>
  <c r="H5021" i="1"/>
  <c r="K5021" i="1"/>
  <c r="F2365" i="1"/>
  <c r="G2365" i="1"/>
  <c r="H2365" i="1"/>
  <c r="K2365" i="1"/>
  <c r="F2366" i="1"/>
  <c r="G2366" i="1"/>
  <c r="H2366" i="1"/>
  <c r="K2366" i="1"/>
  <c r="F3546" i="1"/>
  <c r="G3546" i="1"/>
  <c r="H3546" i="1"/>
  <c r="K3546" i="1"/>
  <c r="F6395" i="1"/>
  <c r="G6395" i="1"/>
  <c r="H6395" i="1"/>
  <c r="K6395" i="1"/>
  <c r="F5022" i="1"/>
  <c r="G5022" i="1"/>
  <c r="H5022" i="1"/>
  <c r="K5022" i="1"/>
  <c r="F6396" i="1"/>
  <c r="G6396" i="1"/>
  <c r="H6396" i="1"/>
  <c r="K6396" i="1"/>
  <c r="F6397" i="1"/>
  <c r="G6397" i="1"/>
  <c r="H6397" i="1"/>
  <c r="K6397" i="1"/>
  <c r="F6398" i="1"/>
  <c r="G6398" i="1"/>
  <c r="H6398" i="1"/>
  <c r="K6398" i="1"/>
  <c r="F2367" i="1"/>
  <c r="G2367" i="1"/>
  <c r="H2367" i="1"/>
  <c r="K2367" i="1"/>
  <c r="F3547" i="1"/>
  <c r="G3547" i="1"/>
  <c r="H3547" i="1"/>
  <c r="K3547" i="1"/>
  <c r="F2368" i="1"/>
  <c r="G2368" i="1"/>
  <c r="H2368" i="1"/>
  <c r="K2368" i="1"/>
  <c r="F2369" i="1"/>
  <c r="G2369" i="1"/>
  <c r="H2369" i="1"/>
  <c r="K2369" i="1"/>
  <c r="F5023" i="1"/>
  <c r="G5023" i="1"/>
  <c r="H5023" i="1"/>
  <c r="K5023" i="1"/>
  <c r="F266" i="1"/>
  <c r="G266" i="1"/>
  <c r="H266" i="1"/>
  <c r="K266" i="1"/>
  <c r="F3548" i="1"/>
  <c r="G3548" i="1"/>
  <c r="H3548" i="1"/>
  <c r="K3548" i="1"/>
  <c r="F3549" i="1"/>
  <c r="G3549" i="1"/>
  <c r="H3549" i="1"/>
  <c r="K3549" i="1"/>
  <c r="F6399" i="1"/>
  <c r="G6399" i="1"/>
  <c r="H6399" i="1"/>
  <c r="K6399" i="1"/>
  <c r="F5024" i="1"/>
  <c r="G5024" i="1"/>
  <c r="H5024" i="1"/>
  <c r="K5024" i="1"/>
  <c r="F2370" i="1"/>
  <c r="G2370" i="1"/>
  <c r="H2370" i="1"/>
  <c r="K2370" i="1"/>
  <c r="F2371" i="1"/>
  <c r="G2371" i="1"/>
  <c r="H2371" i="1"/>
  <c r="K2371" i="1"/>
  <c r="F3550" i="1"/>
  <c r="G3550" i="1"/>
  <c r="H3550" i="1"/>
  <c r="K3550" i="1"/>
  <c r="F3551" i="1"/>
  <c r="G3551" i="1"/>
  <c r="H3551" i="1"/>
  <c r="K3551" i="1"/>
  <c r="F2372" i="1"/>
  <c r="G2372" i="1"/>
  <c r="H2372" i="1"/>
  <c r="K2372" i="1"/>
  <c r="F2373" i="1"/>
  <c r="G2373" i="1"/>
  <c r="H2373" i="1"/>
  <c r="K2373" i="1"/>
  <c r="F6400" i="1"/>
  <c r="G6400" i="1"/>
  <c r="H6400" i="1"/>
  <c r="K6400" i="1"/>
  <c r="F267" i="1"/>
  <c r="G267" i="1"/>
  <c r="H267" i="1"/>
  <c r="K267" i="1"/>
  <c r="F3552" i="1"/>
  <c r="G3552" i="1"/>
  <c r="H3552" i="1"/>
  <c r="K3552" i="1"/>
  <c r="F6401" i="1"/>
  <c r="G6401" i="1"/>
  <c r="H6401" i="1"/>
  <c r="K6401" i="1"/>
  <c r="F3553" i="1"/>
  <c r="G3553" i="1"/>
  <c r="H3553" i="1"/>
  <c r="K3553" i="1"/>
  <c r="F3554" i="1"/>
  <c r="G3554" i="1"/>
  <c r="H3554" i="1"/>
  <c r="K3554" i="1"/>
  <c r="F3555" i="1"/>
  <c r="G3555" i="1"/>
  <c r="H3555" i="1"/>
  <c r="K3555" i="1"/>
  <c r="F3556" i="1"/>
  <c r="G3556" i="1"/>
  <c r="H3556" i="1"/>
  <c r="K3556" i="1"/>
  <c r="F2374" i="1"/>
  <c r="G2374" i="1"/>
  <c r="H2374" i="1"/>
  <c r="K2374" i="1"/>
  <c r="F6402" i="1"/>
  <c r="G6402" i="1"/>
  <c r="H6402" i="1"/>
  <c r="K6402" i="1"/>
  <c r="F268" i="1"/>
  <c r="G268" i="1"/>
  <c r="H268" i="1"/>
  <c r="K268" i="1"/>
  <c r="F269" i="1"/>
  <c r="G269" i="1"/>
  <c r="H269" i="1"/>
  <c r="K269" i="1"/>
  <c r="F270" i="1"/>
  <c r="G270" i="1"/>
  <c r="H270" i="1"/>
  <c r="K270" i="1"/>
  <c r="F3557" i="1"/>
  <c r="G3557" i="1"/>
  <c r="H3557" i="1"/>
  <c r="K3557" i="1"/>
  <c r="F2375" i="1"/>
  <c r="G2375" i="1"/>
  <c r="H2375" i="1"/>
  <c r="K2375" i="1"/>
  <c r="F5025" i="1"/>
  <c r="G5025" i="1"/>
  <c r="H5025" i="1"/>
  <c r="K5025" i="1"/>
  <c r="F271" i="1"/>
  <c r="G271" i="1"/>
  <c r="H271" i="1"/>
  <c r="K271" i="1"/>
  <c r="F3558" i="1"/>
  <c r="G3558" i="1"/>
  <c r="H3558" i="1"/>
  <c r="K3558" i="1"/>
  <c r="F272" i="1"/>
  <c r="G272" i="1"/>
  <c r="H272" i="1"/>
  <c r="K272" i="1"/>
  <c r="F5026" i="1"/>
  <c r="G5026" i="1"/>
  <c r="H5026" i="1"/>
  <c r="K5026" i="1"/>
  <c r="F3559" i="1"/>
  <c r="G3559" i="1"/>
  <c r="H3559" i="1"/>
  <c r="K3559" i="1"/>
  <c r="F3560" i="1"/>
  <c r="G3560" i="1"/>
  <c r="H3560" i="1"/>
  <c r="K3560" i="1"/>
  <c r="F3561" i="1"/>
  <c r="G3561" i="1"/>
  <c r="H3561" i="1"/>
  <c r="K3561" i="1"/>
  <c r="F2376" i="1"/>
  <c r="G2376" i="1"/>
  <c r="H2376" i="1"/>
  <c r="K2376" i="1"/>
  <c r="F273" i="1"/>
  <c r="G273" i="1"/>
  <c r="H273" i="1"/>
  <c r="K273" i="1"/>
  <c r="F6403" i="1"/>
  <c r="G6403" i="1"/>
  <c r="H6403" i="1"/>
  <c r="K6403" i="1"/>
  <c r="F6404" i="1"/>
  <c r="G6404" i="1"/>
  <c r="H6404" i="1"/>
  <c r="K6404" i="1"/>
  <c r="F5027" i="1"/>
  <c r="G5027" i="1"/>
  <c r="H5027" i="1"/>
  <c r="K5027" i="1"/>
  <c r="F5028" i="1"/>
  <c r="G5028" i="1"/>
  <c r="H5028" i="1"/>
  <c r="K5028" i="1"/>
  <c r="F3562" i="1"/>
  <c r="G3562" i="1"/>
  <c r="H3562" i="1"/>
  <c r="K3562" i="1"/>
  <c r="F3563" i="1"/>
  <c r="G3563" i="1"/>
  <c r="H3563" i="1"/>
  <c r="K3563" i="1"/>
  <c r="F3564" i="1"/>
  <c r="G3564" i="1"/>
  <c r="H3564" i="1"/>
  <c r="K3564" i="1"/>
  <c r="F6405" i="1"/>
  <c r="G6405" i="1"/>
  <c r="H6405" i="1"/>
  <c r="K6405" i="1"/>
  <c r="F6406" i="1"/>
  <c r="G6406" i="1"/>
  <c r="H6406" i="1"/>
  <c r="K6406" i="1"/>
  <c r="F6407" i="1"/>
  <c r="G6407" i="1"/>
  <c r="H6407" i="1"/>
  <c r="K6407" i="1"/>
  <c r="F3565" i="1"/>
  <c r="G3565" i="1"/>
  <c r="H3565" i="1"/>
  <c r="K3565" i="1"/>
  <c r="F3566" i="1"/>
  <c r="G3566" i="1"/>
  <c r="H3566" i="1"/>
  <c r="K3566" i="1"/>
  <c r="F3567" i="1"/>
  <c r="G3567" i="1"/>
  <c r="H3567" i="1"/>
  <c r="K3567" i="1"/>
  <c r="F3568" i="1"/>
  <c r="G3568" i="1"/>
  <c r="H3568" i="1"/>
  <c r="K3568" i="1"/>
  <c r="F3569" i="1"/>
  <c r="G3569" i="1"/>
  <c r="H3569" i="1"/>
  <c r="K3569" i="1"/>
  <c r="F3570" i="1"/>
  <c r="G3570" i="1"/>
  <c r="H3570" i="1"/>
  <c r="K3570" i="1"/>
  <c r="F5029" i="1"/>
  <c r="G5029" i="1"/>
  <c r="H5029" i="1"/>
  <c r="K5029" i="1"/>
  <c r="F5030" i="1"/>
  <c r="G5030" i="1"/>
  <c r="H5030" i="1"/>
  <c r="K5030" i="1"/>
  <c r="F274" i="1"/>
  <c r="G274" i="1"/>
  <c r="H274" i="1"/>
  <c r="K274" i="1"/>
  <c r="F6408" i="1"/>
  <c r="G6408" i="1"/>
  <c r="H6408" i="1"/>
  <c r="K6408" i="1"/>
  <c r="F5031" i="1"/>
  <c r="G5031" i="1"/>
  <c r="H5031" i="1"/>
  <c r="K5031" i="1"/>
  <c r="F5032" i="1"/>
  <c r="G5032" i="1"/>
  <c r="H5032" i="1"/>
  <c r="K5032" i="1"/>
  <c r="F275" i="1"/>
  <c r="G275" i="1"/>
  <c r="H275" i="1"/>
  <c r="K275" i="1"/>
  <c r="F2377" i="1"/>
  <c r="G2377" i="1"/>
  <c r="H2377" i="1"/>
  <c r="K2377" i="1"/>
  <c r="F6409" i="1"/>
  <c r="G6409" i="1"/>
  <c r="H6409" i="1"/>
  <c r="K6409" i="1"/>
  <c r="F276" i="1"/>
  <c r="G276" i="1"/>
  <c r="H276" i="1"/>
  <c r="K276" i="1"/>
  <c r="F6410" i="1"/>
  <c r="G6410" i="1"/>
  <c r="H6410" i="1"/>
  <c r="K6410" i="1"/>
  <c r="F5033" i="1"/>
  <c r="G5033" i="1"/>
  <c r="H5033" i="1"/>
  <c r="K5033" i="1"/>
  <c r="F277" i="1"/>
  <c r="G277" i="1"/>
  <c r="H277" i="1"/>
  <c r="K277" i="1"/>
  <c r="F278" i="1"/>
  <c r="G278" i="1"/>
  <c r="H278" i="1"/>
  <c r="K278" i="1"/>
  <c r="F279" i="1"/>
  <c r="G279" i="1"/>
  <c r="H279" i="1"/>
  <c r="K279" i="1"/>
  <c r="F5034" i="1"/>
  <c r="G5034" i="1"/>
  <c r="H5034" i="1"/>
  <c r="K5034" i="1"/>
  <c r="F2378" i="1"/>
  <c r="G2378" i="1"/>
  <c r="H2378" i="1"/>
  <c r="K2378" i="1"/>
  <c r="F3571" i="1"/>
  <c r="G3571" i="1"/>
  <c r="H3571" i="1"/>
  <c r="K3571" i="1"/>
  <c r="F280" i="1"/>
  <c r="G280" i="1"/>
  <c r="H280" i="1"/>
  <c r="K280" i="1"/>
  <c r="F281" i="1"/>
  <c r="G281" i="1"/>
  <c r="H281" i="1"/>
  <c r="K281" i="1"/>
  <c r="F6411" i="1"/>
  <c r="G6411" i="1"/>
  <c r="H6411" i="1"/>
  <c r="K6411" i="1"/>
  <c r="F282" i="1"/>
  <c r="G282" i="1"/>
  <c r="H282" i="1"/>
  <c r="K282" i="1"/>
  <c r="F283" i="1"/>
  <c r="G283" i="1"/>
  <c r="H283" i="1"/>
  <c r="K283" i="1"/>
  <c r="F284" i="1"/>
  <c r="G284" i="1"/>
  <c r="H284" i="1"/>
  <c r="K284" i="1"/>
  <c r="F285" i="1"/>
  <c r="G285" i="1"/>
  <c r="H285" i="1"/>
  <c r="K285" i="1"/>
  <c r="F3572" i="1"/>
  <c r="G3572" i="1"/>
  <c r="H3572" i="1"/>
  <c r="K3572" i="1"/>
  <c r="F3573" i="1"/>
  <c r="G3573" i="1"/>
  <c r="H3573" i="1"/>
  <c r="K3573" i="1"/>
  <c r="F3574" i="1"/>
  <c r="G3574" i="1"/>
  <c r="H3574" i="1"/>
  <c r="K3574" i="1"/>
  <c r="F3575" i="1"/>
  <c r="G3575" i="1"/>
  <c r="H3575" i="1"/>
  <c r="K3575" i="1"/>
  <c r="F3576" i="1"/>
  <c r="G3576" i="1"/>
  <c r="H3576" i="1"/>
  <c r="K3576" i="1"/>
  <c r="F3577" i="1"/>
  <c r="G3577" i="1"/>
  <c r="H3577" i="1"/>
  <c r="K3577" i="1"/>
  <c r="F3578" i="1"/>
  <c r="G3578" i="1"/>
  <c r="H3578" i="1"/>
  <c r="K3578" i="1"/>
  <c r="F3579" i="1"/>
  <c r="G3579" i="1"/>
  <c r="H3579" i="1"/>
  <c r="K3579" i="1"/>
  <c r="F3580" i="1"/>
  <c r="G3580" i="1"/>
  <c r="H3580" i="1"/>
  <c r="K3580" i="1"/>
  <c r="F3581" i="1"/>
  <c r="G3581" i="1"/>
  <c r="H3581" i="1"/>
  <c r="K3581" i="1"/>
  <c r="F3582" i="1"/>
  <c r="G3582" i="1"/>
  <c r="H3582" i="1"/>
  <c r="K3582" i="1"/>
  <c r="F3583" i="1"/>
  <c r="G3583" i="1"/>
  <c r="H3583" i="1"/>
  <c r="K3583" i="1"/>
  <c r="F3584" i="1"/>
  <c r="G3584" i="1"/>
  <c r="H3584" i="1"/>
  <c r="K3584" i="1"/>
  <c r="F2379" i="1"/>
  <c r="G2379" i="1"/>
  <c r="H2379" i="1"/>
  <c r="K2379" i="1"/>
  <c r="F2380" i="1"/>
  <c r="G2380" i="1"/>
  <c r="H2380" i="1"/>
  <c r="K2380" i="1"/>
  <c r="F2381" i="1"/>
  <c r="G2381" i="1"/>
  <c r="H2381" i="1"/>
  <c r="K2381" i="1"/>
  <c r="F2382" i="1"/>
  <c r="G2382" i="1"/>
  <c r="H2382" i="1"/>
  <c r="K2382" i="1"/>
  <c r="F2383" i="1"/>
  <c r="G2383" i="1"/>
  <c r="H2383" i="1"/>
  <c r="K2383" i="1"/>
  <c r="F2384" i="1"/>
  <c r="G2384" i="1"/>
  <c r="H2384" i="1"/>
  <c r="K2384" i="1"/>
  <c r="F2385" i="1"/>
  <c r="G2385" i="1"/>
  <c r="H2385" i="1"/>
  <c r="K2385" i="1"/>
  <c r="F2386" i="1"/>
  <c r="G2386" i="1"/>
  <c r="H2386" i="1"/>
  <c r="K2386" i="1"/>
  <c r="F2387" i="1"/>
  <c r="G2387" i="1"/>
  <c r="H2387" i="1"/>
  <c r="K2387" i="1"/>
  <c r="F2388" i="1"/>
  <c r="G2388" i="1"/>
  <c r="H2388" i="1"/>
  <c r="K2388" i="1"/>
  <c r="F2389" i="1"/>
  <c r="G2389" i="1"/>
  <c r="H2389" i="1"/>
  <c r="K2389" i="1"/>
  <c r="F3585" i="1"/>
  <c r="G3585" i="1"/>
  <c r="H3585" i="1"/>
  <c r="K3585" i="1"/>
  <c r="F3586" i="1"/>
  <c r="G3586" i="1"/>
  <c r="H3586" i="1"/>
  <c r="K3586" i="1"/>
  <c r="F286" i="1"/>
  <c r="G286" i="1"/>
  <c r="H286" i="1"/>
  <c r="K286" i="1"/>
  <c r="F287" i="1"/>
  <c r="G287" i="1"/>
  <c r="H287" i="1"/>
  <c r="K287" i="1"/>
  <c r="F288" i="1"/>
  <c r="G288" i="1"/>
  <c r="H288" i="1"/>
  <c r="K288" i="1"/>
  <c r="F3587" i="1"/>
  <c r="G3587" i="1"/>
  <c r="H3587" i="1"/>
  <c r="K3587" i="1"/>
  <c r="F3588" i="1"/>
  <c r="G3588" i="1"/>
  <c r="H3588" i="1"/>
  <c r="K3588" i="1"/>
  <c r="F3589" i="1"/>
  <c r="G3589" i="1"/>
  <c r="H3589" i="1"/>
  <c r="K3589" i="1"/>
  <c r="F3590" i="1"/>
  <c r="G3590" i="1"/>
  <c r="H3590" i="1"/>
  <c r="K3590" i="1"/>
  <c r="F5035" i="1"/>
  <c r="G5035" i="1"/>
  <c r="H5035" i="1"/>
  <c r="K5035" i="1"/>
  <c r="F3591" i="1"/>
  <c r="G3591" i="1"/>
  <c r="H3591" i="1"/>
  <c r="K3591" i="1"/>
  <c r="F3592" i="1"/>
  <c r="G3592" i="1"/>
  <c r="H3592" i="1"/>
  <c r="K3592" i="1"/>
  <c r="F289" i="1"/>
  <c r="G289" i="1"/>
  <c r="H289" i="1"/>
  <c r="K289" i="1"/>
  <c r="F3593" i="1"/>
  <c r="G3593" i="1"/>
  <c r="H3593" i="1"/>
  <c r="K3593" i="1"/>
  <c r="F6412" i="1"/>
  <c r="G6412" i="1"/>
  <c r="H6412" i="1"/>
  <c r="K6412" i="1"/>
  <c r="F6413" i="1"/>
  <c r="G6413" i="1"/>
  <c r="H6413" i="1"/>
  <c r="K6413" i="1"/>
  <c r="F6414" i="1"/>
  <c r="G6414" i="1"/>
  <c r="H6414" i="1"/>
  <c r="K6414" i="1"/>
  <c r="F290" i="1"/>
  <c r="G290" i="1"/>
  <c r="H290" i="1"/>
  <c r="K290" i="1"/>
  <c r="F5036" i="1"/>
  <c r="G5036" i="1"/>
  <c r="H5036" i="1"/>
  <c r="K5036" i="1"/>
  <c r="F6415" i="1"/>
  <c r="G6415" i="1"/>
  <c r="H6415" i="1"/>
  <c r="K6415" i="1"/>
  <c r="F6416" i="1"/>
  <c r="G6416" i="1"/>
  <c r="H6416" i="1"/>
  <c r="K6416" i="1"/>
  <c r="F6417" i="1"/>
  <c r="G6417" i="1"/>
  <c r="H6417" i="1"/>
  <c r="K6417" i="1"/>
  <c r="F5037" i="1"/>
  <c r="G5037" i="1"/>
  <c r="H5037" i="1"/>
  <c r="K5037" i="1"/>
  <c r="F5038" i="1"/>
  <c r="G5038" i="1"/>
  <c r="H5038" i="1"/>
  <c r="K5038" i="1"/>
  <c r="F6418" i="1"/>
  <c r="G6418" i="1"/>
  <c r="H6418" i="1"/>
  <c r="K6418" i="1"/>
  <c r="F2390" i="1"/>
  <c r="G2390" i="1"/>
  <c r="H2390" i="1"/>
  <c r="K2390" i="1"/>
  <c r="F5039" i="1"/>
  <c r="G5039" i="1"/>
  <c r="H5039" i="1"/>
  <c r="K5039" i="1"/>
  <c r="F5040" i="1"/>
  <c r="G5040" i="1"/>
  <c r="H5040" i="1"/>
  <c r="K5040" i="1"/>
  <c r="F291" i="1"/>
  <c r="G291" i="1"/>
  <c r="H291" i="1"/>
  <c r="K291" i="1"/>
  <c r="F292" i="1"/>
  <c r="G292" i="1"/>
  <c r="H292" i="1"/>
  <c r="K292" i="1"/>
  <c r="F5041" i="1"/>
  <c r="G5041" i="1"/>
  <c r="H5041" i="1"/>
  <c r="K5041" i="1"/>
  <c r="F2391" i="1"/>
  <c r="G2391" i="1"/>
  <c r="H2391" i="1"/>
  <c r="K2391" i="1"/>
  <c r="F5042" i="1"/>
  <c r="G5042" i="1"/>
  <c r="H5042" i="1"/>
  <c r="K5042" i="1"/>
  <c r="F6419" i="1"/>
  <c r="G6419" i="1"/>
  <c r="H6419" i="1"/>
  <c r="K6419" i="1"/>
  <c r="F2392" i="1"/>
  <c r="G2392" i="1"/>
  <c r="H2392" i="1"/>
  <c r="K2392" i="1"/>
  <c r="F3594" i="1"/>
  <c r="G3594" i="1"/>
  <c r="H3594" i="1"/>
  <c r="K3594" i="1"/>
  <c r="F293" i="1"/>
  <c r="G293" i="1"/>
  <c r="H293" i="1"/>
  <c r="K293" i="1"/>
  <c r="F294" i="1"/>
  <c r="G294" i="1"/>
  <c r="H294" i="1"/>
  <c r="K294" i="1"/>
  <c r="F295" i="1"/>
  <c r="G295" i="1"/>
  <c r="H295" i="1"/>
  <c r="K295" i="1"/>
  <c r="F5043" i="1"/>
  <c r="G5043" i="1"/>
  <c r="H5043" i="1"/>
  <c r="K5043" i="1"/>
  <c r="F3595" i="1"/>
  <c r="G3595" i="1"/>
  <c r="H3595" i="1"/>
  <c r="K3595" i="1"/>
  <c r="F3596" i="1"/>
  <c r="G3596" i="1"/>
  <c r="H3596" i="1"/>
  <c r="K3596" i="1"/>
  <c r="F6420" i="1"/>
  <c r="G6420" i="1"/>
  <c r="H6420" i="1"/>
  <c r="K6420" i="1"/>
  <c r="F3597" i="1"/>
  <c r="G3597" i="1"/>
  <c r="H3597" i="1"/>
  <c r="K3597" i="1"/>
  <c r="F5044" i="1"/>
  <c r="G5044" i="1"/>
  <c r="H5044" i="1"/>
  <c r="K5044" i="1"/>
  <c r="F2393" i="1"/>
  <c r="G2393" i="1"/>
  <c r="H2393" i="1"/>
  <c r="K2393" i="1"/>
  <c r="F6421" i="1"/>
  <c r="G6421" i="1"/>
  <c r="H6421" i="1"/>
  <c r="K6421" i="1"/>
  <c r="F6422" i="1"/>
  <c r="G6422" i="1"/>
  <c r="H6422" i="1"/>
  <c r="K6422" i="1"/>
  <c r="F5045" i="1"/>
  <c r="G5045" i="1"/>
  <c r="H5045" i="1"/>
  <c r="K5045" i="1"/>
  <c r="F6423" i="1"/>
  <c r="G6423" i="1"/>
  <c r="H6423" i="1"/>
  <c r="K6423" i="1"/>
  <c r="F6424" i="1"/>
  <c r="G6424" i="1"/>
  <c r="H6424" i="1"/>
  <c r="K6424" i="1"/>
  <c r="F3598" i="1"/>
  <c r="G3598" i="1"/>
  <c r="H3598" i="1"/>
  <c r="K3598" i="1"/>
  <c r="F296" i="1"/>
  <c r="G296" i="1"/>
  <c r="H296" i="1"/>
  <c r="K296" i="1"/>
  <c r="F6425" i="1"/>
  <c r="G6425" i="1"/>
  <c r="H6425" i="1"/>
  <c r="K6425" i="1"/>
  <c r="F297" i="1"/>
  <c r="G297" i="1"/>
  <c r="H297" i="1"/>
  <c r="K297" i="1"/>
  <c r="F298" i="1"/>
  <c r="G298" i="1"/>
  <c r="H298" i="1"/>
  <c r="K298" i="1"/>
  <c r="F299" i="1"/>
  <c r="G299" i="1"/>
  <c r="H299" i="1"/>
  <c r="K299" i="1"/>
  <c r="F3599" i="1"/>
  <c r="G3599" i="1"/>
  <c r="H3599" i="1"/>
  <c r="K3599" i="1"/>
  <c r="F3600" i="1"/>
  <c r="G3600" i="1"/>
  <c r="H3600" i="1"/>
  <c r="K3600" i="1"/>
  <c r="F3601" i="1"/>
  <c r="G3601" i="1"/>
  <c r="H3601" i="1"/>
  <c r="K3601" i="1"/>
  <c r="F6426" i="1"/>
  <c r="G6426" i="1"/>
  <c r="H6426" i="1"/>
  <c r="K6426" i="1"/>
  <c r="F6427" i="1"/>
  <c r="G6427" i="1"/>
  <c r="H6427" i="1"/>
  <c r="K6427" i="1"/>
  <c r="F2394" i="1"/>
  <c r="G2394" i="1"/>
  <c r="H2394" i="1"/>
  <c r="K2394" i="1"/>
  <c r="F300" i="1"/>
  <c r="G300" i="1"/>
  <c r="H300" i="1"/>
  <c r="K300" i="1"/>
  <c r="F5046" i="1"/>
  <c r="G5046" i="1"/>
  <c r="H5046" i="1"/>
  <c r="K5046" i="1"/>
  <c r="F301" i="1"/>
  <c r="G301" i="1"/>
  <c r="H301" i="1"/>
  <c r="K301" i="1"/>
  <c r="F302" i="1"/>
  <c r="G302" i="1"/>
  <c r="H302" i="1"/>
  <c r="K302" i="1"/>
  <c r="F5047" i="1"/>
  <c r="G5047" i="1"/>
  <c r="H5047" i="1"/>
  <c r="K5047" i="1"/>
  <c r="F5048" i="1"/>
  <c r="G5048" i="1"/>
  <c r="H5048" i="1"/>
  <c r="K5048" i="1"/>
  <c r="F303" i="1"/>
  <c r="G303" i="1"/>
  <c r="H303" i="1"/>
  <c r="K303" i="1"/>
  <c r="F3602" i="1"/>
  <c r="G3602" i="1"/>
  <c r="H3602" i="1"/>
  <c r="K3602" i="1"/>
  <c r="F3603" i="1"/>
  <c r="G3603" i="1"/>
  <c r="H3603" i="1"/>
  <c r="K3603" i="1"/>
  <c r="F304" i="1"/>
  <c r="G304" i="1"/>
  <c r="H304" i="1"/>
  <c r="K304" i="1"/>
  <c r="F6428" i="1"/>
  <c r="G6428" i="1"/>
  <c r="H6428" i="1"/>
  <c r="K6428" i="1"/>
  <c r="F6429" i="1"/>
  <c r="G6429" i="1"/>
  <c r="H6429" i="1"/>
  <c r="K6429" i="1"/>
  <c r="F3604" i="1"/>
  <c r="G3604" i="1"/>
  <c r="H3604" i="1"/>
  <c r="K3604" i="1"/>
  <c r="F6430" i="1"/>
  <c r="G6430" i="1"/>
  <c r="H6430" i="1"/>
  <c r="K6430" i="1"/>
  <c r="F5049" i="1"/>
  <c r="G5049" i="1"/>
  <c r="H5049" i="1"/>
  <c r="K5049" i="1"/>
  <c r="F2395" i="1"/>
  <c r="G2395" i="1"/>
  <c r="H2395" i="1"/>
  <c r="K2395" i="1"/>
  <c r="F6431" i="1"/>
  <c r="G6431" i="1"/>
  <c r="H6431" i="1"/>
  <c r="K6431" i="1"/>
  <c r="F6432" i="1"/>
  <c r="G6432" i="1"/>
  <c r="H6432" i="1"/>
  <c r="K6432" i="1"/>
  <c r="F5050" i="1"/>
  <c r="G5050" i="1"/>
  <c r="H5050" i="1"/>
  <c r="K5050" i="1"/>
  <c r="F5051" i="1"/>
  <c r="G5051" i="1"/>
  <c r="H5051" i="1"/>
  <c r="K5051" i="1"/>
  <c r="F6433" i="1"/>
  <c r="G6433" i="1"/>
  <c r="H6433" i="1"/>
  <c r="K6433" i="1"/>
  <c r="F2396" i="1"/>
  <c r="G2396" i="1"/>
  <c r="H2396" i="1"/>
  <c r="K2396" i="1"/>
  <c r="F2397" i="1"/>
  <c r="G2397" i="1"/>
  <c r="H2397" i="1"/>
  <c r="K2397" i="1"/>
  <c r="F305" i="1"/>
  <c r="G305" i="1"/>
  <c r="H305" i="1"/>
  <c r="K305" i="1"/>
  <c r="F306" i="1"/>
  <c r="G306" i="1"/>
  <c r="H306" i="1"/>
  <c r="K306" i="1"/>
  <c r="F2398" i="1"/>
  <c r="G2398" i="1"/>
  <c r="H2398" i="1"/>
  <c r="K2398" i="1"/>
  <c r="F3605" i="1"/>
  <c r="G3605" i="1"/>
  <c r="H3605" i="1"/>
  <c r="K3605" i="1"/>
  <c r="F5052" i="1"/>
  <c r="G5052" i="1"/>
  <c r="H5052" i="1"/>
  <c r="K5052" i="1"/>
  <c r="F6434" i="1"/>
  <c r="G6434" i="1"/>
  <c r="H6434" i="1"/>
  <c r="K6434" i="1"/>
  <c r="F3606" i="1"/>
  <c r="G3606" i="1"/>
  <c r="H3606" i="1"/>
  <c r="K3606" i="1"/>
  <c r="F307" i="1"/>
  <c r="G307" i="1"/>
  <c r="H307" i="1"/>
  <c r="K307" i="1"/>
  <c r="F6435" i="1"/>
  <c r="G6435" i="1"/>
  <c r="H6435" i="1"/>
  <c r="K6435" i="1"/>
  <c r="F6436" i="1"/>
  <c r="G6436" i="1"/>
  <c r="H6436" i="1"/>
  <c r="K6436" i="1"/>
  <c r="F6437" i="1"/>
  <c r="G6437" i="1"/>
  <c r="H6437" i="1"/>
  <c r="K6437" i="1"/>
  <c r="F5053" i="1"/>
  <c r="G5053" i="1"/>
  <c r="H5053" i="1"/>
  <c r="K5053" i="1"/>
  <c r="F5054" i="1"/>
  <c r="G5054" i="1"/>
  <c r="H5054" i="1"/>
  <c r="K5054" i="1"/>
  <c r="F3607" i="1"/>
  <c r="G3607" i="1"/>
  <c r="H3607" i="1"/>
  <c r="K3607" i="1"/>
  <c r="F3608" i="1"/>
  <c r="G3608" i="1"/>
  <c r="H3608" i="1"/>
  <c r="K3608" i="1"/>
  <c r="F6438" i="1"/>
  <c r="G6438" i="1"/>
  <c r="H6438" i="1"/>
  <c r="K6438" i="1"/>
  <c r="F2399" i="1"/>
  <c r="G2399" i="1"/>
  <c r="H2399" i="1"/>
  <c r="K2399" i="1"/>
  <c r="F308" i="1"/>
  <c r="G308" i="1"/>
  <c r="H308" i="1"/>
  <c r="K308" i="1"/>
  <c r="F309" i="1"/>
  <c r="G309" i="1"/>
  <c r="H309" i="1"/>
  <c r="K309" i="1"/>
  <c r="F2400" i="1"/>
  <c r="G2400" i="1"/>
  <c r="H2400" i="1"/>
  <c r="K2400" i="1"/>
  <c r="F310" i="1"/>
  <c r="G310" i="1"/>
  <c r="H310" i="1"/>
  <c r="K310" i="1"/>
  <c r="F2401" i="1"/>
  <c r="G2401" i="1"/>
  <c r="H2401" i="1"/>
  <c r="K2401" i="1"/>
  <c r="F311" i="1"/>
  <c r="G311" i="1"/>
  <c r="H311" i="1"/>
  <c r="K311" i="1"/>
  <c r="F312" i="1"/>
  <c r="G312" i="1"/>
  <c r="H312" i="1"/>
  <c r="K312" i="1"/>
  <c r="F2402" i="1"/>
  <c r="G2402" i="1"/>
  <c r="H2402" i="1"/>
  <c r="K2402" i="1"/>
  <c r="F2403" i="1"/>
  <c r="G2403" i="1"/>
  <c r="H2403" i="1"/>
  <c r="K2403" i="1"/>
  <c r="F5055" i="1"/>
  <c r="G5055" i="1"/>
  <c r="H5055" i="1"/>
  <c r="K5055" i="1"/>
  <c r="F3609" i="1"/>
  <c r="G3609" i="1"/>
  <c r="H3609" i="1"/>
  <c r="K3609" i="1"/>
  <c r="F313" i="1"/>
  <c r="G313" i="1"/>
  <c r="H313" i="1"/>
  <c r="K313" i="1"/>
  <c r="F314" i="1"/>
  <c r="G314" i="1"/>
  <c r="H314" i="1"/>
  <c r="K314" i="1"/>
  <c r="F2404" i="1"/>
  <c r="G2404" i="1"/>
  <c r="H2404" i="1"/>
  <c r="K2404" i="1"/>
  <c r="F3610" i="1"/>
  <c r="G3610" i="1"/>
  <c r="H3610" i="1"/>
  <c r="K3610" i="1"/>
  <c r="F315" i="1"/>
  <c r="G315" i="1"/>
  <c r="H315" i="1"/>
  <c r="K315" i="1"/>
  <c r="F2405" i="1"/>
  <c r="G2405" i="1"/>
  <c r="H2405" i="1"/>
  <c r="K2405" i="1"/>
  <c r="F2406" i="1"/>
  <c r="G2406" i="1"/>
  <c r="H2406" i="1"/>
  <c r="K2406" i="1"/>
  <c r="F6439" i="1"/>
  <c r="G6439" i="1"/>
  <c r="H6439" i="1"/>
  <c r="K6439" i="1"/>
  <c r="F2407" i="1"/>
  <c r="G2407" i="1"/>
  <c r="H2407" i="1"/>
  <c r="K2407" i="1"/>
  <c r="F316" i="1"/>
  <c r="G316" i="1"/>
  <c r="H316" i="1"/>
  <c r="K316" i="1"/>
  <c r="F317" i="1"/>
  <c r="G317" i="1"/>
  <c r="H317" i="1"/>
  <c r="K317" i="1"/>
  <c r="F6440" i="1"/>
  <c r="G6440" i="1"/>
  <c r="H6440" i="1"/>
  <c r="K6440" i="1"/>
  <c r="F318" i="1"/>
  <c r="G318" i="1"/>
  <c r="H318" i="1"/>
  <c r="K318" i="1"/>
  <c r="F319" i="1"/>
  <c r="G319" i="1"/>
  <c r="H319" i="1"/>
  <c r="K319" i="1"/>
  <c r="F5056" i="1"/>
  <c r="G5056" i="1"/>
  <c r="H5056" i="1"/>
  <c r="K5056" i="1"/>
  <c r="F320" i="1"/>
  <c r="G320" i="1"/>
  <c r="H320" i="1"/>
  <c r="K320" i="1"/>
  <c r="F5057" i="1"/>
  <c r="G5057" i="1"/>
  <c r="H5057" i="1"/>
  <c r="K5057" i="1"/>
  <c r="F3611" i="1"/>
  <c r="G3611" i="1"/>
  <c r="H3611" i="1"/>
  <c r="K3611" i="1"/>
  <c r="F321" i="1"/>
  <c r="G321" i="1"/>
  <c r="H321" i="1"/>
  <c r="K321" i="1"/>
  <c r="F5058" i="1"/>
  <c r="G5058" i="1"/>
  <c r="H5058" i="1"/>
  <c r="K5058" i="1"/>
  <c r="F322" i="1"/>
  <c r="G322" i="1"/>
  <c r="H322" i="1"/>
  <c r="K322" i="1"/>
  <c r="F2408" i="1"/>
  <c r="G2408" i="1"/>
  <c r="H2408" i="1"/>
  <c r="K2408" i="1"/>
  <c r="F3612" i="1"/>
  <c r="G3612" i="1"/>
  <c r="H3612" i="1"/>
  <c r="K3612" i="1"/>
  <c r="F6441" i="1"/>
  <c r="G6441" i="1"/>
  <c r="H6441" i="1"/>
  <c r="K6441" i="1"/>
  <c r="F323" i="1"/>
  <c r="G323" i="1"/>
  <c r="H323" i="1"/>
  <c r="K323" i="1"/>
  <c r="F2409" i="1"/>
  <c r="G2409" i="1"/>
  <c r="H2409" i="1"/>
  <c r="K2409" i="1"/>
  <c r="F6442" i="1"/>
  <c r="G6442" i="1"/>
  <c r="H6442" i="1"/>
  <c r="K6442" i="1"/>
  <c r="F6443" i="1"/>
  <c r="G6443" i="1"/>
  <c r="H6443" i="1"/>
  <c r="K6443" i="1"/>
  <c r="F5059" i="1"/>
  <c r="G5059" i="1"/>
  <c r="H5059" i="1"/>
  <c r="K5059" i="1"/>
  <c r="F3613" i="1"/>
  <c r="G3613" i="1"/>
  <c r="H3613" i="1"/>
  <c r="K3613" i="1"/>
  <c r="F2410" i="1"/>
  <c r="G2410" i="1"/>
  <c r="H2410" i="1"/>
  <c r="K2410" i="1"/>
  <c r="F2411" i="1"/>
  <c r="G2411" i="1"/>
  <c r="H2411" i="1"/>
  <c r="K2411" i="1"/>
  <c r="F5060" i="1"/>
  <c r="G5060" i="1"/>
  <c r="H5060" i="1"/>
  <c r="K5060" i="1"/>
  <c r="F3614" i="1"/>
  <c r="G3614" i="1"/>
  <c r="H3614" i="1"/>
  <c r="K3614" i="1"/>
  <c r="F3615" i="1"/>
  <c r="G3615" i="1"/>
  <c r="H3615" i="1"/>
  <c r="K3615" i="1"/>
  <c r="F324" i="1"/>
  <c r="G324" i="1"/>
  <c r="H324" i="1"/>
  <c r="K324" i="1"/>
  <c r="F2412" i="1"/>
  <c r="G2412" i="1"/>
  <c r="H2412" i="1"/>
  <c r="K2412" i="1"/>
  <c r="F3616" i="1"/>
  <c r="G3616" i="1"/>
  <c r="H3616" i="1"/>
  <c r="K3616" i="1"/>
  <c r="F6444" i="1"/>
  <c r="G6444" i="1"/>
  <c r="H6444" i="1"/>
  <c r="K6444" i="1"/>
  <c r="F5061" i="1"/>
  <c r="G5061" i="1"/>
  <c r="H5061" i="1"/>
  <c r="K5061" i="1"/>
  <c r="F2413" i="1"/>
  <c r="G2413" i="1"/>
  <c r="H2413" i="1"/>
  <c r="K2413" i="1"/>
  <c r="F5062" i="1"/>
  <c r="G5062" i="1"/>
  <c r="H5062" i="1"/>
  <c r="K5062" i="1"/>
  <c r="F6445" i="1"/>
  <c r="G6445" i="1"/>
  <c r="H6445" i="1"/>
  <c r="K6445" i="1"/>
  <c r="F325" i="1"/>
  <c r="G325" i="1"/>
  <c r="H325" i="1"/>
  <c r="K325" i="1"/>
  <c r="F2414" i="1"/>
  <c r="G2414" i="1"/>
  <c r="H2414" i="1"/>
  <c r="K2414" i="1"/>
  <c r="F326" i="1"/>
  <c r="G326" i="1"/>
  <c r="H326" i="1"/>
  <c r="K326" i="1"/>
  <c r="F5063" i="1"/>
  <c r="G5063" i="1"/>
  <c r="H5063" i="1"/>
  <c r="K5063" i="1"/>
  <c r="F327" i="1"/>
  <c r="G327" i="1"/>
  <c r="H327" i="1"/>
  <c r="K327" i="1"/>
  <c r="F3617" i="1"/>
  <c r="G3617" i="1"/>
  <c r="H3617" i="1"/>
  <c r="K3617" i="1"/>
  <c r="F3618" i="1"/>
  <c r="G3618" i="1"/>
  <c r="H3618" i="1"/>
  <c r="K3618" i="1"/>
  <c r="F3619" i="1"/>
  <c r="G3619" i="1"/>
  <c r="H3619" i="1"/>
  <c r="K3619" i="1"/>
  <c r="F3620" i="1"/>
  <c r="G3620" i="1"/>
  <c r="H3620" i="1"/>
  <c r="K3620" i="1"/>
  <c r="F3621" i="1"/>
  <c r="G3621" i="1"/>
  <c r="H3621" i="1"/>
  <c r="K3621" i="1"/>
  <c r="F3622" i="1"/>
  <c r="G3622" i="1"/>
  <c r="H3622" i="1"/>
  <c r="K3622" i="1"/>
  <c r="F3623" i="1"/>
  <c r="G3623" i="1"/>
  <c r="H3623" i="1"/>
  <c r="K3623" i="1"/>
  <c r="F3624" i="1"/>
  <c r="G3624" i="1"/>
  <c r="H3624" i="1"/>
  <c r="K3624" i="1"/>
  <c r="F3625" i="1"/>
  <c r="G3625" i="1"/>
  <c r="H3625" i="1"/>
  <c r="K3625" i="1"/>
  <c r="F2415" i="1"/>
  <c r="G2415" i="1"/>
  <c r="H2415" i="1"/>
  <c r="K2415" i="1"/>
  <c r="F2416" i="1"/>
  <c r="G2416" i="1"/>
  <c r="H2416" i="1"/>
  <c r="K2416" i="1"/>
  <c r="F2417" i="1"/>
  <c r="G2417" i="1"/>
  <c r="H2417" i="1"/>
  <c r="K2417" i="1"/>
  <c r="F2418" i="1"/>
  <c r="G2418" i="1"/>
  <c r="H2418" i="1"/>
  <c r="K2418" i="1"/>
  <c r="F328" i="1"/>
  <c r="G328" i="1"/>
  <c r="H328" i="1"/>
  <c r="K328" i="1"/>
  <c r="F329" i="1"/>
  <c r="G329" i="1"/>
  <c r="H329" i="1"/>
  <c r="K329" i="1"/>
  <c r="F330" i="1"/>
  <c r="G330" i="1"/>
  <c r="H330" i="1"/>
  <c r="K330" i="1"/>
  <c r="F331" i="1"/>
  <c r="G331" i="1"/>
  <c r="H331" i="1"/>
  <c r="K331" i="1"/>
  <c r="F332" i="1"/>
  <c r="G332" i="1"/>
  <c r="H332" i="1"/>
  <c r="K332" i="1"/>
  <c r="F3626" i="1"/>
  <c r="G3626" i="1"/>
  <c r="H3626" i="1"/>
  <c r="K3626" i="1"/>
  <c r="F3627" i="1"/>
  <c r="G3627" i="1"/>
  <c r="H3627" i="1"/>
  <c r="K3627" i="1"/>
  <c r="F6446" i="1"/>
  <c r="G6446" i="1"/>
  <c r="H6446" i="1"/>
  <c r="K6446" i="1"/>
  <c r="F5064" i="1"/>
  <c r="G5064" i="1"/>
  <c r="H5064" i="1"/>
  <c r="K5064" i="1"/>
  <c r="F3628" i="1"/>
  <c r="G3628" i="1"/>
  <c r="H3628" i="1"/>
  <c r="K3628" i="1"/>
  <c r="F333" i="1"/>
  <c r="G333" i="1"/>
  <c r="H333" i="1"/>
  <c r="K333" i="1"/>
  <c r="F334" i="1"/>
  <c r="G334" i="1"/>
  <c r="H334" i="1"/>
  <c r="K334" i="1"/>
  <c r="F5065" i="1"/>
  <c r="G5065" i="1"/>
  <c r="H5065" i="1"/>
  <c r="K5065" i="1"/>
  <c r="F335" i="1"/>
  <c r="G335" i="1"/>
  <c r="H335" i="1"/>
  <c r="K335" i="1"/>
  <c r="F6447" i="1"/>
  <c r="G6447" i="1"/>
  <c r="H6447" i="1"/>
  <c r="K6447" i="1"/>
  <c r="F5066" i="1"/>
  <c r="G5066" i="1"/>
  <c r="H5066" i="1"/>
  <c r="K5066" i="1"/>
  <c r="F5067" i="1"/>
  <c r="G5067" i="1"/>
  <c r="H5067" i="1"/>
  <c r="K5067" i="1"/>
  <c r="F5068" i="1"/>
  <c r="G5068" i="1"/>
  <c r="H5068" i="1"/>
  <c r="K5068" i="1"/>
  <c r="F336" i="1"/>
  <c r="G336" i="1"/>
  <c r="H336" i="1"/>
  <c r="K336" i="1"/>
  <c r="F337" i="1"/>
  <c r="G337" i="1"/>
  <c r="H337" i="1"/>
  <c r="K337" i="1"/>
  <c r="F2419" i="1"/>
  <c r="G2419" i="1"/>
  <c r="H2419" i="1"/>
  <c r="K2419" i="1"/>
  <c r="F338" i="1"/>
  <c r="G338" i="1"/>
  <c r="H338" i="1"/>
  <c r="K338" i="1"/>
  <c r="F6448" i="1"/>
  <c r="G6448" i="1"/>
  <c r="H6448" i="1"/>
  <c r="K6448" i="1"/>
  <c r="F6449" i="1"/>
  <c r="G6449" i="1"/>
  <c r="H6449" i="1"/>
  <c r="K6449" i="1"/>
  <c r="F339" i="1"/>
  <c r="G339" i="1"/>
  <c r="H339" i="1"/>
  <c r="K339" i="1"/>
  <c r="F3629" i="1"/>
  <c r="G3629" i="1"/>
  <c r="H3629" i="1"/>
  <c r="K3629" i="1"/>
  <c r="F2420" i="1"/>
  <c r="G2420" i="1"/>
  <c r="H2420" i="1"/>
  <c r="K2420" i="1"/>
  <c r="F340" i="1"/>
  <c r="G340" i="1"/>
  <c r="H340" i="1"/>
  <c r="K340" i="1"/>
  <c r="F6450" i="1"/>
  <c r="G6450" i="1"/>
  <c r="H6450" i="1"/>
  <c r="K6450" i="1"/>
  <c r="F2421" i="1"/>
  <c r="G2421" i="1"/>
  <c r="H2421" i="1"/>
  <c r="K2421" i="1"/>
  <c r="F341" i="1"/>
  <c r="G341" i="1"/>
  <c r="H341" i="1"/>
  <c r="K341" i="1"/>
  <c r="F342" i="1"/>
  <c r="G342" i="1"/>
  <c r="H342" i="1"/>
  <c r="K342" i="1"/>
  <c r="F2422" i="1"/>
  <c r="G2422" i="1"/>
  <c r="H2422" i="1"/>
  <c r="K2422" i="1"/>
  <c r="F5069" i="1"/>
  <c r="G5069" i="1"/>
  <c r="H5069" i="1"/>
  <c r="K5069" i="1"/>
  <c r="F5070" i="1"/>
  <c r="G5070" i="1"/>
  <c r="H5070" i="1"/>
  <c r="K5070" i="1"/>
  <c r="F343" i="1"/>
  <c r="G343" i="1"/>
  <c r="H343" i="1"/>
  <c r="K343" i="1"/>
  <c r="F5071" i="1"/>
  <c r="G5071" i="1"/>
  <c r="H5071" i="1"/>
  <c r="K5071" i="1"/>
  <c r="F5072" i="1"/>
  <c r="G5072" i="1"/>
  <c r="H5072" i="1"/>
  <c r="K5072" i="1"/>
  <c r="F344" i="1"/>
  <c r="G344" i="1"/>
  <c r="H344" i="1"/>
  <c r="K344" i="1"/>
  <c r="F3630" i="1"/>
  <c r="G3630" i="1"/>
  <c r="H3630" i="1"/>
  <c r="K3630" i="1"/>
  <c r="F5073" i="1"/>
  <c r="G5073" i="1"/>
  <c r="H5073" i="1"/>
  <c r="K5073" i="1"/>
  <c r="F5074" i="1"/>
  <c r="G5074" i="1"/>
  <c r="H5074" i="1"/>
  <c r="K5074" i="1"/>
  <c r="F3631" i="1"/>
  <c r="G3631" i="1"/>
  <c r="H3631" i="1"/>
  <c r="K3631" i="1"/>
  <c r="F6451" i="1"/>
  <c r="G6451" i="1"/>
  <c r="H6451" i="1"/>
  <c r="K6451" i="1"/>
  <c r="F6452" i="1"/>
  <c r="G6452" i="1"/>
  <c r="H6452" i="1"/>
  <c r="K6452" i="1"/>
  <c r="F5075" i="1"/>
  <c r="G5075" i="1"/>
  <c r="H5075" i="1"/>
  <c r="K5075" i="1"/>
  <c r="F5076" i="1"/>
  <c r="G5076" i="1"/>
  <c r="H5076" i="1"/>
  <c r="K5076" i="1"/>
  <c r="F2423" i="1"/>
  <c r="G2423" i="1"/>
  <c r="H2423" i="1"/>
  <c r="K2423" i="1"/>
  <c r="F345" i="1"/>
  <c r="G345" i="1"/>
  <c r="H345" i="1"/>
  <c r="K345" i="1"/>
  <c r="F5077" i="1"/>
  <c r="G5077" i="1"/>
  <c r="H5077" i="1"/>
  <c r="K5077" i="1"/>
  <c r="F3632" i="1"/>
  <c r="G3632" i="1"/>
  <c r="H3632" i="1"/>
  <c r="K3632" i="1"/>
  <c r="F6453" i="1"/>
  <c r="G6453" i="1"/>
  <c r="H6453" i="1"/>
  <c r="K6453" i="1"/>
  <c r="F346" i="1"/>
  <c r="G346" i="1"/>
  <c r="H346" i="1"/>
  <c r="K346" i="1"/>
  <c r="F6454" i="1"/>
  <c r="G6454" i="1"/>
  <c r="H6454" i="1"/>
  <c r="K6454" i="1"/>
  <c r="F3633" i="1"/>
  <c r="G3633" i="1"/>
  <c r="H3633" i="1"/>
  <c r="K3633" i="1"/>
  <c r="F5078" i="1"/>
  <c r="G5078" i="1"/>
  <c r="H5078" i="1"/>
  <c r="K5078" i="1"/>
  <c r="F6455" i="1"/>
  <c r="G6455" i="1"/>
  <c r="H6455" i="1"/>
  <c r="K6455" i="1"/>
  <c r="F6456" i="1"/>
  <c r="G6456" i="1"/>
  <c r="H6456" i="1"/>
  <c r="K6456" i="1"/>
  <c r="F5079" i="1"/>
  <c r="G5079" i="1"/>
  <c r="H5079" i="1"/>
  <c r="K5079" i="1"/>
  <c r="F5080" i="1"/>
  <c r="G5080" i="1"/>
  <c r="H5080" i="1"/>
  <c r="K5080" i="1"/>
  <c r="F347" i="1"/>
  <c r="G347" i="1"/>
  <c r="H347" i="1"/>
  <c r="K347" i="1"/>
  <c r="F5081" i="1"/>
  <c r="G5081" i="1"/>
  <c r="H5081" i="1"/>
  <c r="K5081" i="1"/>
  <c r="F5082" i="1"/>
  <c r="G5082" i="1"/>
  <c r="H5082" i="1"/>
  <c r="K5082" i="1"/>
  <c r="F6457" i="1"/>
  <c r="G6457" i="1"/>
  <c r="H6457" i="1"/>
  <c r="K6457" i="1"/>
  <c r="F6458" i="1"/>
  <c r="G6458" i="1"/>
  <c r="H6458" i="1"/>
  <c r="K6458" i="1"/>
  <c r="F6459" i="1"/>
  <c r="G6459" i="1"/>
  <c r="H6459" i="1"/>
  <c r="K6459" i="1"/>
  <c r="F6460" i="1"/>
  <c r="G6460" i="1"/>
  <c r="H6460" i="1"/>
  <c r="K6460" i="1"/>
  <c r="F348" i="1"/>
  <c r="G348" i="1"/>
  <c r="H348" i="1"/>
  <c r="K348" i="1"/>
  <c r="F6461" i="1"/>
  <c r="G6461" i="1"/>
  <c r="H6461" i="1"/>
  <c r="K6461" i="1"/>
  <c r="F6462" i="1"/>
  <c r="G6462" i="1"/>
  <c r="H6462" i="1"/>
  <c r="K6462" i="1"/>
  <c r="F3634" i="1"/>
  <c r="G3634" i="1"/>
  <c r="H3634" i="1"/>
  <c r="K3634" i="1"/>
  <c r="F5083" i="1"/>
  <c r="G5083" i="1"/>
  <c r="H5083" i="1"/>
  <c r="K5083" i="1"/>
  <c r="F349" i="1"/>
  <c r="G349" i="1"/>
  <c r="H349" i="1"/>
  <c r="K349" i="1"/>
  <c r="F350" i="1"/>
  <c r="G350" i="1"/>
  <c r="H350" i="1"/>
  <c r="K350" i="1"/>
  <c r="F6463" i="1"/>
  <c r="G6463" i="1"/>
  <c r="H6463" i="1"/>
  <c r="K6463" i="1"/>
  <c r="F5084" i="1"/>
  <c r="G5084" i="1"/>
  <c r="H5084" i="1"/>
  <c r="K5084" i="1"/>
  <c r="F5085" i="1"/>
  <c r="G5085" i="1"/>
  <c r="H5085" i="1"/>
  <c r="K5085" i="1"/>
  <c r="F3635" i="1"/>
  <c r="G3635" i="1"/>
  <c r="H3635" i="1"/>
  <c r="K3635" i="1"/>
  <c r="F2424" i="1"/>
  <c r="G2424" i="1"/>
  <c r="H2424" i="1"/>
  <c r="K2424" i="1"/>
  <c r="F2425" i="1"/>
  <c r="G2425" i="1"/>
  <c r="H2425" i="1"/>
  <c r="K2425" i="1"/>
  <c r="F3636" i="1"/>
  <c r="G3636" i="1"/>
  <c r="H3636" i="1"/>
  <c r="K3636" i="1"/>
  <c r="F3637" i="1"/>
  <c r="G3637" i="1"/>
  <c r="H3637" i="1"/>
  <c r="K3637" i="1"/>
  <c r="F2426" i="1"/>
  <c r="G2426" i="1"/>
  <c r="H2426" i="1"/>
  <c r="K2426" i="1"/>
  <c r="F2427" i="1"/>
  <c r="G2427" i="1"/>
  <c r="H2427" i="1"/>
  <c r="K2427" i="1"/>
  <c r="F2428" i="1"/>
  <c r="G2428" i="1"/>
  <c r="H2428" i="1"/>
  <c r="K2428" i="1"/>
  <c r="F2429" i="1"/>
  <c r="G2429" i="1"/>
  <c r="H2429" i="1"/>
  <c r="K2429" i="1"/>
  <c r="F2430" i="1"/>
  <c r="G2430" i="1"/>
  <c r="H2430" i="1"/>
  <c r="K2430" i="1"/>
  <c r="F2431" i="1"/>
  <c r="G2431" i="1"/>
  <c r="H2431" i="1"/>
  <c r="K2431" i="1"/>
  <c r="F2432" i="1"/>
  <c r="G2432" i="1"/>
  <c r="H2432" i="1"/>
  <c r="K2432" i="1"/>
  <c r="F2433" i="1"/>
  <c r="G2433" i="1"/>
  <c r="H2433" i="1"/>
  <c r="K2433" i="1"/>
  <c r="F2434" i="1"/>
  <c r="G2434" i="1"/>
  <c r="H2434" i="1"/>
  <c r="K2434" i="1"/>
  <c r="F2435" i="1"/>
  <c r="G2435" i="1"/>
  <c r="H2435" i="1"/>
  <c r="K2435" i="1"/>
  <c r="F2436" i="1"/>
  <c r="G2436" i="1"/>
  <c r="H2436" i="1"/>
  <c r="K2436" i="1"/>
  <c r="F3638" i="1"/>
  <c r="G3638" i="1"/>
  <c r="H3638" i="1"/>
  <c r="K3638" i="1"/>
  <c r="F3639" i="1"/>
  <c r="G3639" i="1"/>
  <c r="H3639" i="1"/>
  <c r="K3639" i="1"/>
  <c r="F3640" i="1"/>
  <c r="G3640" i="1"/>
  <c r="H3640" i="1"/>
  <c r="K3640" i="1"/>
  <c r="F3641" i="1"/>
  <c r="G3641" i="1"/>
  <c r="H3641" i="1"/>
  <c r="K3641" i="1"/>
  <c r="F3642" i="1"/>
  <c r="G3642" i="1"/>
  <c r="H3642" i="1"/>
  <c r="K3642" i="1"/>
  <c r="F3643" i="1"/>
  <c r="G3643" i="1"/>
  <c r="H3643" i="1"/>
  <c r="K3643" i="1"/>
  <c r="F3644" i="1"/>
  <c r="G3644" i="1"/>
  <c r="H3644" i="1"/>
  <c r="K3644" i="1"/>
  <c r="F3645" i="1"/>
  <c r="G3645" i="1"/>
  <c r="H3645" i="1"/>
  <c r="K3645" i="1"/>
  <c r="F3646" i="1"/>
  <c r="G3646" i="1"/>
  <c r="H3646" i="1"/>
  <c r="K3646" i="1"/>
  <c r="F3647" i="1"/>
  <c r="G3647" i="1"/>
  <c r="H3647" i="1"/>
  <c r="K3647" i="1"/>
  <c r="F3648" i="1"/>
  <c r="G3648" i="1"/>
  <c r="H3648" i="1"/>
  <c r="K3648" i="1"/>
  <c r="F3649" i="1"/>
  <c r="G3649" i="1"/>
  <c r="H3649" i="1"/>
  <c r="K3649" i="1"/>
  <c r="F351" i="1"/>
  <c r="G351" i="1"/>
  <c r="H351" i="1"/>
  <c r="K351" i="1"/>
  <c r="F352" i="1"/>
  <c r="G352" i="1"/>
  <c r="H352" i="1"/>
  <c r="K352" i="1"/>
  <c r="F353" i="1"/>
  <c r="G353" i="1"/>
  <c r="H353" i="1"/>
  <c r="K353" i="1"/>
  <c r="F354" i="1"/>
  <c r="G354" i="1"/>
  <c r="H354" i="1"/>
  <c r="K354" i="1"/>
  <c r="F355" i="1"/>
  <c r="G355" i="1"/>
  <c r="H355" i="1"/>
  <c r="K355" i="1"/>
  <c r="F2437" i="1"/>
  <c r="G2437" i="1"/>
  <c r="H2437" i="1"/>
  <c r="K2437" i="1"/>
  <c r="F356" i="1"/>
  <c r="G356" i="1"/>
  <c r="H356" i="1"/>
  <c r="K356" i="1"/>
  <c r="F357" i="1"/>
  <c r="G357" i="1"/>
  <c r="H357" i="1"/>
  <c r="K357" i="1"/>
  <c r="F358" i="1"/>
  <c r="G358" i="1"/>
  <c r="H358" i="1"/>
  <c r="K358" i="1"/>
  <c r="F359" i="1"/>
  <c r="G359" i="1"/>
  <c r="H359" i="1"/>
  <c r="K359" i="1"/>
  <c r="F360" i="1"/>
  <c r="G360" i="1"/>
  <c r="H360" i="1"/>
  <c r="K360" i="1"/>
  <c r="F361" i="1"/>
  <c r="G361" i="1"/>
  <c r="H361" i="1"/>
  <c r="K361" i="1"/>
  <c r="F362" i="1"/>
  <c r="G362" i="1"/>
  <c r="H362" i="1"/>
  <c r="K362" i="1"/>
  <c r="F6464" i="1"/>
  <c r="G6464" i="1"/>
  <c r="H6464" i="1"/>
  <c r="K6464" i="1"/>
  <c r="F6465" i="1"/>
  <c r="G6465" i="1"/>
  <c r="H6465" i="1"/>
  <c r="K6465" i="1"/>
  <c r="F363" i="1"/>
  <c r="G363" i="1"/>
  <c r="H363" i="1"/>
  <c r="K363" i="1"/>
  <c r="F3650" i="1"/>
  <c r="G3650" i="1"/>
  <c r="H3650" i="1"/>
  <c r="K3650" i="1"/>
  <c r="F5086" i="1"/>
  <c r="G5086" i="1"/>
  <c r="H5086" i="1"/>
  <c r="K5086" i="1"/>
  <c r="F5087" i="1"/>
  <c r="G5087" i="1"/>
  <c r="H5087" i="1"/>
  <c r="K5087" i="1"/>
  <c r="F5088" i="1"/>
  <c r="G5088" i="1"/>
  <c r="H5088" i="1"/>
  <c r="K5088" i="1"/>
  <c r="F5089" i="1"/>
  <c r="G5089" i="1"/>
  <c r="H5089" i="1"/>
  <c r="K5089" i="1"/>
  <c r="F5090" i="1"/>
  <c r="G5090" i="1"/>
  <c r="H5090" i="1"/>
  <c r="K5090" i="1"/>
  <c r="F364" i="1"/>
  <c r="G364" i="1"/>
  <c r="H364" i="1"/>
  <c r="K364" i="1"/>
  <c r="F3651" i="1"/>
  <c r="G3651" i="1"/>
  <c r="H3651" i="1"/>
  <c r="K3651" i="1"/>
  <c r="F365" i="1"/>
  <c r="G365" i="1"/>
  <c r="H365" i="1"/>
  <c r="K365" i="1"/>
  <c r="F5091" i="1"/>
  <c r="G5091" i="1"/>
  <c r="H5091" i="1"/>
  <c r="K5091" i="1"/>
  <c r="F5092" i="1"/>
  <c r="G5092" i="1"/>
  <c r="H5092" i="1"/>
  <c r="K5092" i="1"/>
  <c r="F6466" i="1"/>
  <c r="G6466" i="1"/>
  <c r="H6466" i="1"/>
  <c r="K6466" i="1"/>
  <c r="F366" i="1"/>
  <c r="G366" i="1"/>
  <c r="H366" i="1"/>
  <c r="K366" i="1"/>
  <c r="F5093" i="1"/>
  <c r="G5093" i="1"/>
  <c r="H5093" i="1"/>
  <c r="K5093" i="1"/>
  <c r="F367" i="1"/>
  <c r="G367" i="1"/>
  <c r="H367" i="1"/>
  <c r="K367" i="1"/>
  <c r="F368" i="1"/>
  <c r="G368" i="1"/>
  <c r="H368" i="1"/>
  <c r="K368" i="1"/>
  <c r="F6467" i="1"/>
  <c r="G6467" i="1"/>
  <c r="H6467" i="1"/>
  <c r="K6467" i="1"/>
  <c r="F2438" i="1"/>
  <c r="G2438" i="1"/>
  <c r="H2438" i="1"/>
  <c r="K2438" i="1"/>
  <c r="F2439" i="1"/>
  <c r="G2439" i="1"/>
  <c r="H2439" i="1"/>
  <c r="K2439" i="1"/>
  <c r="F3652" i="1"/>
  <c r="G3652" i="1"/>
  <c r="H3652" i="1"/>
  <c r="K3652" i="1"/>
  <c r="F369" i="1"/>
  <c r="G369" i="1"/>
  <c r="H369" i="1"/>
  <c r="K369" i="1"/>
  <c r="F370" i="1"/>
  <c r="G370" i="1"/>
  <c r="H370" i="1"/>
  <c r="K370" i="1"/>
  <c r="F3653" i="1"/>
  <c r="G3653" i="1"/>
  <c r="H3653" i="1"/>
  <c r="K3653" i="1"/>
  <c r="F5094" i="1"/>
  <c r="G5094" i="1"/>
  <c r="H5094" i="1"/>
  <c r="K5094" i="1"/>
  <c r="F5095" i="1"/>
  <c r="G5095" i="1"/>
  <c r="H5095" i="1"/>
  <c r="K5095" i="1"/>
  <c r="F3654" i="1"/>
  <c r="G3654" i="1"/>
  <c r="H3654" i="1"/>
  <c r="K3654" i="1"/>
  <c r="F2440" i="1"/>
  <c r="G2440" i="1"/>
  <c r="H2440" i="1"/>
  <c r="K2440" i="1"/>
  <c r="F3655" i="1"/>
  <c r="G3655" i="1"/>
  <c r="H3655" i="1"/>
  <c r="K3655" i="1"/>
  <c r="F3656" i="1"/>
  <c r="G3656" i="1"/>
  <c r="H3656" i="1"/>
  <c r="K3656" i="1"/>
  <c r="F2441" i="1"/>
  <c r="G2441" i="1"/>
  <c r="H2441" i="1"/>
  <c r="K2441" i="1"/>
  <c r="F5096" i="1"/>
  <c r="G5096" i="1"/>
  <c r="H5096" i="1"/>
  <c r="K5096" i="1"/>
  <c r="F6468" i="1"/>
  <c r="G6468" i="1"/>
  <c r="H6468" i="1"/>
  <c r="K6468" i="1"/>
  <c r="F5097" i="1"/>
  <c r="G5097" i="1"/>
  <c r="H5097" i="1"/>
  <c r="K5097" i="1"/>
  <c r="F371" i="1"/>
  <c r="G371" i="1"/>
  <c r="H371" i="1"/>
  <c r="K371" i="1"/>
  <c r="F372" i="1"/>
  <c r="G372" i="1"/>
  <c r="H372" i="1"/>
  <c r="K372" i="1"/>
  <c r="F373" i="1"/>
  <c r="G373" i="1"/>
  <c r="H373" i="1"/>
  <c r="K373" i="1"/>
  <c r="F3657" i="1"/>
  <c r="G3657" i="1"/>
  <c r="H3657" i="1"/>
  <c r="K3657" i="1"/>
  <c r="F3658" i="1"/>
  <c r="G3658" i="1"/>
  <c r="H3658" i="1"/>
  <c r="K3658" i="1"/>
  <c r="F6469" i="1"/>
  <c r="G6469" i="1"/>
  <c r="H6469" i="1"/>
  <c r="K6469" i="1"/>
  <c r="F6470" i="1"/>
  <c r="G6470" i="1"/>
  <c r="H6470" i="1"/>
  <c r="K6470" i="1"/>
  <c r="F374" i="1"/>
  <c r="G374" i="1"/>
  <c r="H374" i="1"/>
  <c r="K374" i="1"/>
  <c r="F6471" i="1"/>
  <c r="G6471" i="1"/>
  <c r="H6471" i="1"/>
  <c r="K6471" i="1"/>
  <c r="F375" i="1"/>
  <c r="G375" i="1"/>
  <c r="H375" i="1"/>
  <c r="K375" i="1"/>
  <c r="F3659" i="1"/>
  <c r="G3659" i="1"/>
  <c r="H3659" i="1"/>
  <c r="K3659" i="1"/>
  <c r="F5098" i="1"/>
  <c r="G5098" i="1"/>
  <c r="H5098" i="1"/>
  <c r="K5098" i="1"/>
  <c r="F3660" i="1"/>
  <c r="G3660" i="1"/>
  <c r="H3660" i="1"/>
  <c r="K3660" i="1"/>
  <c r="F5099" i="1"/>
  <c r="G5099" i="1"/>
  <c r="H5099" i="1"/>
  <c r="K5099" i="1"/>
  <c r="F3661" i="1"/>
  <c r="G3661" i="1"/>
  <c r="H3661" i="1"/>
  <c r="K3661" i="1"/>
  <c r="F5100" i="1"/>
  <c r="G5100" i="1"/>
  <c r="H5100" i="1"/>
  <c r="K5100" i="1"/>
  <c r="F376" i="1"/>
  <c r="G376" i="1"/>
  <c r="H376" i="1"/>
  <c r="K376" i="1"/>
  <c r="F377" i="1"/>
  <c r="G377" i="1"/>
  <c r="H377" i="1"/>
  <c r="K377" i="1"/>
  <c r="F5101" i="1"/>
  <c r="G5101" i="1"/>
  <c r="H5101" i="1"/>
  <c r="K5101" i="1"/>
  <c r="F6472" i="1"/>
  <c r="G6472" i="1"/>
  <c r="H6472" i="1"/>
  <c r="K6472" i="1"/>
  <c r="F5102" i="1"/>
  <c r="G5102" i="1"/>
  <c r="H5102" i="1"/>
  <c r="K5102" i="1"/>
  <c r="F3662" i="1"/>
  <c r="G3662" i="1"/>
  <c r="H3662" i="1"/>
  <c r="K3662" i="1"/>
  <c r="F378" i="1"/>
  <c r="G378" i="1"/>
  <c r="H378" i="1"/>
  <c r="K378" i="1"/>
  <c r="F6473" i="1"/>
  <c r="G6473" i="1"/>
  <c r="H6473" i="1"/>
  <c r="K6473" i="1"/>
  <c r="F6474" i="1"/>
  <c r="G6474" i="1"/>
  <c r="H6474" i="1"/>
  <c r="K6474" i="1"/>
  <c r="F5103" i="1"/>
  <c r="G5103" i="1"/>
  <c r="H5103" i="1"/>
  <c r="K5103" i="1"/>
  <c r="F5104" i="1"/>
  <c r="G5104" i="1"/>
  <c r="H5104" i="1"/>
  <c r="K5104" i="1"/>
  <c r="F5105" i="1"/>
  <c r="G5105" i="1"/>
  <c r="H5105" i="1"/>
  <c r="K5105" i="1"/>
  <c r="F5106" i="1"/>
  <c r="G5106" i="1"/>
  <c r="H5106" i="1"/>
  <c r="K5106" i="1"/>
  <c r="F5107" i="1"/>
  <c r="G5107" i="1"/>
  <c r="H5107" i="1"/>
  <c r="K5107" i="1"/>
  <c r="F5108" i="1"/>
  <c r="G5108" i="1"/>
  <c r="H5108" i="1"/>
  <c r="K5108" i="1"/>
  <c r="F6475" i="1"/>
  <c r="G6475" i="1"/>
  <c r="H6475" i="1"/>
  <c r="K6475" i="1"/>
  <c r="F6476" i="1"/>
  <c r="G6476" i="1"/>
  <c r="H6476" i="1"/>
  <c r="K6476" i="1"/>
  <c r="F6477" i="1"/>
  <c r="G6477" i="1"/>
  <c r="H6477" i="1"/>
  <c r="K6477" i="1"/>
  <c r="F5109" i="1"/>
  <c r="G5109" i="1"/>
  <c r="H5109" i="1"/>
  <c r="K5109" i="1"/>
  <c r="F5110" i="1"/>
  <c r="G5110" i="1"/>
  <c r="H5110" i="1"/>
  <c r="K5110" i="1"/>
  <c r="F379" i="1"/>
  <c r="G379" i="1"/>
  <c r="H379" i="1"/>
  <c r="K379" i="1"/>
  <c r="F2442" i="1"/>
  <c r="G2442" i="1"/>
  <c r="H2442" i="1"/>
  <c r="K2442" i="1"/>
  <c r="F2443" i="1"/>
  <c r="G2443" i="1"/>
  <c r="H2443" i="1"/>
  <c r="K2443" i="1"/>
  <c r="F380" i="1"/>
  <c r="G380" i="1"/>
  <c r="H380" i="1"/>
  <c r="K380" i="1"/>
  <c r="F6478" i="1"/>
  <c r="G6478" i="1"/>
  <c r="H6478" i="1"/>
  <c r="K6478" i="1"/>
  <c r="F6479" i="1"/>
  <c r="G6479" i="1"/>
  <c r="H6479" i="1"/>
  <c r="K6479" i="1"/>
  <c r="F381" i="1"/>
  <c r="G381" i="1"/>
  <c r="H381" i="1"/>
  <c r="K381" i="1"/>
  <c r="F382" i="1"/>
  <c r="G382" i="1"/>
  <c r="H382" i="1"/>
  <c r="K382" i="1"/>
  <c r="F383" i="1"/>
  <c r="G383" i="1"/>
  <c r="H383" i="1"/>
  <c r="K383" i="1"/>
  <c r="F384" i="1"/>
  <c r="G384" i="1"/>
  <c r="H384" i="1"/>
  <c r="K384" i="1"/>
  <c r="F6480" i="1"/>
  <c r="G6480" i="1"/>
  <c r="H6480" i="1"/>
  <c r="K6480" i="1"/>
  <c r="F385" i="1"/>
  <c r="G385" i="1"/>
  <c r="H385" i="1"/>
  <c r="K385" i="1"/>
  <c r="F2444" i="1"/>
  <c r="G2444" i="1"/>
  <c r="H2444" i="1"/>
  <c r="K2444" i="1"/>
  <c r="F3663" i="1"/>
  <c r="G3663" i="1"/>
  <c r="H3663" i="1"/>
  <c r="K3663" i="1"/>
  <c r="F2445" i="1"/>
  <c r="G2445" i="1"/>
  <c r="H2445" i="1"/>
  <c r="K2445" i="1"/>
  <c r="F2446" i="1"/>
  <c r="G2446" i="1"/>
  <c r="H2446" i="1"/>
  <c r="K2446" i="1"/>
  <c r="F3664" i="1"/>
  <c r="G3664" i="1"/>
  <c r="H3664" i="1"/>
  <c r="K3664" i="1"/>
  <c r="F2447" i="1"/>
  <c r="G2447" i="1"/>
  <c r="H2447" i="1"/>
  <c r="K2447" i="1"/>
  <c r="F6481" i="1"/>
  <c r="G6481" i="1"/>
  <c r="H6481" i="1"/>
  <c r="K6481" i="1"/>
  <c r="F5111" i="1"/>
  <c r="G5111" i="1"/>
  <c r="H5111" i="1"/>
  <c r="K5111" i="1"/>
  <c r="F386" i="1"/>
  <c r="G386" i="1"/>
  <c r="H386" i="1"/>
  <c r="K386" i="1"/>
  <c r="F387" i="1"/>
  <c r="G387" i="1"/>
  <c r="H387" i="1"/>
  <c r="K387" i="1"/>
  <c r="F2448" i="1"/>
  <c r="G2448" i="1"/>
  <c r="H2448" i="1"/>
  <c r="K2448" i="1"/>
  <c r="F2449" i="1"/>
  <c r="G2449" i="1"/>
  <c r="H2449" i="1"/>
  <c r="K2449" i="1"/>
  <c r="F388" i="1"/>
  <c r="G388" i="1"/>
  <c r="H388" i="1"/>
  <c r="K388" i="1"/>
  <c r="F389" i="1"/>
  <c r="G389" i="1"/>
  <c r="H389" i="1"/>
  <c r="K389" i="1"/>
  <c r="F390" i="1"/>
  <c r="G390" i="1"/>
  <c r="H390" i="1"/>
  <c r="K390" i="1"/>
  <c r="F5112" i="1"/>
  <c r="G5112" i="1"/>
  <c r="H5112" i="1"/>
  <c r="K5112" i="1"/>
  <c r="F6482" i="1"/>
  <c r="G6482" i="1"/>
  <c r="H6482" i="1"/>
  <c r="K6482" i="1"/>
  <c r="F391" i="1"/>
  <c r="G391" i="1"/>
  <c r="H391" i="1"/>
  <c r="K391" i="1"/>
  <c r="F392" i="1"/>
  <c r="G392" i="1"/>
  <c r="H392" i="1"/>
  <c r="K392" i="1"/>
  <c r="F2450" i="1"/>
  <c r="G2450" i="1"/>
  <c r="H2450" i="1"/>
  <c r="K2450" i="1"/>
  <c r="F5113" i="1"/>
  <c r="G5113" i="1"/>
  <c r="H5113" i="1"/>
  <c r="K5113" i="1"/>
  <c r="F6483" i="1"/>
  <c r="G6483" i="1"/>
  <c r="H6483" i="1"/>
  <c r="K6483" i="1"/>
  <c r="F5114" i="1"/>
  <c r="G5114" i="1"/>
  <c r="H5114" i="1"/>
  <c r="K5114" i="1"/>
  <c r="F3665" i="1"/>
  <c r="G3665" i="1"/>
  <c r="H3665" i="1"/>
  <c r="K3665" i="1"/>
  <c r="F2451" i="1"/>
  <c r="G2451" i="1"/>
  <c r="H2451" i="1"/>
  <c r="K2451" i="1"/>
  <c r="F2452" i="1"/>
  <c r="G2452" i="1"/>
  <c r="H2452" i="1"/>
  <c r="K2452" i="1"/>
  <c r="F393" i="1"/>
  <c r="G393" i="1"/>
  <c r="H393" i="1"/>
  <c r="K393" i="1"/>
  <c r="F394" i="1"/>
  <c r="G394" i="1"/>
  <c r="H394" i="1"/>
  <c r="K394" i="1"/>
  <c r="F3666" i="1"/>
  <c r="G3666" i="1"/>
  <c r="H3666" i="1"/>
  <c r="K3666" i="1"/>
  <c r="F5115" i="1"/>
  <c r="G5115" i="1"/>
  <c r="H5115" i="1"/>
  <c r="K5115" i="1"/>
  <c r="F3667" i="1"/>
  <c r="G3667" i="1"/>
  <c r="H3667" i="1"/>
  <c r="K3667" i="1"/>
  <c r="F395" i="1"/>
  <c r="G395" i="1"/>
  <c r="H395" i="1"/>
  <c r="K395" i="1"/>
  <c r="F5116" i="1"/>
  <c r="G5116" i="1"/>
  <c r="H5116" i="1"/>
  <c r="K5116" i="1"/>
  <c r="F396" i="1"/>
  <c r="G396" i="1"/>
  <c r="H396" i="1"/>
  <c r="K396" i="1"/>
  <c r="F5117" i="1"/>
  <c r="G5117" i="1"/>
  <c r="H5117" i="1"/>
  <c r="K5117" i="1"/>
  <c r="F5118" i="1"/>
  <c r="G5118" i="1"/>
  <c r="H5118" i="1"/>
  <c r="K5118" i="1"/>
  <c r="F6484" i="1"/>
  <c r="G6484" i="1"/>
  <c r="H6484" i="1"/>
  <c r="K6484" i="1"/>
  <c r="F6485" i="1"/>
  <c r="G6485" i="1"/>
  <c r="H6485" i="1"/>
  <c r="K6485" i="1"/>
  <c r="F2453" i="1"/>
  <c r="G2453" i="1"/>
  <c r="H2453" i="1"/>
  <c r="K2453" i="1"/>
  <c r="F3668" i="1"/>
  <c r="G3668" i="1"/>
  <c r="H3668" i="1"/>
  <c r="K3668" i="1"/>
  <c r="F3669" i="1"/>
  <c r="G3669" i="1"/>
  <c r="H3669" i="1"/>
  <c r="K3669" i="1"/>
  <c r="F397" i="1"/>
  <c r="G397" i="1"/>
  <c r="H397" i="1"/>
  <c r="K397" i="1"/>
  <c r="F3670" i="1"/>
  <c r="G3670" i="1"/>
  <c r="H3670" i="1"/>
  <c r="K3670" i="1"/>
  <c r="F398" i="1"/>
  <c r="G398" i="1"/>
  <c r="H398" i="1"/>
  <c r="K398" i="1"/>
  <c r="F5119" i="1"/>
  <c r="G5119" i="1"/>
  <c r="H5119" i="1"/>
  <c r="K5119" i="1"/>
  <c r="F5120" i="1"/>
  <c r="G5120" i="1"/>
  <c r="H5120" i="1"/>
  <c r="K5120" i="1"/>
  <c r="F6486" i="1"/>
  <c r="G6486" i="1"/>
  <c r="H6486" i="1"/>
  <c r="K6486" i="1"/>
  <c r="F2454" i="1"/>
  <c r="G2454" i="1"/>
  <c r="H2454" i="1"/>
  <c r="K2454" i="1"/>
  <c r="F2455" i="1"/>
  <c r="G2455" i="1"/>
  <c r="H2455" i="1"/>
  <c r="K2455" i="1"/>
  <c r="F6487" i="1"/>
  <c r="G6487" i="1"/>
  <c r="H6487" i="1"/>
  <c r="K6487" i="1"/>
  <c r="F2456" i="1"/>
  <c r="G2456" i="1"/>
  <c r="H2456" i="1"/>
  <c r="K2456" i="1"/>
  <c r="F3671" i="1"/>
  <c r="G3671" i="1"/>
  <c r="H3671" i="1"/>
  <c r="K3671" i="1"/>
  <c r="F2457" i="1"/>
  <c r="G2457" i="1"/>
  <c r="H2457" i="1"/>
  <c r="K2457" i="1"/>
  <c r="F3672" i="1"/>
  <c r="G3672" i="1"/>
  <c r="H3672" i="1"/>
  <c r="K3672" i="1"/>
  <c r="F6488" i="1"/>
  <c r="G6488" i="1"/>
  <c r="H6488" i="1"/>
  <c r="K6488" i="1"/>
  <c r="F6489" i="1"/>
  <c r="G6489" i="1"/>
  <c r="H6489" i="1"/>
  <c r="K6489" i="1"/>
  <c r="F6490" i="1"/>
  <c r="G6490" i="1"/>
  <c r="H6490" i="1"/>
  <c r="K6490" i="1"/>
  <c r="F3673" i="1"/>
  <c r="G3673" i="1"/>
  <c r="H3673" i="1"/>
  <c r="K3673" i="1"/>
  <c r="F399" i="1"/>
  <c r="G399" i="1"/>
  <c r="H399" i="1"/>
  <c r="K399" i="1"/>
  <c r="F6491" i="1"/>
  <c r="G6491" i="1"/>
  <c r="H6491" i="1"/>
  <c r="K6491" i="1"/>
  <c r="F3674" i="1"/>
  <c r="G3674" i="1"/>
  <c r="H3674" i="1"/>
  <c r="K3674" i="1"/>
  <c r="F400" i="1"/>
  <c r="G400" i="1"/>
  <c r="H400" i="1"/>
  <c r="K400" i="1"/>
  <c r="F6492" i="1"/>
  <c r="G6492" i="1"/>
  <c r="H6492" i="1"/>
  <c r="K6492" i="1"/>
  <c r="F5121" i="1"/>
  <c r="G5121" i="1"/>
  <c r="H5121" i="1"/>
  <c r="K5121" i="1"/>
  <c r="F401" i="1"/>
  <c r="G401" i="1"/>
  <c r="H401" i="1"/>
  <c r="K401" i="1"/>
  <c r="F402" i="1"/>
  <c r="G402" i="1"/>
  <c r="H402" i="1"/>
  <c r="K402" i="1"/>
  <c r="F2458" i="1"/>
  <c r="G2458" i="1"/>
  <c r="H2458" i="1"/>
  <c r="K2458" i="1"/>
  <c r="F2459" i="1"/>
  <c r="G2459" i="1"/>
  <c r="H2459" i="1"/>
  <c r="K2459" i="1"/>
  <c r="F2460" i="1"/>
  <c r="G2460" i="1"/>
  <c r="H2460" i="1"/>
  <c r="K2460" i="1"/>
  <c r="F2461" i="1"/>
  <c r="G2461" i="1"/>
  <c r="H2461" i="1"/>
  <c r="K2461" i="1"/>
  <c r="F2462" i="1"/>
  <c r="G2462" i="1"/>
  <c r="H2462" i="1"/>
  <c r="K2462" i="1"/>
  <c r="F6493" i="1"/>
  <c r="G6493" i="1"/>
  <c r="H6493" i="1"/>
  <c r="K6493" i="1"/>
  <c r="F403" i="1"/>
  <c r="G403" i="1"/>
  <c r="H403" i="1"/>
  <c r="K403" i="1"/>
  <c r="F404" i="1"/>
  <c r="G404" i="1"/>
  <c r="H404" i="1"/>
  <c r="K404" i="1"/>
  <c r="F6494" i="1"/>
  <c r="G6494" i="1"/>
  <c r="H6494" i="1"/>
  <c r="K6494" i="1"/>
  <c r="F6495" i="1"/>
  <c r="G6495" i="1"/>
  <c r="H6495" i="1"/>
  <c r="K6495" i="1"/>
  <c r="F6496" i="1"/>
  <c r="G6496" i="1"/>
  <c r="H6496" i="1"/>
  <c r="K6496" i="1"/>
  <c r="F405" i="1"/>
  <c r="G405" i="1"/>
  <c r="H405" i="1"/>
  <c r="K405" i="1"/>
  <c r="F6497" i="1"/>
  <c r="G6497" i="1"/>
  <c r="H6497" i="1"/>
  <c r="K6497" i="1"/>
  <c r="F3675" i="1"/>
  <c r="G3675" i="1"/>
  <c r="H3675" i="1"/>
  <c r="K3675" i="1"/>
  <c r="F6498" i="1"/>
  <c r="G6498" i="1"/>
  <c r="H6498" i="1"/>
  <c r="K6498" i="1"/>
  <c r="F5122" i="1"/>
  <c r="G5122" i="1"/>
  <c r="H5122" i="1"/>
  <c r="K5122" i="1"/>
  <c r="F3676" i="1"/>
  <c r="G3676" i="1"/>
  <c r="H3676" i="1"/>
  <c r="K3676" i="1"/>
  <c r="F6499" i="1"/>
  <c r="G6499" i="1"/>
  <c r="H6499" i="1"/>
  <c r="K6499" i="1"/>
  <c r="F6500" i="1"/>
  <c r="G6500" i="1"/>
  <c r="H6500" i="1"/>
  <c r="K6500" i="1"/>
  <c r="F406" i="1"/>
  <c r="G406" i="1"/>
  <c r="H406" i="1"/>
  <c r="K406" i="1"/>
  <c r="F2463" i="1"/>
  <c r="G2463" i="1"/>
  <c r="H2463" i="1"/>
  <c r="K2463" i="1"/>
  <c r="F5123" i="1"/>
  <c r="G5123" i="1"/>
  <c r="H5123" i="1"/>
  <c r="K5123" i="1"/>
  <c r="F5124" i="1"/>
  <c r="G5124" i="1"/>
  <c r="H5124" i="1"/>
  <c r="K5124" i="1"/>
  <c r="F3677" i="1"/>
  <c r="G3677" i="1"/>
  <c r="H3677" i="1"/>
  <c r="K3677" i="1"/>
  <c r="F407" i="1"/>
  <c r="G407" i="1"/>
  <c r="H407" i="1"/>
  <c r="K407" i="1"/>
  <c r="F408" i="1"/>
  <c r="G408" i="1"/>
  <c r="H408" i="1"/>
  <c r="K408" i="1"/>
  <c r="F409" i="1"/>
  <c r="G409" i="1"/>
  <c r="H409" i="1"/>
  <c r="K409" i="1"/>
  <c r="F410" i="1"/>
  <c r="G410" i="1"/>
  <c r="H410" i="1"/>
  <c r="K410" i="1"/>
  <c r="F411" i="1"/>
  <c r="G411" i="1"/>
  <c r="H411" i="1"/>
  <c r="K411" i="1"/>
  <c r="F412" i="1"/>
  <c r="G412" i="1"/>
  <c r="H412" i="1"/>
  <c r="K412" i="1"/>
  <c r="F413" i="1"/>
  <c r="G413" i="1"/>
  <c r="H413" i="1"/>
  <c r="K413" i="1"/>
  <c r="F2464" i="1"/>
  <c r="G2464" i="1"/>
  <c r="H2464" i="1"/>
  <c r="K2464" i="1"/>
  <c r="F2465" i="1"/>
  <c r="G2465" i="1"/>
  <c r="H2465" i="1"/>
  <c r="K2465" i="1"/>
  <c r="F2466" i="1"/>
  <c r="G2466" i="1"/>
  <c r="H2466" i="1"/>
  <c r="K2466" i="1"/>
  <c r="F2467" i="1"/>
  <c r="G2467" i="1"/>
  <c r="H2467" i="1"/>
  <c r="K2467" i="1"/>
  <c r="F2468" i="1"/>
  <c r="G2468" i="1"/>
  <c r="H2468" i="1"/>
  <c r="K2468" i="1"/>
  <c r="F2469" i="1"/>
  <c r="G2469" i="1"/>
  <c r="H2469" i="1"/>
  <c r="K2469" i="1"/>
  <c r="F3678" i="1"/>
  <c r="G3678" i="1"/>
  <c r="H3678" i="1"/>
  <c r="K3678" i="1"/>
  <c r="F3679" i="1"/>
  <c r="G3679" i="1"/>
  <c r="H3679" i="1"/>
  <c r="K3679" i="1"/>
  <c r="F3680" i="1"/>
  <c r="G3680" i="1"/>
  <c r="H3680" i="1"/>
  <c r="K3680" i="1"/>
  <c r="F3681" i="1"/>
  <c r="G3681" i="1"/>
  <c r="H3681" i="1"/>
  <c r="K3681" i="1"/>
  <c r="F3682" i="1"/>
  <c r="G3682" i="1"/>
  <c r="H3682" i="1"/>
  <c r="K3682" i="1"/>
  <c r="F3683" i="1"/>
  <c r="G3683" i="1"/>
  <c r="H3683" i="1"/>
  <c r="K3683" i="1"/>
  <c r="F3684" i="1"/>
  <c r="G3684" i="1"/>
  <c r="H3684" i="1"/>
  <c r="K3684" i="1"/>
  <c r="F414" i="1"/>
  <c r="G414" i="1"/>
  <c r="H414" i="1"/>
  <c r="K414" i="1"/>
  <c r="F2470" i="1"/>
  <c r="G2470" i="1"/>
  <c r="H2470" i="1"/>
  <c r="K2470" i="1"/>
  <c r="F3685" i="1"/>
  <c r="G3685" i="1"/>
  <c r="H3685" i="1"/>
  <c r="K3685" i="1"/>
  <c r="F3686" i="1"/>
  <c r="G3686" i="1"/>
  <c r="H3686" i="1"/>
  <c r="K3686" i="1"/>
  <c r="F3687" i="1"/>
  <c r="G3687" i="1"/>
  <c r="H3687" i="1"/>
  <c r="K3687" i="1"/>
  <c r="F415" i="1"/>
  <c r="G415" i="1"/>
  <c r="H415" i="1"/>
  <c r="K415" i="1"/>
  <c r="F6501" i="1"/>
  <c r="G6501" i="1"/>
  <c r="H6501" i="1"/>
  <c r="K6501" i="1"/>
  <c r="F416" i="1"/>
  <c r="G416" i="1"/>
  <c r="H416" i="1"/>
  <c r="K416" i="1"/>
  <c r="F6502" i="1"/>
  <c r="G6502" i="1"/>
  <c r="H6502" i="1"/>
  <c r="K6502" i="1"/>
  <c r="F2471" i="1"/>
  <c r="G2471" i="1"/>
  <c r="H2471" i="1"/>
  <c r="K2471" i="1"/>
  <c r="F3688" i="1"/>
  <c r="G3688" i="1"/>
  <c r="H3688" i="1"/>
  <c r="K3688" i="1"/>
  <c r="F3689" i="1"/>
  <c r="G3689" i="1"/>
  <c r="H3689" i="1"/>
  <c r="K3689" i="1"/>
  <c r="F3690" i="1"/>
  <c r="G3690" i="1"/>
  <c r="H3690" i="1"/>
  <c r="K3690" i="1"/>
  <c r="F2472" i="1"/>
  <c r="G2472" i="1"/>
  <c r="H2472" i="1"/>
  <c r="K2472" i="1"/>
  <c r="F2473" i="1"/>
  <c r="G2473" i="1"/>
  <c r="H2473" i="1"/>
  <c r="K2473" i="1"/>
  <c r="F6503" i="1"/>
  <c r="G6503" i="1"/>
  <c r="H6503" i="1"/>
  <c r="K6503" i="1"/>
  <c r="F417" i="1"/>
  <c r="G417" i="1"/>
  <c r="H417" i="1"/>
  <c r="K417" i="1"/>
  <c r="F418" i="1"/>
  <c r="G418" i="1"/>
  <c r="H418" i="1"/>
  <c r="K418" i="1"/>
  <c r="F3691" i="1"/>
  <c r="G3691" i="1"/>
  <c r="H3691" i="1"/>
  <c r="K3691" i="1"/>
  <c r="F5125" i="1"/>
  <c r="G5125" i="1"/>
  <c r="H5125" i="1"/>
  <c r="K5125" i="1"/>
  <c r="F5126" i="1"/>
  <c r="G5126" i="1"/>
  <c r="H5126" i="1"/>
  <c r="K5126" i="1"/>
  <c r="F6504" i="1"/>
  <c r="G6504" i="1"/>
  <c r="H6504" i="1"/>
  <c r="K6504" i="1"/>
  <c r="F2474" i="1"/>
  <c r="G2474" i="1"/>
  <c r="H2474" i="1"/>
  <c r="K2474" i="1"/>
  <c r="F419" i="1"/>
  <c r="G419" i="1"/>
  <c r="H419" i="1"/>
  <c r="K419" i="1"/>
  <c r="F6505" i="1"/>
  <c r="G6505" i="1"/>
  <c r="H6505" i="1"/>
  <c r="K6505" i="1"/>
  <c r="F5127" i="1"/>
  <c r="G5127" i="1"/>
  <c r="H5127" i="1"/>
  <c r="K5127" i="1"/>
  <c r="F5128" i="1"/>
  <c r="G5128" i="1"/>
  <c r="H5128" i="1"/>
  <c r="K5128" i="1"/>
  <c r="F6506" i="1"/>
  <c r="G6506" i="1"/>
  <c r="H6506" i="1"/>
  <c r="K6506" i="1"/>
  <c r="F2475" i="1"/>
  <c r="G2475" i="1"/>
  <c r="H2475" i="1"/>
  <c r="K2475" i="1"/>
  <c r="F6507" i="1"/>
  <c r="G6507" i="1"/>
  <c r="H6507" i="1"/>
  <c r="K6507" i="1"/>
  <c r="F6508" i="1"/>
  <c r="G6508" i="1"/>
  <c r="H6508" i="1"/>
  <c r="K6508" i="1"/>
  <c r="F3692" i="1"/>
  <c r="G3692" i="1"/>
  <c r="H3692" i="1"/>
  <c r="K3692" i="1"/>
  <c r="F3693" i="1"/>
  <c r="G3693" i="1"/>
  <c r="H3693" i="1"/>
  <c r="K3693" i="1"/>
  <c r="F3694" i="1"/>
  <c r="G3694" i="1"/>
  <c r="H3694" i="1"/>
  <c r="K3694" i="1"/>
  <c r="F420" i="1"/>
  <c r="G420" i="1"/>
  <c r="H420" i="1"/>
  <c r="K420" i="1"/>
  <c r="F6509" i="1"/>
  <c r="G6509" i="1"/>
  <c r="H6509" i="1"/>
  <c r="K6509" i="1"/>
  <c r="F5129" i="1"/>
  <c r="G5129" i="1"/>
  <c r="H5129" i="1"/>
  <c r="K5129" i="1"/>
  <c r="F5130" i="1"/>
  <c r="G5130" i="1"/>
  <c r="H5130" i="1"/>
  <c r="K5130" i="1"/>
  <c r="F2476" i="1"/>
  <c r="G2476" i="1"/>
  <c r="H2476" i="1"/>
  <c r="K2476" i="1"/>
  <c r="F2477" i="1"/>
  <c r="G2477" i="1"/>
  <c r="H2477" i="1"/>
  <c r="K2477" i="1"/>
  <c r="F5131" i="1"/>
  <c r="G5131" i="1"/>
  <c r="H5131" i="1"/>
  <c r="K5131" i="1"/>
  <c r="F421" i="1"/>
  <c r="G421" i="1"/>
  <c r="H421" i="1"/>
  <c r="K421" i="1"/>
  <c r="F6510" i="1"/>
  <c r="G6510" i="1"/>
  <c r="H6510" i="1"/>
  <c r="K6510" i="1"/>
  <c r="F3695" i="1"/>
  <c r="G3695" i="1"/>
  <c r="H3695" i="1"/>
  <c r="K3695" i="1"/>
  <c r="F6511" i="1"/>
  <c r="G6511" i="1"/>
  <c r="H6511" i="1"/>
  <c r="K6511" i="1"/>
  <c r="F5132" i="1"/>
  <c r="G5132" i="1"/>
  <c r="H5132" i="1"/>
  <c r="K5132" i="1"/>
  <c r="F5133" i="1"/>
  <c r="G5133" i="1"/>
  <c r="H5133" i="1"/>
  <c r="K5133" i="1"/>
  <c r="F2478" i="1"/>
  <c r="G2478" i="1"/>
  <c r="H2478" i="1"/>
  <c r="K2478" i="1"/>
  <c r="F3696" i="1"/>
  <c r="G3696" i="1"/>
  <c r="H3696" i="1"/>
  <c r="K3696" i="1"/>
  <c r="F2479" i="1"/>
  <c r="G2479" i="1"/>
  <c r="H2479" i="1"/>
  <c r="K2479" i="1"/>
  <c r="F5134" i="1"/>
  <c r="G5134" i="1"/>
  <c r="H5134" i="1"/>
  <c r="K5134" i="1"/>
  <c r="F422" i="1"/>
  <c r="G422" i="1"/>
  <c r="H422" i="1"/>
  <c r="K422" i="1"/>
  <c r="F2480" i="1"/>
  <c r="G2480" i="1"/>
  <c r="H2480" i="1"/>
  <c r="K2480" i="1"/>
  <c r="F6512" i="1"/>
  <c r="G6512" i="1"/>
  <c r="H6512" i="1"/>
  <c r="K6512" i="1"/>
  <c r="F5135" i="1"/>
  <c r="G5135" i="1"/>
  <c r="H5135" i="1"/>
  <c r="K5135" i="1"/>
  <c r="F6513" i="1"/>
  <c r="G6513" i="1"/>
  <c r="H6513" i="1"/>
  <c r="K6513" i="1"/>
  <c r="F423" i="1"/>
  <c r="G423" i="1"/>
  <c r="H423" i="1"/>
  <c r="K423" i="1"/>
  <c r="F6514" i="1"/>
  <c r="G6514" i="1"/>
  <c r="H6514" i="1"/>
  <c r="K6514" i="1"/>
  <c r="F3697" i="1"/>
  <c r="G3697" i="1"/>
  <c r="H3697" i="1"/>
  <c r="K3697" i="1"/>
  <c r="F3698" i="1"/>
  <c r="G3698" i="1"/>
  <c r="H3698" i="1"/>
  <c r="K3698" i="1"/>
  <c r="F6515" i="1"/>
  <c r="G6515" i="1"/>
  <c r="H6515" i="1"/>
  <c r="K6515" i="1"/>
  <c r="F2481" i="1"/>
  <c r="G2481" i="1"/>
  <c r="H2481" i="1"/>
  <c r="K2481" i="1"/>
  <c r="F424" i="1"/>
  <c r="G424" i="1"/>
  <c r="H424" i="1"/>
  <c r="K424" i="1"/>
  <c r="F2482" i="1"/>
  <c r="G2482" i="1"/>
  <c r="H2482" i="1"/>
  <c r="K2482" i="1"/>
  <c r="F425" i="1"/>
  <c r="G425" i="1"/>
  <c r="H425" i="1"/>
  <c r="K425" i="1"/>
  <c r="F3699" i="1"/>
  <c r="G3699" i="1"/>
  <c r="H3699" i="1"/>
  <c r="K3699" i="1"/>
  <c r="F6516" i="1"/>
  <c r="G6516" i="1"/>
  <c r="H6516" i="1"/>
  <c r="K6516" i="1"/>
  <c r="F3700" i="1"/>
  <c r="G3700" i="1"/>
  <c r="H3700" i="1"/>
  <c r="K3700" i="1"/>
  <c r="F6517" i="1"/>
  <c r="G6517" i="1"/>
  <c r="H6517" i="1"/>
  <c r="K6517" i="1"/>
  <c r="F5136" i="1"/>
  <c r="G5136" i="1"/>
  <c r="H5136" i="1"/>
  <c r="K5136" i="1"/>
  <c r="F2483" i="1"/>
  <c r="G2483" i="1"/>
  <c r="H2483" i="1"/>
  <c r="K2483" i="1"/>
  <c r="F6518" i="1"/>
  <c r="G6518" i="1"/>
  <c r="H6518" i="1"/>
  <c r="K6518" i="1"/>
  <c r="F5137" i="1"/>
  <c r="G5137" i="1"/>
  <c r="H5137" i="1"/>
  <c r="K5137" i="1"/>
  <c r="F6519" i="1"/>
  <c r="G6519" i="1"/>
  <c r="H6519" i="1"/>
  <c r="K6519" i="1"/>
  <c r="F5138" i="1"/>
  <c r="G5138" i="1"/>
  <c r="H5138" i="1"/>
  <c r="K5138" i="1"/>
  <c r="F5139" i="1"/>
  <c r="G5139" i="1"/>
  <c r="H5139" i="1"/>
  <c r="K5139" i="1"/>
  <c r="F3701" i="1"/>
  <c r="G3701" i="1"/>
  <c r="H3701" i="1"/>
  <c r="K3701" i="1"/>
  <c r="F6520" i="1"/>
  <c r="G6520" i="1"/>
  <c r="H6520" i="1"/>
  <c r="K6520" i="1"/>
  <c r="F426" i="1"/>
  <c r="G426" i="1"/>
  <c r="H426" i="1"/>
  <c r="K426" i="1"/>
  <c r="F6521" i="1"/>
  <c r="G6521" i="1"/>
  <c r="H6521" i="1"/>
  <c r="K6521" i="1"/>
  <c r="F5140" i="1"/>
  <c r="G5140" i="1"/>
  <c r="H5140" i="1"/>
  <c r="K5140" i="1"/>
  <c r="F6522" i="1"/>
  <c r="G6522" i="1"/>
  <c r="H6522" i="1"/>
  <c r="K6522" i="1"/>
  <c r="F427" i="1"/>
  <c r="G427" i="1"/>
  <c r="H427" i="1"/>
  <c r="K427" i="1"/>
  <c r="F5141" i="1"/>
  <c r="G5141" i="1"/>
  <c r="H5141" i="1"/>
  <c r="K5141" i="1"/>
  <c r="F5142" i="1"/>
  <c r="G5142" i="1"/>
  <c r="H5142" i="1"/>
  <c r="K5142" i="1"/>
  <c r="F2484" i="1"/>
  <c r="G2484" i="1"/>
  <c r="H2484" i="1"/>
  <c r="K2484" i="1"/>
  <c r="F428" i="1"/>
  <c r="G428" i="1"/>
  <c r="H428" i="1"/>
  <c r="K428" i="1"/>
  <c r="F429" i="1"/>
  <c r="G429" i="1"/>
  <c r="H429" i="1"/>
  <c r="K429" i="1"/>
  <c r="F6523" i="1"/>
  <c r="G6523" i="1"/>
  <c r="H6523" i="1"/>
  <c r="K6523" i="1"/>
  <c r="F6524" i="1"/>
  <c r="G6524" i="1"/>
  <c r="H6524" i="1"/>
  <c r="K6524" i="1"/>
  <c r="F6525" i="1"/>
  <c r="G6525" i="1"/>
  <c r="H6525" i="1"/>
  <c r="K6525" i="1"/>
  <c r="F5143" i="1"/>
  <c r="G5143" i="1"/>
  <c r="H5143" i="1"/>
  <c r="K5143" i="1"/>
  <c r="F5144" i="1"/>
  <c r="G5144" i="1"/>
  <c r="H5144" i="1"/>
  <c r="K5144" i="1"/>
  <c r="F430" i="1"/>
  <c r="G430" i="1"/>
  <c r="H430" i="1"/>
  <c r="K430" i="1"/>
  <c r="F3702" i="1"/>
  <c r="G3702" i="1"/>
  <c r="H3702" i="1"/>
  <c r="K3702" i="1"/>
  <c r="F3703" i="1"/>
  <c r="G3703" i="1"/>
  <c r="H3703" i="1"/>
  <c r="K3703" i="1"/>
  <c r="F431" i="1"/>
  <c r="G431" i="1"/>
  <c r="H431" i="1"/>
  <c r="K431" i="1"/>
  <c r="F432" i="1"/>
  <c r="G432" i="1"/>
  <c r="H432" i="1"/>
  <c r="K432" i="1"/>
  <c r="F6526" i="1"/>
  <c r="G6526" i="1"/>
  <c r="H6526" i="1"/>
  <c r="K6526" i="1"/>
  <c r="F5145" i="1"/>
  <c r="G5145" i="1"/>
  <c r="H5145" i="1"/>
  <c r="K5145" i="1"/>
  <c r="F433" i="1"/>
  <c r="G433" i="1"/>
  <c r="H433" i="1"/>
  <c r="K433" i="1"/>
  <c r="F6527" i="1"/>
  <c r="G6527" i="1"/>
  <c r="H6527" i="1"/>
  <c r="K6527" i="1"/>
  <c r="F434" i="1"/>
  <c r="G434" i="1"/>
  <c r="H434" i="1"/>
  <c r="K434" i="1"/>
  <c r="F435" i="1"/>
  <c r="G435" i="1"/>
  <c r="H435" i="1"/>
  <c r="K435" i="1"/>
  <c r="F2485" i="1"/>
  <c r="G2485" i="1"/>
  <c r="H2485" i="1"/>
  <c r="K2485" i="1"/>
  <c r="F2486" i="1"/>
  <c r="G2486" i="1"/>
  <c r="H2486" i="1"/>
  <c r="K2486" i="1"/>
  <c r="F5146" i="1"/>
  <c r="G5146" i="1"/>
  <c r="H5146" i="1"/>
  <c r="K5146" i="1"/>
  <c r="F6528" i="1"/>
  <c r="G6528" i="1"/>
  <c r="H6528" i="1"/>
  <c r="K6528" i="1"/>
  <c r="F5147" i="1"/>
  <c r="G5147" i="1"/>
  <c r="H5147" i="1"/>
  <c r="K5147" i="1"/>
  <c r="F5148" i="1"/>
  <c r="G5148" i="1"/>
  <c r="H5148" i="1"/>
  <c r="K5148" i="1"/>
  <c r="F2487" i="1"/>
  <c r="G2487" i="1"/>
  <c r="H2487" i="1"/>
  <c r="K2487" i="1"/>
  <c r="F3704" i="1"/>
  <c r="G3704" i="1"/>
  <c r="H3704" i="1"/>
  <c r="K3704" i="1"/>
  <c r="F6529" i="1"/>
  <c r="G6529" i="1"/>
  <c r="H6529" i="1"/>
  <c r="K6529" i="1"/>
  <c r="F3705" i="1"/>
  <c r="G3705" i="1"/>
  <c r="H3705" i="1"/>
  <c r="K3705" i="1"/>
  <c r="F436" i="1"/>
  <c r="G436" i="1"/>
  <c r="H436" i="1"/>
  <c r="K436" i="1"/>
  <c r="F3706" i="1"/>
  <c r="G3706" i="1"/>
  <c r="H3706" i="1"/>
  <c r="K3706" i="1"/>
  <c r="F6530" i="1"/>
  <c r="G6530" i="1"/>
  <c r="H6530" i="1"/>
  <c r="K6530" i="1"/>
  <c r="F437" i="1"/>
  <c r="G437" i="1"/>
  <c r="H437" i="1"/>
  <c r="K437" i="1"/>
  <c r="F5149" i="1"/>
  <c r="G5149" i="1"/>
  <c r="H5149" i="1"/>
  <c r="K5149" i="1"/>
  <c r="F3707" i="1"/>
  <c r="G3707" i="1"/>
  <c r="H3707" i="1"/>
  <c r="K3707" i="1"/>
  <c r="F6531" i="1"/>
  <c r="G6531" i="1"/>
  <c r="H6531" i="1"/>
  <c r="K6531" i="1"/>
  <c r="F6532" i="1"/>
  <c r="G6532" i="1"/>
  <c r="H6532" i="1"/>
  <c r="K6532" i="1"/>
  <c r="F5150" i="1"/>
  <c r="G5150" i="1"/>
  <c r="H5150" i="1"/>
  <c r="K5150" i="1"/>
  <c r="F3708" i="1"/>
  <c r="G3708" i="1"/>
  <c r="H3708" i="1"/>
  <c r="K3708" i="1"/>
  <c r="F2488" i="1"/>
  <c r="G2488" i="1"/>
  <c r="H2488" i="1"/>
  <c r="K2488" i="1"/>
  <c r="F2489" i="1"/>
  <c r="G2489" i="1"/>
  <c r="H2489" i="1"/>
  <c r="K2489" i="1"/>
  <c r="F2490" i="1"/>
  <c r="G2490" i="1"/>
  <c r="H2490" i="1"/>
  <c r="K2490" i="1"/>
  <c r="F3709" i="1"/>
  <c r="G3709" i="1"/>
  <c r="H3709" i="1"/>
  <c r="K3709" i="1"/>
  <c r="F5151" i="1"/>
  <c r="G5151" i="1"/>
  <c r="H5151" i="1"/>
  <c r="K5151" i="1"/>
  <c r="F5152" i="1"/>
  <c r="G5152" i="1"/>
  <c r="H5152" i="1"/>
  <c r="K5152" i="1"/>
  <c r="F5153" i="1"/>
  <c r="G5153" i="1"/>
  <c r="H5153" i="1"/>
  <c r="K5153" i="1"/>
  <c r="F3710" i="1"/>
  <c r="G3710" i="1"/>
  <c r="H3710" i="1"/>
  <c r="K3710" i="1"/>
  <c r="F2491" i="1"/>
  <c r="G2491" i="1"/>
  <c r="H2491" i="1"/>
  <c r="K2491" i="1"/>
  <c r="F2492" i="1"/>
  <c r="G2492" i="1"/>
  <c r="H2492" i="1"/>
  <c r="K2492" i="1"/>
  <c r="F5154" i="1"/>
  <c r="G5154" i="1"/>
  <c r="H5154" i="1"/>
  <c r="K5154" i="1"/>
  <c r="F5155" i="1"/>
  <c r="G5155" i="1"/>
  <c r="H5155" i="1"/>
  <c r="K5155" i="1"/>
  <c r="F5156" i="1"/>
  <c r="G5156" i="1"/>
  <c r="H5156" i="1"/>
  <c r="K5156" i="1"/>
  <c r="F6533" i="1"/>
  <c r="G6533" i="1"/>
  <c r="H6533" i="1"/>
  <c r="K6533" i="1"/>
  <c r="F6534" i="1"/>
  <c r="G6534" i="1"/>
  <c r="H6534" i="1"/>
  <c r="K6534" i="1"/>
  <c r="F3711" i="1"/>
  <c r="G3711" i="1"/>
  <c r="H3711" i="1"/>
  <c r="K3711" i="1"/>
  <c r="F6535" i="1"/>
  <c r="G6535" i="1"/>
  <c r="H6535" i="1"/>
  <c r="K6535" i="1"/>
  <c r="F6536" i="1"/>
  <c r="G6536" i="1"/>
  <c r="H6536" i="1"/>
  <c r="K6536" i="1"/>
  <c r="F5157" i="1"/>
  <c r="G5157" i="1"/>
  <c r="H5157" i="1"/>
  <c r="K5157" i="1"/>
  <c r="F438" i="1"/>
  <c r="G438" i="1"/>
  <c r="H438" i="1"/>
  <c r="K438" i="1"/>
  <c r="F3712" i="1"/>
  <c r="G3712" i="1"/>
  <c r="H3712" i="1"/>
  <c r="K3712" i="1"/>
  <c r="F6537" i="1"/>
  <c r="G6537" i="1"/>
  <c r="H6537" i="1"/>
  <c r="K6537" i="1"/>
  <c r="F2493" i="1"/>
  <c r="G2493" i="1"/>
  <c r="H2493" i="1"/>
  <c r="K2493" i="1"/>
  <c r="F3713" i="1"/>
  <c r="G3713" i="1"/>
  <c r="H3713" i="1"/>
  <c r="K3713" i="1"/>
  <c r="F6538" i="1"/>
  <c r="G6538" i="1"/>
  <c r="H6538" i="1"/>
  <c r="K6538" i="1"/>
  <c r="F6539" i="1"/>
  <c r="G6539" i="1"/>
  <c r="H6539" i="1"/>
  <c r="K6539" i="1"/>
  <c r="F5158" i="1"/>
  <c r="G5158" i="1"/>
  <c r="H5158" i="1"/>
  <c r="K5158" i="1"/>
  <c r="F2494" i="1"/>
  <c r="G2494" i="1"/>
  <c r="H2494" i="1"/>
  <c r="K2494" i="1"/>
  <c r="F5159" i="1"/>
  <c r="G5159" i="1"/>
  <c r="H5159" i="1"/>
  <c r="K5159" i="1"/>
  <c r="F3714" i="1"/>
  <c r="G3714" i="1"/>
  <c r="H3714" i="1"/>
  <c r="K3714" i="1"/>
  <c r="F6540" i="1"/>
  <c r="G6540" i="1"/>
  <c r="H6540" i="1"/>
  <c r="K6540" i="1"/>
  <c r="F6541" i="1"/>
  <c r="G6541" i="1"/>
  <c r="H6541" i="1"/>
  <c r="K6541" i="1"/>
  <c r="F6542" i="1"/>
  <c r="G6542" i="1"/>
  <c r="H6542" i="1"/>
  <c r="K6542" i="1"/>
  <c r="F439" i="1"/>
  <c r="G439" i="1"/>
  <c r="H439" i="1"/>
  <c r="K439" i="1"/>
  <c r="F2495" i="1"/>
  <c r="G2495" i="1"/>
  <c r="H2495" i="1"/>
  <c r="K2495" i="1"/>
  <c r="F440" i="1"/>
  <c r="G440" i="1"/>
  <c r="H440" i="1"/>
  <c r="K440" i="1"/>
  <c r="F5160" i="1"/>
  <c r="G5160" i="1"/>
  <c r="H5160" i="1"/>
  <c r="K5160" i="1"/>
  <c r="F441" i="1"/>
  <c r="G441" i="1"/>
  <c r="H441" i="1"/>
  <c r="K441" i="1"/>
  <c r="F6543" i="1"/>
  <c r="G6543" i="1"/>
  <c r="H6543" i="1"/>
  <c r="K6543" i="1"/>
  <c r="F442" i="1"/>
  <c r="G442" i="1"/>
  <c r="H442" i="1"/>
  <c r="K442" i="1"/>
  <c r="F5161" i="1"/>
  <c r="G5161" i="1"/>
  <c r="H5161" i="1"/>
  <c r="K5161" i="1"/>
  <c r="F5162" i="1"/>
  <c r="G5162" i="1"/>
  <c r="H5162" i="1"/>
  <c r="K5162" i="1"/>
  <c r="F6544" i="1"/>
  <c r="G6544" i="1"/>
  <c r="H6544" i="1"/>
  <c r="K6544" i="1"/>
  <c r="F6545" i="1"/>
  <c r="G6545" i="1"/>
  <c r="H6545" i="1"/>
  <c r="K6545" i="1"/>
  <c r="F443" i="1"/>
  <c r="G443" i="1"/>
  <c r="H443" i="1"/>
  <c r="K443" i="1"/>
  <c r="F444" i="1"/>
  <c r="G444" i="1"/>
  <c r="H444" i="1"/>
  <c r="K444" i="1"/>
  <c r="F445" i="1"/>
  <c r="G445" i="1"/>
  <c r="H445" i="1"/>
  <c r="K445" i="1"/>
  <c r="F446" i="1"/>
  <c r="G446" i="1"/>
  <c r="H446" i="1"/>
  <c r="K446" i="1"/>
  <c r="F447" i="1"/>
  <c r="G447" i="1"/>
  <c r="H447" i="1"/>
  <c r="K447" i="1"/>
  <c r="F448" i="1"/>
  <c r="G448" i="1"/>
  <c r="H448" i="1"/>
  <c r="K448" i="1"/>
  <c r="F449" i="1"/>
  <c r="G449" i="1"/>
  <c r="H449" i="1"/>
  <c r="K449" i="1"/>
  <c r="F450" i="1"/>
  <c r="G450" i="1"/>
  <c r="H450" i="1"/>
  <c r="K450" i="1"/>
  <c r="F2496" i="1"/>
  <c r="G2496" i="1"/>
  <c r="H2496" i="1"/>
  <c r="K2496" i="1"/>
  <c r="F451" i="1"/>
  <c r="G451" i="1"/>
  <c r="H451" i="1"/>
  <c r="K451" i="1"/>
  <c r="F2497" i="1"/>
  <c r="G2497" i="1"/>
  <c r="H2497" i="1"/>
  <c r="K2497" i="1"/>
  <c r="F2498" i="1"/>
  <c r="G2498" i="1"/>
  <c r="H2498" i="1"/>
  <c r="K2498" i="1"/>
  <c r="F2499" i="1"/>
  <c r="G2499" i="1"/>
  <c r="H2499" i="1"/>
  <c r="K2499" i="1"/>
  <c r="F452" i="1"/>
  <c r="G452" i="1"/>
  <c r="H452" i="1"/>
  <c r="K452" i="1"/>
  <c r="F2500" i="1"/>
  <c r="G2500" i="1"/>
  <c r="H2500" i="1"/>
  <c r="K2500" i="1"/>
  <c r="F453" i="1"/>
  <c r="G453" i="1"/>
  <c r="H453" i="1"/>
  <c r="K453" i="1"/>
  <c r="F454" i="1"/>
  <c r="G454" i="1"/>
  <c r="H454" i="1"/>
  <c r="K454" i="1"/>
  <c r="F455" i="1"/>
  <c r="G455" i="1"/>
  <c r="H455" i="1"/>
  <c r="K455" i="1"/>
  <c r="F3715" i="1"/>
  <c r="G3715" i="1"/>
  <c r="H3715" i="1"/>
  <c r="K3715" i="1"/>
  <c r="F2501" i="1"/>
  <c r="G2501" i="1"/>
  <c r="H2501" i="1"/>
  <c r="K2501" i="1"/>
  <c r="F456" i="1"/>
  <c r="G456" i="1"/>
  <c r="H456" i="1"/>
  <c r="K456" i="1"/>
  <c r="F3716" i="1"/>
  <c r="G3716" i="1"/>
  <c r="H3716" i="1"/>
  <c r="K3716" i="1"/>
  <c r="F6546" i="1"/>
  <c r="G6546" i="1"/>
  <c r="H6546" i="1"/>
  <c r="K6546" i="1"/>
  <c r="F5163" i="1"/>
  <c r="G5163" i="1"/>
  <c r="H5163" i="1"/>
  <c r="K5163" i="1"/>
  <c r="F457" i="1"/>
  <c r="G457" i="1"/>
  <c r="H457" i="1"/>
  <c r="K457" i="1"/>
  <c r="F458" i="1"/>
  <c r="G458" i="1"/>
  <c r="H458" i="1"/>
  <c r="K458" i="1"/>
  <c r="F459" i="1"/>
  <c r="G459" i="1"/>
  <c r="H459" i="1"/>
  <c r="K459" i="1"/>
  <c r="F6547" i="1"/>
  <c r="G6547" i="1"/>
  <c r="H6547" i="1"/>
  <c r="K6547" i="1"/>
  <c r="F5164" i="1"/>
  <c r="G5164" i="1"/>
  <c r="H5164" i="1"/>
  <c r="K5164" i="1"/>
  <c r="F460" i="1"/>
  <c r="G460" i="1"/>
  <c r="H460" i="1"/>
  <c r="K460" i="1"/>
  <c r="F2502" i="1"/>
  <c r="G2502" i="1"/>
  <c r="H2502" i="1"/>
  <c r="K2502" i="1"/>
  <c r="F461" i="1"/>
  <c r="G461" i="1"/>
  <c r="H461" i="1"/>
  <c r="K461" i="1"/>
  <c r="F6548" i="1"/>
  <c r="G6548" i="1"/>
  <c r="H6548" i="1"/>
  <c r="K6548" i="1"/>
  <c r="F2503" i="1"/>
  <c r="G2503" i="1"/>
  <c r="H2503" i="1"/>
  <c r="K2503" i="1"/>
  <c r="F2504" i="1"/>
  <c r="G2504" i="1"/>
  <c r="H2504" i="1"/>
  <c r="K2504" i="1"/>
  <c r="F462" i="1"/>
  <c r="G462" i="1"/>
  <c r="H462" i="1"/>
  <c r="K462" i="1"/>
  <c r="F463" i="1"/>
  <c r="G463" i="1"/>
  <c r="H463" i="1"/>
  <c r="K463" i="1"/>
  <c r="F464" i="1"/>
  <c r="G464" i="1"/>
  <c r="H464" i="1"/>
  <c r="K464" i="1"/>
  <c r="F465" i="1"/>
  <c r="G465" i="1"/>
  <c r="H465" i="1"/>
  <c r="K465" i="1"/>
  <c r="F466" i="1"/>
  <c r="G466" i="1"/>
  <c r="H466" i="1"/>
  <c r="K466" i="1"/>
  <c r="F467" i="1"/>
  <c r="G467" i="1"/>
  <c r="H467" i="1"/>
  <c r="K467" i="1"/>
  <c r="F468" i="1"/>
  <c r="G468" i="1"/>
  <c r="H468" i="1"/>
  <c r="K468" i="1"/>
  <c r="F6549" i="1"/>
  <c r="G6549" i="1"/>
  <c r="H6549" i="1"/>
  <c r="K6549" i="1"/>
  <c r="F6550" i="1"/>
  <c r="G6550" i="1"/>
  <c r="H6550" i="1"/>
  <c r="K6550" i="1"/>
  <c r="F6551" i="1"/>
  <c r="G6551" i="1"/>
  <c r="H6551" i="1"/>
  <c r="K6551" i="1"/>
  <c r="F469" i="1"/>
  <c r="G469" i="1"/>
  <c r="H469" i="1"/>
  <c r="K469" i="1"/>
  <c r="F6552" i="1"/>
  <c r="G6552" i="1"/>
  <c r="H6552" i="1"/>
  <c r="K6552" i="1"/>
  <c r="F6553" i="1"/>
  <c r="G6553" i="1"/>
  <c r="H6553" i="1"/>
  <c r="K6553" i="1"/>
  <c r="F6554" i="1"/>
  <c r="G6554" i="1"/>
  <c r="H6554" i="1"/>
  <c r="K6554" i="1"/>
  <c r="F5165" i="1"/>
  <c r="G5165" i="1"/>
  <c r="H5165" i="1"/>
  <c r="K5165" i="1"/>
  <c r="F2505" i="1"/>
  <c r="G2505" i="1"/>
  <c r="H2505" i="1"/>
  <c r="K2505" i="1"/>
  <c r="F6555" i="1"/>
  <c r="G6555" i="1"/>
  <c r="H6555" i="1"/>
  <c r="K6555" i="1"/>
  <c r="F3717" i="1"/>
  <c r="G3717" i="1"/>
  <c r="H3717" i="1"/>
  <c r="K3717" i="1"/>
  <c r="F2506" i="1"/>
  <c r="G2506" i="1"/>
  <c r="H2506" i="1"/>
  <c r="K2506" i="1"/>
  <c r="F470" i="1"/>
  <c r="G470" i="1"/>
  <c r="H470" i="1"/>
  <c r="K470" i="1"/>
  <c r="F471" i="1"/>
  <c r="G471" i="1"/>
  <c r="H471" i="1"/>
  <c r="K471" i="1"/>
  <c r="F472" i="1"/>
  <c r="G472" i="1"/>
  <c r="H472" i="1"/>
  <c r="K472" i="1"/>
  <c r="F6556" i="1"/>
  <c r="G6556" i="1"/>
  <c r="H6556" i="1"/>
  <c r="K6556" i="1"/>
  <c r="F473" i="1"/>
  <c r="G473" i="1"/>
  <c r="H473" i="1"/>
  <c r="K473" i="1"/>
  <c r="F3718" i="1"/>
  <c r="G3718" i="1"/>
  <c r="H3718" i="1"/>
  <c r="K3718" i="1"/>
  <c r="F474" i="1"/>
  <c r="G474" i="1"/>
  <c r="H474" i="1"/>
  <c r="K474" i="1"/>
  <c r="F2507" i="1"/>
  <c r="G2507" i="1"/>
  <c r="H2507" i="1"/>
  <c r="K2507" i="1"/>
  <c r="F3719" i="1"/>
  <c r="G3719" i="1"/>
  <c r="H3719" i="1"/>
  <c r="K3719" i="1"/>
  <c r="F5166" i="1"/>
  <c r="G5166" i="1"/>
  <c r="H5166" i="1"/>
  <c r="K5166" i="1"/>
  <c r="F6557" i="1"/>
  <c r="G6557" i="1"/>
  <c r="H6557" i="1"/>
  <c r="K6557" i="1"/>
  <c r="F6558" i="1"/>
  <c r="G6558" i="1"/>
  <c r="H6558" i="1"/>
  <c r="K6558" i="1"/>
  <c r="F5167" i="1"/>
  <c r="G5167" i="1"/>
  <c r="H5167" i="1"/>
  <c r="K5167" i="1"/>
  <c r="F5168" i="1"/>
  <c r="G5168" i="1"/>
  <c r="H5168" i="1"/>
  <c r="K5168" i="1"/>
  <c r="F2508" i="1"/>
  <c r="G2508" i="1"/>
  <c r="H2508" i="1"/>
  <c r="K2508" i="1"/>
  <c r="F475" i="1"/>
  <c r="G475" i="1"/>
  <c r="H475" i="1"/>
  <c r="K475" i="1"/>
  <c r="F3720" i="1"/>
  <c r="G3720" i="1"/>
  <c r="H3720" i="1"/>
  <c r="K3720" i="1"/>
  <c r="F476" i="1"/>
  <c r="G476" i="1"/>
  <c r="H476" i="1"/>
  <c r="K476" i="1"/>
  <c r="F477" i="1"/>
  <c r="G477" i="1"/>
  <c r="H477" i="1"/>
  <c r="K477" i="1"/>
  <c r="F6559" i="1"/>
  <c r="G6559" i="1"/>
  <c r="H6559" i="1"/>
  <c r="K6559" i="1"/>
  <c r="F478" i="1"/>
  <c r="G478" i="1"/>
  <c r="H478" i="1"/>
  <c r="K478" i="1"/>
  <c r="F479" i="1"/>
  <c r="G479" i="1"/>
  <c r="H479" i="1"/>
  <c r="K479" i="1"/>
  <c r="F480" i="1"/>
  <c r="G480" i="1"/>
  <c r="H480" i="1"/>
  <c r="K480" i="1"/>
  <c r="F2509" i="1"/>
  <c r="G2509" i="1"/>
  <c r="H2509" i="1"/>
  <c r="K2509" i="1"/>
  <c r="F2510" i="1"/>
  <c r="G2510" i="1"/>
  <c r="H2510" i="1"/>
  <c r="K2510" i="1"/>
  <c r="F481" i="1"/>
  <c r="G481" i="1"/>
  <c r="H481" i="1"/>
  <c r="K481" i="1"/>
  <c r="F2511" i="1"/>
  <c r="G2511" i="1"/>
  <c r="H2511" i="1"/>
  <c r="K2511" i="1"/>
  <c r="F482" i="1"/>
  <c r="G482" i="1"/>
  <c r="H482" i="1"/>
  <c r="K482" i="1"/>
  <c r="F6560" i="1"/>
  <c r="G6560" i="1"/>
  <c r="H6560" i="1"/>
  <c r="K6560" i="1"/>
  <c r="F3721" i="1"/>
  <c r="G3721" i="1"/>
  <c r="H3721" i="1"/>
  <c r="K3721" i="1"/>
  <c r="F3722" i="1"/>
  <c r="G3722" i="1"/>
  <c r="H3722" i="1"/>
  <c r="K3722" i="1"/>
  <c r="F3723" i="1"/>
  <c r="G3723" i="1"/>
  <c r="H3723" i="1"/>
  <c r="K3723" i="1"/>
  <c r="F2512" i="1"/>
  <c r="G2512" i="1"/>
  <c r="H2512" i="1"/>
  <c r="K2512" i="1"/>
  <c r="F2513" i="1"/>
  <c r="G2513" i="1"/>
  <c r="H2513" i="1"/>
  <c r="K2513" i="1"/>
  <c r="F5169" i="1"/>
  <c r="G5169" i="1"/>
  <c r="H5169" i="1"/>
  <c r="K5169" i="1"/>
  <c r="F5170" i="1"/>
  <c r="G5170" i="1"/>
  <c r="H5170" i="1"/>
  <c r="K5170" i="1"/>
  <c r="F3724" i="1"/>
  <c r="G3724" i="1"/>
  <c r="H3724" i="1"/>
  <c r="K3724" i="1"/>
  <c r="F483" i="1"/>
  <c r="G483" i="1"/>
  <c r="H483" i="1"/>
  <c r="K483" i="1"/>
  <c r="F3725" i="1"/>
  <c r="G3725" i="1"/>
  <c r="H3725" i="1"/>
  <c r="K3725" i="1"/>
  <c r="F484" i="1"/>
  <c r="G484" i="1"/>
  <c r="H484" i="1"/>
  <c r="K484" i="1"/>
  <c r="F485" i="1"/>
  <c r="G485" i="1"/>
  <c r="H485" i="1"/>
  <c r="K485" i="1"/>
  <c r="F5171" i="1"/>
  <c r="G5171" i="1"/>
  <c r="H5171" i="1"/>
  <c r="K5171" i="1"/>
  <c r="F486" i="1"/>
  <c r="G486" i="1"/>
  <c r="H486" i="1"/>
  <c r="K486" i="1"/>
  <c r="F487" i="1"/>
  <c r="G487" i="1"/>
  <c r="H487" i="1"/>
  <c r="K487" i="1"/>
  <c r="F488" i="1"/>
  <c r="G488" i="1"/>
  <c r="H488" i="1"/>
  <c r="K488" i="1"/>
  <c r="F489" i="1"/>
  <c r="G489" i="1"/>
  <c r="H489" i="1"/>
  <c r="K489" i="1"/>
  <c r="F490" i="1"/>
  <c r="G490" i="1"/>
  <c r="H490" i="1"/>
  <c r="K490" i="1"/>
  <c r="F3726" i="1"/>
  <c r="G3726" i="1"/>
  <c r="H3726" i="1"/>
  <c r="K3726" i="1"/>
  <c r="F6561" i="1"/>
  <c r="G6561" i="1"/>
  <c r="H6561" i="1"/>
  <c r="K6561" i="1"/>
  <c r="F6562" i="1"/>
  <c r="G6562" i="1"/>
  <c r="H6562" i="1"/>
  <c r="K6562" i="1"/>
  <c r="F2514" i="1"/>
  <c r="G2514" i="1"/>
  <c r="H2514" i="1"/>
  <c r="K2514" i="1"/>
  <c r="F491" i="1"/>
  <c r="G491" i="1"/>
  <c r="H491" i="1"/>
  <c r="K491" i="1"/>
  <c r="F492" i="1"/>
  <c r="G492" i="1"/>
  <c r="H492" i="1"/>
  <c r="K492" i="1"/>
  <c r="F493" i="1"/>
  <c r="G493" i="1"/>
  <c r="H493" i="1"/>
  <c r="K493" i="1"/>
  <c r="F6563" i="1"/>
  <c r="G6563" i="1"/>
  <c r="H6563" i="1"/>
  <c r="K6563" i="1"/>
  <c r="F494" i="1"/>
  <c r="G494" i="1"/>
  <c r="H494" i="1"/>
  <c r="K494" i="1"/>
  <c r="F495" i="1"/>
  <c r="G495" i="1"/>
  <c r="H495" i="1"/>
  <c r="K495" i="1"/>
  <c r="F496" i="1"/>
  <c r="G496" i="1"/>
  <c r="H496" i="1"/>
  <c r="K496" i="1"/>
  <c r="F497" i="1"/>
  <c r="G497" i="1"/>
  <c r="H497" i="1"/>
  <c r="K497" i="1"/>
  <c r="F498" i="1"/>
  <c r="G498" i="1"/>
  <c r="H498" i="1"/>
  <c r="K498" i="1"/>
  <c r="F6564" i="1"/>
  <c r="G6564" i="1"/>
  <c r="H6564" i="1"/>
  <c r="K6564" i="1"/>
  <c r="F499" i="1"/>
  <c r="G499" i="1"/>
  <c r="H499" i="1"/>
  <c r="K499" i="1"/>
  <c r="F3727" i="1"/>
  <c r="G3727" i="1"/>
  <c r="H3727" i="1"/>
  <c r="K3727" i="1"/>
  <c r="F6565" i="1"/>
  <c r="G6565" i="1"/>
  <c r="H6565" i="1"/>
  <c r="K6565" i="1"/>
  <c r="F500" i="1"/>
  <c r="G500" i="1"/>
  <c r="H500" i="1"/>
  <c r="K500" i="1"/>
  <c r="F501" i="1"/>
  <c r="G501" i="1"/>
  <c r="H501" i="1"/>
  <c r="K501" i="1"/>
  <c r="F502" i="1"/>
  <c r="G502" i="1"/>
  <c r="H502" i="1"/>
  <c r="K502" i="1"/>
  <c r="F6566" i="1"/>
  <c r="G6566" i="1"/>
  <c r="H6566" i="1"/>
  <c r="K6566" i="1"/>
  <c r="F3728" i="1"/>
  <c r="G3728" i="1"/>
  <c r="H3728" i="1"/>
  <c r="K3728" i="1"/>
  <c r="F5172" i="1"/>
  <c r="G5172" i="1"/>
  <c r="H5172" i="1"/>
  <c r="K5172" i="1"/>
  <c r="F503" i="1"/>
  <c r="G503" i="1"/>
  <c r="H503" i="1"/>
  <c r="K503" i="1"/>
  <c r="F6567" i="1"/>
  <c r="G6567" i="1"/>
  <c r="H6567" i="1"/>
  <c r="K6567" i="1"/>
  <c r="F3729" i="1"/>
  <c r="G3729" i="1"/>
  <c r="H3729" i="1"/>
  <c r="K3729" i="1"/>
  <c r="F504" i="1"/>
  <c r="G504" i="1"/>
  <c r="H504" i="1"/>
  <c r="K504" i="1"/>
  <c r="F505" i="1"/>
  <c r="G505" i="1"/>
  <c r="H505" i="1"/>
  <c r="K505" i="1"/>
  <c r="F6568" i="1"/>
  <c r="G6568" i="1"/>
  <c r="H6568" i="1"/>
  <c r="K6568" i="1"/>
  <c r="F506" i="1"/>
  <c r="G506" i="1"/>
  <c r="H506" i="1"/>
  <c r="K506" i="1"/>
  <c r="F5173" i="1"/>
  <c r="G5173" i="1"/>
  <c r="H5173" i="1"/>
  <c r="K5173" i="1"/>
  <c r="F3730" i="1"/>
  <c r="G3730" i="1"/>
  <c r="H3730" i="1"/>
  <c r="K3730" i="1"/>
  <c r="F2515" i="1"/>
  <c r="G2515" i="1"/>
  <c r="H2515" i="1"/>
  <c r="K2515" i="1"/>
  <c r="F3731" i="1"/>
  <c r="G3731" i="1"/>
  <c r="H3731" i="1"/>
  <c r="K3731" i="1"/>
  <c r="F507" i="1"/>
  <c r="G507" i="1"/>
  <c r="H507" i="1"/>
  <c r="K507" i="1"/>
  <c r="F5174" i="1"/>
  <c r="G5174" i="1"/>
  <c r="H5174" i="1"/>
  <c r="K5174" i="1"/>
  <c r="F508" i="1"/>
  <c r="G508" i="1"/>
  <c r="H508" i="1"/>
  <c r="K508" i="1"/>
  <c r="F509" i="1"/>
  <c r="G509" i="1"/>
  <c r="H509" i="1"/>
  <c r="K509" i="1"/>
  <c r="F6569" i="1"/>
  <c r="G6569" i="1"/>
  <c r="H6569" i="1"/>
  <c r="K6569" i="1"/>
  <c r="F510" i="1"/>
  <c r="G510" i="1"/>
  <c r="H510" i="1"/>
  <c r="K510" i="1"/>
  <c r="F3732" i="1"/>
  <c r="G3732" i="1"/>
  <c r="H3732" i="1"/>
  <c r="K3732" i="1"/>
  <c r="F5175" i="1"/>
  <c r="G5175" i="1"/>
  <c r="H5175" i="1"/>
  <c r="K5175" i="1"/>
  <c r="F511" i="1"/>
  <c r="G511" i="1"/>
  <c r="H511" i="1"/>
  <c r="K511" i="1"/>
  <c r="F6570" i="1"/>
  <c r="G6570" i="1"/>
  <c r="H6570" i="1"/>
  <c r="K6570" i="1"/>
  <c r="F3733" i="1"/>
  <c r="G3733" i="1"/>
  <c r="H3733" i="1"/>
  <c r="K3733" i="1"/>
  <c r="F6571" i="1"/>
  <c r="G6571" i="1"/>
  <c r="H6571" i="1"/>
  <c r="K6571" i="1"/>
  <c r="F3734" i="1"/>
  <c r="G3734" i="1"/>
  <c r="H3734" i="1"/>
  <c r="K3734" i="1"/>
  <c r="F6572" i="1"/>
  <c r="G6572" i="1"/>
  <c r="H6572" i="1"/>
  <c r="K6572" i="1"/>
  <c r="F512" i="1"/>
  <c r="G512" i="1"/>
  <c r="H512" i="1"/>
  <c r="K512" i="1"/>
  <c r="F5176" i="1"/>
  <c r="G5176" i="1"/>
  <c r="H5176" i="1"/>
  <c r="K5176" i="1"/>
  <c r="F3735" i="1"/>
  <c r="G3735" i="1"/>
  <c r="H3735" i="1"/>
  <c r="K3735" i="1"/>
  <c r="F6573" i="1"/>
  <c r="G6573" i="1"/>
  <c r="H6573" i="1"/>
  <c r="K6573" i="1"/>
  <c r="F513" i="1"/>
  <c r="G513" i="1"/>
  <c r="H513" i="1"/>
  <c r="K513" i="1"/>
  <c r="F2516" i="1"/>
  <c r="G2516" i="1"/>
  <c r="H2516" i="1"/>
  <c r="K2516" i="1"/>
  <c r="F6574" i="1"/>
  <c r="G6574" i="1"/>
  <c r="H6574" i="1"/>
  <c r="K6574" i="1"/>
  <c r="F5177" i="1"/>
  <c r="G5177" i="1"/>
  <c r="H5177" i="1"/>
  <c r="K5177" i="1"/>
  <c r="F514" i="1"/>
  <c r="G514" i="1"/>
  <c r="H514" i="1"/>
  <c r="K514" i="1"/>
  <c r="F2517" i="1"/>
  <c r="G2517" i="1"/>
  <c r="H2517" i="1"/>
  <c r="K2517" i="1"/>
  <c r="F3736" i="1"/>
  <c r="G3736" i="1"/>
  <c r="H3736" i="1"/>
  <c r="K3736" i="1"/>
  <c r="F515" i="1"/>
  <c r="G515" i="1"/>
  <c r="H515" i="1"/>
  <c r="K515" i="1"/>
  <c r="F6575" i="1"/>
  <c r="G6575" i="1"/>
  <c r="H6575" i="1"/>
  <c r="K6575" i="1"/>
  <c r="F6576" i="1"/>
  <c r="G6576" i="1"/>
  <c r="H6576" i="1"/>
  <c r="K6576" i="1"/>
  <c r="F6577" i="1"/>
  <c r="G6577" i="1"/>
  <c r="H6577" i="1"/>
  <c r="K6577" i="1"/>
  <c r="F3737" i="1"/>
  <c r="G3737" i="1"/>
  <c r="H3737" i="1"/>
  <c r="K3737" i="1"/>
  <c r="F516" i="1"/>
  <c r="G516" i="1"/>
  <c r="H516" i="1"/>
  <c r="K516" i="1"/>
  <c r="F3738" i="1"/>
  <c r="G3738" i="1"/>
  <c r="H3738" i="1"/>
  <c r="K3738" i="1"/>
  <c r="F6578" i="1"/>
  <c r="G6578" i="1"/>
  <c r="H6578" i="1"/>
  <c r="K6578" i="1"/>
  <c r="F6579" i="1"/>
  <c r="G6579" i="1"/>
  <c r="H6579" i="1"/>
  <c r="K6579" i="1"/>
  <c r="F6580" i="1"/>
  <c r="G6580" i="1"/>
  <c r="H6580" i="1"/>
  <c r="K6580" i="1"/>
  <c r="F6581" i="1"/>
  <c r="G6581" i="1"/>
  <c r="H6581" i="1"/>
  <c r="K6581" i="1"/>
  <c r="F6582" i="1"/>
  <c r="G6582" i="1"/>
  <c r="H6582" i="1"/>
  <c r="K6582" i="1"/>
  <c r="F6583" i="1"/>
  <c r="G6583" i="1"/>
  <c r="H6583" i="1"/>
  <c r="K6583" i="1"/>
  <c r="F3739" i="1"/>
  <c r="G3739" i="1"/>
  <c r="H3739" i="1"/>
  <c r="K3739" i="1"/>
  <c r="F6584" i="1"/>
  <c r="G6584" i="1"/>
  <c r="H6584" i="1"/>
  <c r="K6584" i="1"/>
  <c r="F6585" i="1"/>
  <c r="G6585" i="1"/>
  <c r="H6585" i="1"/>
  <c r="K6585" i="1"/>
  <c r="F5178" i="1"/>
  <c r="G5178" i="1"/>
  <c r="H5178" i="1"/>
  <c r="K5178" i="1"/>
  <c r="F5179" i="1"/>
  <c r="G5179" i="1"/>
  <c r="H5179" i="1"/>
  <c r="K5179" i="1"/>
  <c r="F6586" i="1"/>
  <c r="G6586" i="1"/>
  <c r="H6586" i="1"/>
  <c r="K6586" i="1"/>
  <c r="F517" i="1"/>
  <c r="G517" i="1"/>
  <c r="H517" i="1"/>
  <c r="K517" i="1"/>
  <c r="F6587" i="1"/>
  <c r="G6587" i="1"/>
  <c r="H6587" i="1"/>
  <c r="K6587" i="1"/>
  <c r="F5180" i="1"/>
  <c r="G5180" i="1"/>
  <c r="H5180" i="1"/>
  <c r="K5180" i="1"/>
  <c r="F5181" i="1"/>
  <c r="G5181" i="1"/>
  <c r="H5181" i="1"/>
  <c r="K5181" i="1"/>
  <c r="F518" i="1"/>
  <c r="G518" i="1"/>
  <c r="H518" i="1"/>
  <c r="K518" i="1"/>
  <c r="F6588" i="1"/>
  <c r="G6588" i="1"/>
  <c r="H6588" i="1"/>
  <c r="K6588" i="1"/>
  <c r="F2518" i="1"/>
  <c r="G2518" i="1"/>
  <c r="H2518" i="1"/>
  <c r="K2518" i="1"/>
  <c r="F5182" i="1"/>
  <c r="G5182" i="1"/>
  <c r="H5182" i="1"/>
  <c r="K5182" i="1"/>
  <c r="F519" i="1"/>
  <c r="G519" i="1"/>
  <c r="H519" i="1"/>
  <c r="K519" i="1"/>
  <c r="F520" i="1"/>
  <c r="G520" i="1"/>
  <c r="H520" i="1"/>
  <c r="K520" i="1"/>
  <c r="F6589" i="1"/>
  <c r="G6589" i="1"/>
  <c r="H6589" i="1"/>
  <c r="K6589" i="1"/>
  <c r="F521" i="1"/>
  <c r="G521" i="1"/>
  <c r="H521" i="1"/>
  <c r="K521" i="1"/>
  <c r="F522" i="1"/>
  <c r="G522" i="1"/>
  <c r="H522" i="1"/>
  <c r="K522" i="1"/>
  <c r="F523" i="1"/>
  <c r="G523" i="1"/>
  <c r="H523" i="1"/>
  <c r="K523" i="1"/>
  <c r="F524" i="1"/>
  <c r="G524" i="1"/>
  <c r="H524" i="1"/>
  <c r="K524" i="1"/>
  <c r="F3740" i="1"/>
  <c r="G3740" i="1"/>
  <c r="H3740" i="1"/>
  <c r="K3740" i="1"/>
  <c r="F5183" i="1"/>
  <c r="G5183" i="1"/>
  <c r="H5183" i="1"/>
  <c r="K5183" i="1"/>
  <c r="F2519" i="1"/>
  <c r="G2519" i="1"/>
  <c r="H2519" i="1"/>
  <c r="K2519" i="1"/>
  <c r="F2520" i="1"/>
  <c r="G2520" i="1"/>
  <c r="H2520" i="1"/>
  <c r="K2520" i="1"/>
  <c r="F6590" i="1"/>
  <c r="G6590" i="1"/>
  <c r="H6590" i="1"/>
  <c r="K6590" i="1"/>
  <c r="F6591" i="1"/>
  <c r="G6591" i="1"/>
  <c r="H6591" i="1"/>
  <c r="K6591" i="1"/>
  <c r="F6592" i="1"/>
  <c r="G6592" i="1"/>
  <c r="H6592" i="1"/>
  <c r="K6592" i="1"/>
  <c r="F6593" i="1"/>
  <c r="G6593" i="1"/>
  <c r="H6593" i="1"/>
  <c r="K6593" i="1"/>
  <c r="F3741" i="1"/>
  <c r="G3741" i="1"/>
  <c r="H3741" i="1"/>
  <c r="K3741" i="1"/>
  <c r="F5184" i="1"/>
  <c r="G5184" i="1"/>
  <c r="H5184" i="1"/>
  <c r="K5184" i="1"/>
  <c r="F6594" i="1"/>
  <c r="G6594" i="1"/>
  <c r="H6594" i="1"/>
  <c r="K6594" i="1"/>
  <c r="F6595" i="1"/>
  <c r="G6595" i="1"/>
  <c r="H6595" i="1"/>
  <c r="K6595" i="1"/>
  <c r="F525" i="1"/>
  <c r="G525" i="1"/>
  <c r="H525" i="1"/>
  <c r="K525" i="1"/>
  <c r="F5185" i="1"/>
  <c r="G5185" i="1"/>
  <c r="H5185" i="1"/>
  <c r="K5185" i="1"/>
  <c r="F5186" i="1"/>
  <c r="G5186" i="1"/>
  <c r="H5186" i="1"/>
  <c r="K5186" i="1"/>
  <c r="F6596" i="1"/>
  <c r="G6596" i="1"/>
  <c r="H6596" i="1"/>
  <c r="K6596" i="1"/>
  <c r="F526" i="1"/>
  <c r="G526" i="1"/>
  <c r="H526" i="1"/>
  <c r="K526" i="1"/>
  <c r="F6597" i="1"/>
  <c r="G6597" i="1"/>
  <c r="H6597" i="1"/>
  <c r="K6597" i="1"/>
  <c r="F527" i="1"/>
  <c r="G527" i="1"/>
  <c r="H527" i="1"/>
  <c r="K527" i="1"/>
  <c r="F2521" i="1"/>
  <c r="G2521" i="1"/>
  <c r="H2521" i="1"/>
  <c r="K2521" i="1"/>
  <c r="F528" i="1"/>
  <c r="G528" i="1"/>
  <c r="H528" i="1"/>
  <c r="K528" i="1"/>
  <c r="F529" i="1"/>
  <c r="G529" i="1"/>
  <c r="H529" i="1"/>
  <c r="K529" i="1"/>
  <c r="F6598" i="1"/>
  <c r="G6598" i="1"/>
  <c r="H6598" i="1"/>
  <c r="K6598" i="1"/>
  <c r="F5187" i="1"/>
  <c r="G5187" i="1"/>
  <c r="H5187" i="1"/>
  <c r="K5187" i="1"/>
  <c r="F6599" i="1"/>
  <c r="G6599" i="1"/>
  <c r="H6599" i="1"/>
  <c r="K6599" i="1"/>
  <c r="F3742" i="1"/>
  <c r="G3742" i="1"/>
  <c r="H3742" i="1"/>
  <c r="K3742" i="1"/>
  <c r="F3743" i="1"/>
  <c r="G3743" i="1"/>
  <c r="H3743" i="1"/>
  <c r="K3743" i="1"/>
  <c r="F530" i="1"/>
  <c r="G530" i="1"/>
  <c r="H530" i="1"/>
  <c r="K530" i="1"/>
  <c r="F5188" i="1"/>
  <c r="G5188" i="1"/>
  <c r="H5188" i="1"/>
  <c r="K5188" i="1"/>
  <c r="F531" i="1"/>
  <c r="G531" i="1"/>
  <c r="H531" i="1"/>
  <c r="K531" i="1"/>
  <c r="F532" i="1"/>
  <c r="G532" i="1"/>
  <c r="H532" i="1"/>
  <c r="K532" i="1"/>
  <c r="F6600" i="1"/>
  <c r="G6600" i="1"/>
  <c r="H6600" i="1"/>
  <c r="K6600" i="1"/>
  <c r="F533" i="1"/>
  <c r="G533" i="1"/>
  <c r="H533" i="1"/>
  <c r="K533" i="1"/>
  <c r="F534" i="1"/>
  <c r="G534" i="1"/>
  <c r="H534" i="1"/>
  <c r="K534" i="1"/>
  <c r="F6601" i="1"/>
  <c r="G6601" i="1"/>
  <c r="H6601" i="1"/>
  <c r="K6601" i="1"/>
  <c r="F6602" i="1"/>
  <c r="G6602" i="1"/>
  <c r="H6602" i="1"/>
  <c r="K6602" i="1"/>
  <c r="F5189" i="1"/>
  <c r="G5189" i="1"/>
  <c r="H5189" i="1"/>
  <c r="K5189" i="1"/>
  <c r="F5190" i="1"/>
  <c r="G5190" i="1"/>
  <c r="H5190" i="1"/>
  <c r="K5190" i="1"/>
  <c r="F5191" i="1"/>
  <c r="G5191" i="1"/>
  <c r="H5191" i="1"/>
  <c r="K5191" i="1"/>
  <c r="F5192" i="1"/>
  <c r="G5192" i="1"/>
  <c r="H5192" i="1"/>
  <c r="K5192" i="1"/>
  <c r="F5193" i="1"/>
  <c r="G5193" i="1"/>
  <c r="H5193" i="1"/>
  <c r="K5193" i="1"/>
  <c r="F535" i="1"/>
  <c r="G535" i="1"/>
  <c r="H535" i="1"/>
  <c r="K535" i="1"/>
  <c r="F536" i="1"/>
  <c r="G536" i="1"/>
  <c r="H536" i="1"/>
  <c r="K536" i="1"/>
  <c r="F3744" i="1"/>
  <c r="G3744" i="1"/>
  <c r="H3744" i="1"/>
  <c r="K3744" i="1"/>
  <c r="F5194" i="1"/>
  <c r="G5194" i="1"/>
  <c r="H5194" i="1"/>
  <c r="K5194" i="1"/>
  <c r="F537" i="1"/>
  <c r="G537" i="1"/>
  <c r="H537" i="1"/>
  <c r="K537" i="1"/>
  <c r="F5195" i="1"/>
  <c r="G5195" i="1"/>
  <c r="H5195" i="1"/>
  <c r="K5195" i="1"/>
  <c r="F3745" i="1"/>
  <c r="G3745" i="1"/>
  <c r="H3745" i="1"/>
  <c r="K3745" i="1"/>
  <c r="F3746" i="1"/>
  <c r="G3746" i="1"/>
  <c r="H3746" i="1"/>
  <c r="K3746" i="1"/>
  <c r="F2522" i="1"/>
  <c r="G2522" i="1"/>
  <c r="H2522" i="1"/>
  <c r="K2522" i="1"/>
  <c r="F2523" i="1"/>
  <c r="G2523" i="1"/>
  <c r="H2523" i="1"/>
  <c r="K2523" i="1"/>
  <c r="F2524" i="1"/>
  <c r="G2524" i="1"/>
  <c r="H2524" i="1"/>
  <c r="K2524" i="1"/>
  <c r="F2525" i="1"/>
  <c r="G2525" i="1"/>
  <c r="H2525" i="1"/>
  <c r="K2525" i="1"/>
  <c r="F2526" i="1"/>
  <c r="G2526" i="1"/>
  <c r="H2526" i="1"/>
  <c r="K2526" i="1"/>
  <c r="F2527" i="1"/>
  <c r="G2527" i="1"/>
  <c r="H2527" i="1"/>
  <c r="K2527" i="1"/>
  <c r="F2528" i="1"/>
  <c r="G2528" i="1"/>
  <c r="H2528" i="1"/>
  <c r="K2528" i="1"/>
  <c r="F2529" i="1"/>
  <c r="G2529" i="1"/>
  <c r="H2529" i="1"/>
  <c r="K2529" i="1"/>
  <c r="F2530" i="1"/>
  <c r="G2530" i="1"/>
  <c r="H2530" i="1"/>
  <c r="K2530" i="1"/>
  <c r="F3747" i="1"/>
  <c r="G3747" i="1"/>
  <c r="H3747" i="1"/>
  <c r="K3747" i="1"/>
  <c r="F3748" i="1"/>
  <c r="G3748" i="1"/>
  <c r="H3748" i="1"/>
  <c r="K3748" i="1"/>
  <c r="F3749" i="1"/>
  <c r="G3749" i="1"/>
  <c r="H3749" i="1"/>
  <c r="K3749" i="1"/>
  <c r="F3750" i="1"/>
  <c r="G3750" i="1"/>
  <c r="H3750" i="1"/>
  <c r="K3750" i="1"/>
  <c r="F3751" i="1"/>
  <c r="G3751" i="1"/>
  <c r="H3751" i="1"/>
  <c r="K3751" i="1"/>
  <c r="F3752" i="1"/>
  <c r="G3752" i="1"/>
  <c r="H3752" i="1"/>
  <c r="K3752" i="1"/>
  <c r="F3753" i="1"/>
  <c r="G3753" i="1"/>
  <c r="H3753" i="1"/>
  <c r="K3753" i="1"/>
  <c r="F3754" i="1"/>
  <c r="G3754" i="1"/>
  <c r="H3754" i="1"/>
  <c r="K3754" i="1"/>
  <c r="F3755" i="1"/>
  <c r="G3755" i="1"/>
  <c r="H3755" i="1"/>
  <c r="K3755" i="1"/>
  <c r="F538" i="1"/>
  <c r="G538" i="1"/>
  <c r="H538" i="1"/>
  <c r="K538" i="1"/>
  <c r="F539" i="1"/>
  <c r="G539" i="1"/>
  <c r="H539" i="1"/>
  <c r="K539" i="1"/>
  <c r="F5196" i="1"/>
  <c r="G5196" i="1"/>
  <c r="H5196" i="1"/>
  <c r="K5196" i="1"/>
  <c r="F5197" i="1"/>
  <c r="G5197" i="1"/>
  <c r="H5197" i="1"/>
  <c r="K5197" i="1"/>
  <c r="F5198" i="1"/>
  <c r="G5198" i="1"/>
  <c r="H5198" i="1"/>
  <c r="K5198" i="1"/>
  <c r="F5199" i="1"/>
  <c r="G5199" i="1"/>
  <c r="H5199" i="1"/>
  <c r="K5199" i="1"/>
  <c r="F5200" i="1"/>
  <c r="G5200" i="1"/>
  <c r="H5200" i="1"/>
  <c r="K5200" i="1"/>
  <c r="F5201" i="1"/>
  <c r="G5201" i="1"/>
  <c r="H5201" i="1"/>
  <c r="K5201" i="1"/>
  <c r="F5202" i="1"/>
  <c r="G5202" i="1"/>
  <c r="H5202" i="1"/>
  <c r="K5202" i="1"/>
  <c r="F5203" i="1"/>
  <c r="G5203" i="1"/>
  <c r="H5203" i="1"/>
  <c r="K5203" i="1"/>
  <c r="F5204" i="1"/>
  <c r="G5204" i="1"/>
  <c r="H5204" i="1"/>
  <c r="K5204" i="1"/>
  <c r="F5205" i="1"/>
  <c r="G5205" i="1"/>
  <c r="H5205" i="1"/>
  <c r="K5205" i="1"/>
  <c r="F5206" i="1"/>
  <c r="G5206" i="1"/>
  <c r="H5206" i="1"/>
  <c r="K5206" i="1"/>
  <c r="F5207" i="1"/>
  <c r="G5207" i="1"/>
  <c r="H5207" i="1"/>
  <c r="K5207" i="1"/>
  <c r="F5208" i="1"/>
  <c r="G5208" i="1"/>
  <c r="H5208" i="1"/>
  <c r="K5208" i="1"/>
  <c r="F5209" i="1"/>
  <c r="G5209" i="1"/>
  <c r="H5209" i="1"/>
  <c r="K5209" i="1"/>
  <c r="F5210" i="1"/>
  <c r="G5210" i="1"/>
  <c r="H5210" i="1"/>
  <c r="K5210" i="1"/>
  <c r="F5211" i="1"/>
  <c r="G5211" i="1"/>
  <c r="H5211" i="1"/>
  <c r="K5211" i="1"/>
  <c r="F5212" i="1"/>
  <c r="G5212" i="1"/>
  <c r="H5212" i="1"/>
  <c r="K5212" i="1"/>
  <c r="F5213" i="1"/>
  <c r="G5213" i="1"/>
  <c r="H5213" i="1"/>
  <c r="K5213" i="1"/>
  <c r="F5214" i="1"/>
  <c r="G5214" i="1"/>
  <c r="H5214" i="1"/>
  <c r="K5214" i="1"/>
  <c r="F6603" i="1"/>
  <c r="G6603" i="1"/>
  <c r="H6603" i="1"/>
  <c r="K6603" i="1"/>
  <c r="F6604" i="1"/>
  <c r="G6604" i="1"/>
  <c r="H6604" i="1"/>
  <c r="K6604" i="1"/>
  <c r="F6605" i="1"/>
  <c r="G6605" i="1"/>
  <c r="H6605" i="1"/>
  <c r="K6605" i="1"/>
  <c r="F6606" i="1"/>
  <c r="G6606" i="1"/>
  <c r="H6606" i="1"/>
  <c r="K6606" i="1"/>
  <c r="F3756" i="1"/>
  <c r="G3756" i="1"/>
  <c r="H3756" i="1"/>
  <c r="K3756" i="1"/>
  <c r="F5215" i="1"/>
  <c r="G5215" i="1"/>
  <c r="H5215" i="1"/>
  <c r="K5215" i="1"/>
  <c r="F540" i="1"/>
  <c r="G540" i="1"/>
  <c r="H540" i="1"/>
  <c r="K540" i="1"/>
  <c r="F541" i="1"/>
  <c r="G541" i="1"/>
  <c r="H541" i="1"/>
  <c r="K541" i="1"/>
  <c r="F5216" i="1"/>
  <c r="G5216" i="1"/>
  <c r="H5216" i="1"/>
  <c r="K5216" i="1"/>
  <c r="F5217" i="1"/>
  <c r="G5217" i="1"/>
  <c r="H5217" i="1"/>
  <c r="K5217" i="1"/>
  <c r="F542" i="1"/>
  <c r="G542" i="1"/>
  <c r="H542" i="1"/>
  <c r="K542" i="1"/>
  <c r="F543" i="1"/>
  <c r="G543" i="1"/>
  <c r="H543" i="1"/>
  <c r="K543" i="1"/>
  <c r="F544" i="1"/>
  <c r="G544" i="1"/>
  <c r="H544" i="1"/>
  <c r="K544" i="1"/>
  <c r="F545" i="1"/>
  <c r="G545" i="1"/>
  <c r="H545" i="1"/>
  <c r="K545" i="1"/>
  <c r="F3757" i="1"/>
  <c r="G3757" i="1"/>
  <c r="H3757" i="1"/>
  <c r="K3757" i="1"/>
  <c r="F3758" i="1"/>
  <c r="G3758" i="1"/>
  <c r="H3758" i="1"/>
  <c r="K3758" i="1"/>
  <c r="F3759" i="1"/>
  <c r="G3759" i="1"/>
  <c r="H3759" i="1"/>
  <c r="K3759" i="1"/>
  <c r="F3760" i="1"/>
  <c r="G3760" i="1"/>
  <c r="H3760" i="1"/>
  <c r="K3760" i="1"/>
  <c r="F3761" i="1"/>
  <c r="G3761" i="1"/>
  <c r="H3761" i="1"/>
  <c r="K3761" i="1"/>
  <c r="F3762" i="1"/>
  <c r="G3762" i="1"/>
  <c r="H3762" i="1"/>
  <c r="K3762" i="1"/>
  <c r="F3763" i="1"/>
  <c r="G3763" i="1"/>
  <c r="H3763" i="1"/>
  <c r="K3763" i="1"/>
  <c r="F2531" i="1"/>
  <c r="G2531" i="1"/>
  <c r="H2531" i="1"/>
  <c r="K2531" i="1"/>
  <c r="F3764" i="1"/>
  <c r="G3764" i="1"/>
  <c r="H3764" i="1"/>
  <c r="K3764" i="1"/>
  <c r="F546" i="1"/>
  <c r="G546" i="1"/>
  <c r="H546" i="1"/>
  <c r="K546" i="1"/>
  <c r="F6607" i="1"/>
  <c r="G6607" i="1"/>
  <c r="H6607" i="1"/>
  <c r="K6607" i="1"/>
  <c r="F547" i="1"/>
  <c r="G547" i="1"/>
  <c r="H547" i="1"/>
  <c r="K547" i="1"/>
  <c r="F5218" i="1"/>
  <c r="G5218" i="1"/>
  <c r="H5218" i="1"/>
  <c r="K5218" i="1"/>
  <c r="F6608" i="1"/>
  <c r="G6608" i="1"/>
  <c r="H6608" i="1"/>
  <c r="K6608" i="1"/>
  <c r="F6609" i="1"/>
  <c r="G6609" i="1"/>
  <c r="H6609" i="1"/>
  <c r="K6609" i="1"/>
  <c r="F6610" i="1"/>
  <c r="G6610" i="1"/>
  <c r="H6610" i="1"/>
  <c r="K6610" i="1"/>
  <c r="F2532" i="1"/>
  <c r="G2532" i="1"/>
  <c r="H2532" i="1"/>
  <c r="K2532" i="1"/>
  <c r="F6611" i="1"/>
  <c r="G6611" i="1"/>
  <c r="H6611" i="1"/>
  <c r="K6611" i="1"/>
  <c r="F6612" i="1"/>
  <c r="G6612" i="1"/>
  <c r="H6612" i="1"/>
  <c r="K6612" i="1"/>
  <c r="F5219" i="1"/>
  <c r="G5219" i="1"/>
  <c r="H5219" i="1"/>
  <c r="K5219" i="1"/>
  <c r="F2533" i="1"/>
  <c r="G2533" i="1"/>
  <c r="H2533" i="1"/>
  <c r="K2533" i="1"/>
  <c r="F548" i="1"/>
  <c r="G548" i="1"/>
  <c r="H548" i="1"/>
  <c r="K548" i="1"/>
  <c r="F6613" i="1"/>
  <c r="G6613" i="1"/>
  <c r="H6613" i="1"/>
  <c r="K6613" i="1"/>
  <c r="F6614" i="1"/>
  <c r="G6614" i="1"/>
  <c r="H6614" i="1"/>
  <c r="K6614" i="1"/>
  <c r="F549" i="1"/>
  <c r="G549" i="1"/>
  <c r="H549" i="1"/>
  <c r="K549" i="1"/>
  <c r="F550" i="1"/>
  <c r="G550" i="1"/>
  <c r="H550" i="1"/>
  <c r="K550" i="1"/>
  <c r="F2534" i="1"/>
  <c r="G2534" i="1"/>
  <c r="H2534" i="1"/>
  <c r="K2534" i="1"/>
  <c r="F3765" i="1"/>
  <c r="G3765" i="1"/>
  <c r="H3765" i="1"/>
  <c r="K3765" i="1"/>
  <c r="F551" i="1"/>
  <c r="G551" i="1"/>
  <c r="H551" i="1"/>
  <c r="K551" i="1"/>
  <c r="F3766" i="1"/>
  <c r="G3766" i="1"/>
  <c r="H3766" i="1"/>
  <c r="K3766" i="1"/>
  <c r="F5220" i="1"/>
  <c r="G5220" i="1"/>
  <c r="H5220" i="1"/>
  <c r="K5220" i="1"/>
  <c r="F2535" i="1"/>
  <c r="G2535" i="1"/>
  <c r="H2535" i="1"/>
  <c r="K2535" i="1"/>
  <c r="F5221" i="1"/>
  <c r="G5221" i="1"/>
  <c r="H5221" i="1"/>
  <c r="K5221" i="1"/>
  <c r="F6615" i="1"/>
  <c r="G6615" i="1"/>
  <c r="H6615" i="1"/>
  <c r="K6615" i="1"/>
  <c r="F5222" i="1"/>
  <c r="G5222" i="1"/>
  <c r="H5222" i="1"/>
  <c r="K5222" i="1"/>
  <c r="F552" i="1"/>
  <c r="G552" i="1"/>
  <c r="H552" i="1"/>
  <c r="K552" i="1"/>
  <c r="F553" i="1"/>
  <c r="G553" i="1"/>
  <c r="H553" i="1"/>
  <c r="K553" i="1"/>
  <c r="F6616" i="1"/>
  <c r="G6616" i="1"/>
  <c r="H6616" i="1"/>
  <c r="K6616" i="1"/>
  <c r="F554" i="1"/>
  <c r="G554" i="1"/>
  <c r="H554" i="1"/>
  <c r="K554" i="1"/>
  <c r="F6617" i="1"/>
  <c r="G6617" i="1"/>
  <c r="H6617" i="1"/>
  <c r="K6617" i="1"/>
  <c r="F3767" i="1"/>
  <c r="G3767" i="1"/>
  <c r="H3767" i="1"/>
  <c r="K3767" i="1"/>
  <c r="F555" i="1"/>
  <c r="G555" i="1"/>
  <c r="H555" i="1"/>
  <c r="K555" i="1"/>
  <c r="F3768" i="1"/>
  <c r="G3768" i="1"/>
  <c r="H3768" i="1"/>
  <c r="K3768" i="1"/>
  <c r="F556" i="1"/>
  <c r="G556" i="1"/>
  <c r="H556" i="1"/>
  <c r="K556" i="1"/>
  <c r="F6618" i="1"/>
  <c r="G6618" i="1"/>
  <c r="H6618" i="1"/>
  <c r="K6618" i="1"/>
  <c r="F6619" i="1"/>
  <c r="G6619" i="1"/>
  <c r="H6619" i="1"/>
  <c r="K6619" i="1"/>
  <c r="F3769" i="1"/>
  <c r="G3769" i="1"/>
  <c r="H3769" i="1"/>
  <c r="K3769" i="1"/>
  <c r="F5223" i="1"/>
  <c r="G5223" i="1"/>
  <c r="H5223" i="1"/>
  <c r="K5223" i="1"/>
  <c r="F3770" i="1"/>
  <c r="G3770" i="1"/>
  <c r="H3770" i="1"/>
  <c r="K3770" i="1"/>
  <c r="F5224" i="1"/>
  <c r="G5224" i="1"/>
  <c r="H5224" i="1"/>
  <c r="K5224" i="1"/>
  <c r="F557" i="1"/>
  <c r="G557" i="1"/>
  <c r="H557" i="1"/>
  <c r="K557" i="1"/>
  <c r="F558" i="1"/>
  <c r="G558" i="1"/>
  <c r="H558" i="1"/>
  <c r="K558" i="1"/>
  <c r="F6620" i="1"/>
  <c r="G6620" i="1"/>
  <c r="H6620" i="1"/>
  <c r="K6620" i="1"/>
  <c r="F6621" i="1"/>
  <c r="G6621" i="1"/>
  <c r="H6621" i="1"/>
  <c r="K6621" i="1"/>
  <c r="F3771" i="1"/>
  <c r="G3771" i="1"/>
  <c r="H3771" i="1"/>
  <c r="K3771" i="1"/>
  <c r="F559" i="1"/>
  <c r="G559" i="1"/>
  <c r="H559" i="1"/>
  <c r="K559" i="1"/>
  <c r="F560" i="1"/>
  <c r="G560" i="1"/>
  <c r="H560" i="1"/>
  <c r="K560" i="1"/>
  <c r="F6622" i="1"/>
  <c r="G6622" i="1"/>
  <c r="H6622" i="1"/>
  <c r="K6622" i="1"/>
  <c r="F561" i="1"/>
  <c r="G561" i="1"/>
  <c r="H561" i="1"/>
  <c r="K561" i="1"/>
  <c r="F3772" i="1"/>
  <c r="G3772" i="1"/>
  <c r="H3772" i="1"/>
  <c r="K3772" i="1"/>
  <c r="F3773" i="1"/>
  <c r="G3773" i="1"/>
  <c r="H3773" i="1"/>
  <c r="K3773" i="1"/>
  <c r="F3774" i="1"/>
  <c r="G3774" i="1"/>
  <c r="H3774" i="1"/>
  <c r="K3774" i="1"/>
  <c r="F3775" i="1"/>
  <c r="G3775" i="1"/>
  <c r="H3775" i="1"/>
  <c r="K3775" i="1"/>
  <c r="F2536" i="1"/>
  <c r="G2536" i="1"/>
  <c r="H2536" i="1"/>
  <c r="K2536" i="1"/>
  <c r="F6623" i="1"/>
  <c r="G6623" i="1"/>
  <c r="H6623" i="1"/>
  <c r="K6623" i="1"/>
  <c r="F562" i="1"/>
  <c r="G562" i="1"/>
  <c r="H562" i="1"/>
  <c r="K562" i="1"/>
  <c r="F2537" i="1"/>
  <c r="G2537" i="1"/>
  <c r="H2537" i="1"/>
  <c r="K2537" i="1"/>
  <c r="F5225" i="1"/>
  <c r="G5225" i="1"/>
  <c r="H5225" i="1"/>
  <c r="K5225" i="1"/>
  <c r="F5226" i="1"/>
  <c r="G5226" i="1"/>
  <c r="H5226" i="1"/>
  <c r="K5226" i="1"/>
  <c r="F5227" i="1"/>
  <c r="G5227" i="1"/>
  <c r="H5227" i="1"/>
  <c r="K5227" i="1"/>
  <c r="F5228" i="1"/>
  <c r="G5228" i="1"/>
  <c r="H5228" i="1"/>
  <c r="K5228" i="1"/>
  <c r="F5229" i="1"/>
  <c r="G5229" i="1"/>
  <c r="H5229" i="1"/>
  <c r="K5229" i="1"/>
  <c r="F5230" i="1"/>
  <c r="G5230" i="1"/>
  <c r="H5230" i="1"/>
  <c r="K5230" i="1"/>
  <c r="F6624" i="1"/>
  <c r="G6624" i="1"/>
  <c r="H6624" i="1"/>
  <c r="K6624" i="1"/>
  <c r="F5231" i="1"/>
  <c r="G5231" i="1"/>
  <c r="H5231" i="1"/>
  <c r="K5231" i="1"/>
  <c r="F6625" i="1"/>
  <c r="G6625" i="1"/>
  <c r="H6625" i="1"/>
  <c r="K6625" i="1"/>
  <c r="F563" i="1"/>
  <c r="G563" i="1"/>
  <c r="H563" i="1"/>
  <c r="K563" i="1"/>
  <c r="F3776" i="1"/>
  <c r="G3776" i="1"/>
  <c r="H3776" i="1"/>
  <c r="K3776" i="1"/>
  <c r="F564" i="1"/>
  <c r="G564" i="1"/>
  <c r="H564" i="1"/>
  <c r="K564" i="1"/>
  <c r="F5232" i="1"/>
  <c r="G5232" i="1"/>
  <c r="H5232" i="1"/>
  <c r="K5232" i="1"/>
  <c r="F3777" i="1"/>
  <c r="G3777" i="1"/>
  <c r="H3777" i="1"/>
  <c r="K3777" i="1"/>
  <c r="F6626" i="1"/>
  <c r="G6626" i="1"/>
  <c r="H6626" i="1"/>
  <c r="K6626" i="1"/>
  <c r="F2538" i="1"/>
  <c r="G2538" i="1"/>
  <c r="H2538" i="1"/>
  <c r="K2538" i="1"/>
  <c r="F3778" i="1"/>
  <c r="G3778" i="1"/>
  <c r="H3778" i="1"/>
  <c r="K3778" i="1"/>
  <c r="F5233" i="1"/>
  <c r="G5233" i="1"/>
  <c r="H5233" i="1"/>
  <c r="K5233" i="1"/>
  <c r="F6627" i="1"/>
  <c r="G6627" i="1"/>
  <c r="H6627" i="1"/>
  <c r="K6627" i="1"/>
  <c r="F6628" i="1"/>
  <c r="G6628" i="1"/>
  <c r="H6628" i="1"/>
  <c r="K6628" i="1"/>
  <c r="F3779" i="1"/>
  <c r="G3779" i="1"/>
  <c r="H3779" i="1"/>
  <c r="K3779" i="1"/>
  <c r="F2539" i="1"/>
  <c r="G2539" i="1"/>
  <c r="H2539" i="1"/>
  <c r="K2539" i="1"/>
  <c r="F2540" i="1"/>
  <c r="G2540" i="1"/>
  <c r="H2540" i="1"/>
  <c r="K2540" i="1"/>
  <c r="F565" i="1"/>
  <c r="G565" i="1"/>
  <c r="H565" i="1"/>
  <c r="K565" i="1"/>
  <c r="F566" i="1"/>
  <c r="G566" i="1"/>
  <c r="H566" i="1"/>
  <c r="K566" i="1"/>
  <c r="F567" i="1"/>
  <c r="G567" i="1"/>
  <c r="H567" i="1"/>
  <c r="K567" i="1"/>
  <c r="F568" i="1"/>
  <c r="G568" i="1"/>
  <c r="H568" i="1"/>
  <c r="K568" i="1"/>
  <c r="F3780" i="1"/>
  <c r="G3780" i="1"/>
  <c r="H3780" i="1"/>
  <c r="K3780" i="1"/>
  <c r="F3781" i="1"/>
  <c r="G3781" i="1"/>
  <c r="H3781" i="1"/>
  <c r="K3781" i="1"/>
  <c r="F2541" i="1"/>
  <c r="G2541" i="1"/>
  <c r="H2541" i="1"/>
  <c r="K2541" i="1"/>
  <c r="F569" i="1"/>
  <c r="G569" i="1"/>
  <c r="H569" i="1"/>
  <c r="K569" i="1"/>
  <c r="F570" i="1"/>
  <c r="G570" i="1"/>
  <c r="H570" i="1"/>
  <c r="K570" i="1"/>
  <c r="F6629" i="1"/>
  <c r="G6629" i="1"/>
  <c r="H6629" i="1"/>
  <c r="K6629" i="1"/>
  <c r="F6630" i="1"/>
  <c r="G6630" i="1"/>
  <c r="H6630" i="1"/>
  <c r="K6630" i="1"/>
  <c r="F3782" i="1"/>
  <c r="G3782" i="1"/>
  <c r="H3782" i="1"/>
  <c r="K3782" i="1"/>
  <c r="F3783" i="1"/>
  <c r="G3783" i="1"/>
  <c r="H3783" i="1"/>
  <c r="K3783" i="1"/>
  <c r="F6631" i="1"/>
  <c r="G6631" i="1"/>
  <c r="H6631" i="1"/>
  <c r="K6631" i="1"/>
  <c r="F3784" i="1"/>
  <c r="G3784" i="1"/>
  <c r="H3784" i="1"/>
  <c r="K3784" i="1"/>
  <c r="F571" i="1"/>
  <c r="G571" i="1"/>
  <c r="H571" i="1"/>
  <c r="K571" i="1"/>
  <c r="F3785" i="1"/>
  <c r="G3785" i="1"/>
  <c r="H3785" i="1"/>
  <c r="K3785" i="1"/>
  <c r="F572" i="1"/>
  <c r="G572" i="1"/>
  <c r="H572" i="1"/>
  <c r="K572" i="1"/>
  <c r="F3786" i="1"/>
  <c r="G3786" i="1"/>
  <c r="H3786" i="1"/>
  <c r="K3786" i="1"/>
  <c r="F3787" i="1"/>
  <c r="G3787" i="1"/>
  <c r="H3787" i="1"/>
  <c r="K3787" i="1"/>
  <c r="F2542" i="1"/>
  <c r="G2542" i="1"/>
  <c r="H2542" i="1"/>
  <c r="K2542" i="1"/>
  <c r="F5234" i="1"/>
  <c r="G5234" i="1"/>
  <c r="H5234" i="1"/>
  <c r="K5234" i="1"/>
  <c r="F3788" i="1"/>
  <c r="G3788" i="1"/>
  <c r="H3788" i="1"/>
  <c r="K3788" i="1"/>
  <c r="F3789" i="1"/>
  <c r="G3789" i="1"/>
  <c r="H3789" i="1"/>
  <c r="K3789" i="1"/>
  <c r="F3790" i="1"/>
  <c r="G3790" i="1"/>
  <c r="H3790" i="1"/>
  <c r="K3790" i="1"/>
  <c r="F6632" i="1"/>
  <c r="G6632" i="1"/>
  <c r="H6632" i="1"/>
  <c r="K6632" i="1"/>
  <c r="F5235" i="1"/>
  <c r="G5235" i="1"/>
  <c r="H5235" i="1"/>
  <c r="K5235" i="1"/>
  <c r="F5236" i="1"/>
  <c r="G5236" i="1"/>
  <c r="H5236" i="1"/>
  <c r="K5236" i="1"/>
  <c r="F5237" i="1"/>
  <c r="G5237" i="1"/>
  <c r="H5237" i="1"/>
  <c r="K5237" i="1"/>
  <c r="F6633" i="1"/>
  <c r="G6633" i="1"/>
  <c r="H6633" i="1"/>
  <c r="K6633" i="1"/>
  <c r="F573" i="1"/>
  <c r="G573" i="1"/>
  <c r="H573" i="1"/>
  <c r="K573" i="1"/>
  <c r="F3791" i="1"/>
  <c r="G3791" i="1"/>
  <c r="H3791" i="1"/>
  <c r="K3791" i="1"/>
  <c r="F574" i="1"/>
  <c r="G574" i="1"/>
  <c r="H574" i="1"/>
  <c r="K574" i="1"/>
  <c r="F6634" i="1"/>
  <c r="G6634" i="1"/>
  <c r="H6634" i="1"/>
  <c r="K6634" i="1"/>
  <c r="F2543" i="1"/>
  <c r="G2543" i="1"/>
  <c r="H2543" i="1"/>
  <c r="K2543" i="1"/>
  <c r="F2544" i="1"/>
  <c r="G2544" i="1"/>
  <c r="H2544" i="1"/>
  <c r="K2544" i="1"/>
  <c r="F575" i="1"/>
  <c r="G575" i="1"/>
  <c r="H575" i="1"/>
  <c r="K575" i="1"/>
  <c r="F576" i="1"/>
  <c r="G576" i="1"/>
  <c r="H576" i="1"/>
  <c r="K576" i="1"/>
  <c r="F577" i="1"/>
  <c r="G577" i="1"/>
  <c r="H577" i="1"/>
  <c r="K577" i="1"/>
  <c r="F2545" i="1"/>
  <c r="G2545" i="1"/>
  <c r="H2545" i="1"/>
  <c r="K2545" i="1"/>
  <c r="F2546" i="1"/>
  <c r="G2546" i="1"/>
  <c r="H2546" i="1"/>
  <c r="K2546" i="1"/>
  <c r="F2547" i="1"/>
  <c r="G2547" i="1"/>
  <c r="H2547" i="1"/>
  <c r="K2547" i="1"/>
  <c r="F2548" i="1"/>
  <c r="G2548" i="1"/>
  <c r="H2548" i="1"/>
  <c r="K2548" i="1"/>
  <c r="F2549" i="1"/>
  <c r="G2549" i="1"/>
  <c r="H2549" i="1"/>
  <c r="K2549" i="1"/>
  <c r="F578" i="1"/>
  <c r="G578" i="1"/>
  <c r="H578" i="1"/>
  <c r="K578" i="1"/>
  <c r="F5238" i="1"/>
  <c r="G5238" i="1"/>
  <c r="H5238" i="1"/>
  <c r="K5238" i="1"/>
  <c r="F5239" i="1"/>
  <c r="G5239" i="1"/>
  <c r="H5239" i="1"/>
  <c r="K5239" i="1"/>
  <c r="F579" i="1"/>
  <c r="G579" i="1"/>
  <c r="H579" i="1"/>
  <c r="K579" i="1"/>
  <c r="F580" i="1"/>
  <c r="G580" i="1"/>
  <c r="H580" i="1"/>
  <c r="K580" i="1"/>
  <c r="F6635" i="1"/>
  <c r="G6635" i="1"/>
  <c r="H6635" i="1"/>
  <c r="K6635" i="1"/>
  <c r="F6636" i="1"/>
  <c r="G6636" i="1"/>
  <c r="H6636" i="1"/>
  <c r="K6636" i="1"/>
  <c r="F3792" i="1"/>
  <c r="G3792" i="1"/>
  <c r="H3792" i="1"/>
  <c r="K3792" i="1"/>
  <c r="F3793" i="1"/>
  <c r="G3793" i="1"/>
  <c r="H3793" i="1"/>
  <c r="K3793" i="1"/>
  <c r="F3794" i="1"/>
  <c r="G3794" i="1"/>
  <c r="H3794" i="1"/>
  <c r="K3794" i="1"/>
  <c r="F3795" i="1"/>
  <c r="G3795" i="1"/>
  <c r="H3795" i="1"/>
  <c r="K3795" i="1"/>
  <c r="F3796" i="1"/>
  <c r="G3796" i="1"/>
  <c r="H3796" i="1"/>
  <c r="K3796" i="1"/>
  <c r="F3797" i="1"/>
  <c r="G3797" i="1"/>
  <c r="H3797" i="1"/>
  <c r="K3797" i="1"/>
  <c r="F3798" i="1"/>
  <c r="G3798" i="1"/>
  <c r="H3798" i="1"/>
  <c r="K3798" i="1"/>
  <c r="F3799" i="1"/>
  <c r="G3799" i="1"/>
  <c r="H3799" i="1"/>
  <c r="K3799" i="1"/>
  <c r="F3800" i="1"/>
  <c r="G3800" i="1"/>
  <c r="H3800" i="1"/>
  <c r="K3800" i="1"/>
  <c r="F3801" i="1"/>
  <c r="G3801" i="1"/>
  <c r="H3801" i="1"/>
  <c r="K3801" i="1"/>
  <c r="F581" i="1"/>
  <c r="G581" i="1"/>
  <c r="H581" i="1"/>
  <c r="K581" i="1"/>
  <c r="F6637" i="1"/>
  <c r="G6637" i="1"/>
  <c r="H6637" i="1"/>
  <c r="K6637" i="1"/>
  <c r="F5240" i="1"/>
  <c r="G5240" i="1"/>
  <c r="H5240" i="1"/>
  <c r="K5240" i="1"/>
  <c r="F582" i="1"/>
  <c r="G582" i="1"/>
  <c r="H582" i="1"/>
  <c r="K582" i="1"/>
  <c r="F583" i="1"/>
  <c r="G583" i="1"/>
  <c r="H583" i="1"/>
  <c r="K583" i="1"/>
  <c r="F3802" i="1"/>
  <c r="G3802" i="1"/>
  <c r="H3802" i="1"/>
  <c r="K3802" i="1"/>
  <c r="F5241" i="1"/>
  <c r="G5241" i="1"/>
  <c r="H5241" i="1"/>
  <c r="K5241" i="1"/>
  <c r="F6638" i="1"/>
  <c r="G6638" i="1"/>
  <c r="H6638" i="1"/>
  <c r="K6638" i="1"/>
  <c r="F584" i="1"/>
  <c r="G584" i="1"/>
  <c r="H584" i="1"/>
  <c r="K584" i="1"/>
  <c r="F3803" i="1"/>
  <c r="G3803" i="1"/>
  <c r="H3803" i="1"/>
  <c r="K3803" i="1"/>
  <c r="F585" i="1"/>
  <c r="G585" i="1"/>
  <c r="H585" i="1"/>
  <c r="K585" i="1"/>
  <c r="F3804" i="1"/>
  <c r="G3804" i="1"/>
  <c r="H3804" i="1"/>
  <c r="K3804" i="1"/>
  <c r="F5242" i="1"/>
  <c r="G5242" i="1"/>
  <c r="H5242" i="1"/>
  <c r="K5242" i="1"/>
  <c r="F586" i="1"/>
  <c r="G586" i="1"/>
  <c r="H586" i="1"/>
  <c r="K586" i="1"/>
  <c r="F6639" i="1"/>
  <c r="G6639" i="1"/>
  <c r="H6639" i="1"/>
  <c r="K6639" i="1"/>
  <c r="F587" i="1"/>
  <c r="G587" i="1"/>
  <c r="H587" i="1"/>
  <c r="K587" i="1"/>
  <c r="F588" i="1"/>
  <c r="G588" i="1"/>
  <c r="H588" i="1"/>
  <c r="K588" i="1"/>
  <c r="F589" i="1"/>
  <c r="G589" i="1"/>
  <c r="H589" i="1"/>
  <c r="K589" i="1"/>
  <c r="F590" i="1"/>
  <c r="G590" i="1"/>
  <c r="H590" i="1"/>
  <c r="K590" i="1"/>
  <c r="F591" i="1"/>
  <c r="G591" i="1"/>
  <c r="H591" i="1"/>
  <c r="K591" i="1"/>
  <c r="F592" i="1"/>
  <c r="G592" i="1"/>
  <c r="H592" i="1"/>
  <c r="K592" i="1"/>
  <c r="F593" i="1"/>
  <c r="G593" i="1"/>
  <c r="H593" i="1"/>
  <c r="K593" i="1"/>
  <c r="F594" i="1"/>
  <c r="G594" i="1"/>
  <c r="H594" i="1"/>
  <c r="K594" i="1"/>
  <c r="F595" i="1"/>
  <c r="G595" i="1"/>
  <c r="H595" i="1"/>
  <c r="K595" i="1"/>
  <c r="F596" i="1"/>
  <c r="G596" i="1"/>
  <c r="H596" i="1"/>
  <c r="K596" i="1"/>
  <c r="F597" i="1"/>
  <c r="G597" i="1"/>
  <c r="H597" i="1"/>
  <c r="K597" i="1"/>
  <c r="F598" i="1"/>
  <c r="G598" i="1"/>
  <c r="H598" i="1"/>
  <c r="K598" i="1"/>
  <c r="F599" i="1"/>
  <c r="G599" i="1"/>
  <c r="H599" i="1"/>
  <c r="K599" i="1"/>
  <c r="F2550" i="1"/>
  <c r="G2550" i="1"/>
  <c r="H2550" i="1"/>
  <c r="K2550" i="1"/>
  <c r="F2551" i="1"/>
  <c r="G2551" i="1"/>
  <c r="H2551" i="1"/>
  <c r="K2551" i="1"/>
  <c r="F2552" i="1"/>
  <c r="G2552" i="1"/>
  <c r="H2552" i="1"/>
  <c r="K2552" i="1"/>
  <c r="F6640" i="1"/>
  <c r="G6640" i="1"/>
  <c r="H6640" i="1"/>
  <c r="K6640" i="1"/>
  <c r="F600" i="1"/>
  <c r="G600" i="1"/>
  <c r="H600" i="1"/>
  <c r="K600" i="1"/>
  <c r="F2553" i="1"/>
  <c r="G2553" i="1"/>
  <c r="H2553" i="1"/>
  <c r="K2553" i="1"/>
  <c r="F5243" i="1"/>
  <c r="G5243" i="1"/>
  <c r="H5243" i="1"/>
  <c r="K5243" i="1"/>
  <c r="F2554" i="1"/>
  <c r="G2554" i="1"/>
  <c r="H2554" i="1"/>
  <c r="K2554" i="1"/>
  <c r="F2555" i="1"/>
  <c r="G2555" i="1"/>
  <c r="H2555" i="1"/>
  <c r="K2555" i="1"/>
  <c r="F3805" i="1"/>
  <c r="G3805" i="1"/>
  <c r="H3805" i="1"/>
  <c r="K3805" i="1"/>
  <c r="F601" i="1"/>
  <c r="G601" i="1"/>
  <c r="H601" i="1"/>
  <c r="K601" i="1"/>
  <c r="F602" i="1"/>
  <c r="G602" i="1"/>
  <c r="H602" i="1"/>
  <c r="K602" i="1"/>
  <c r="F5244" i="1"/>
  <c r="G5244" i="1"/>
  <c r="H5244" i="1"/>
  <c r="K5244" i="1"/>
  <c r="F6641" i="1"/>
  <c r="G6641" i="1"/>
  <c r="H6641" i="1"/>
  <c r="K6641" i="1"/>
  <c r="F2556" i="1"/>
  <c r="G2556" i="1"/>
  <c r="H2556" i="1"/>
  <c r="K2556" i="1"/>
  <c r="F2557" i="1"/>
  <c r="G2557" i="1"/>
  <c r="H2557" i="1"/>
  <c r="K2557" i="1"/>
  <c r="F603" i="1"/>
  <c r="G603" i="1"/>
  <c r="H603" i="1"/>
  <c r="K603" i="1"/>
  <c r="F3806" i="1"/>
  <c r="G3806" i="1"/>
  <c r="H3806" i="1"/>
  <c r="K3806" i="1"/>
  <c r="F3807" i="1"/>
  <c r="G3807" i="1"/>
  <c r="H3807" i="1"/>
  <c r="K3807" i="1"/>
  <c r="F3808" i="1"/>
  <c r="G3808" i="1"/>
  <c r="H3808" i="1"/>
  <c r="K3808" i="1"/>
  <c r="F6642" i="1"/>
  <c r="G6642" i="1"/>
  <c r="H6642" i="1"/>
  <c r="K6642" i="1"/>
  <c r="F5245" i="1"/>
  <c r="G5245" i="1"/>
  <c r="H5245" i="1"/>
  <c r="K5245" i="1"/>
  <c r="F604" i="1"/>
  <c r="G604" i="1"/>
  <c r="H604" i="1"/>
  <c r="K604" i="1"/>
  <c r="F6643" i="1"/>
  <c r="G6643" i="1"/>
  <c r="H6643" i="1"/>
  <c r="K6643" i="1"/>
  <c r="F5246" i="1"/>
  <c r="G5246" i="1"/>
  <c r="H5246" i="1"/>
  <c r="K5246" i="1"/>
  <c r="F5247" i="1"/>
  <c r="G5247" i="1"/>
  <c r="H5247" i="1"/>
  <c r="K5247" i="1"/>
  <c r="F5248" i="1"/>
  <c r="G5248" i="1"/>
  <c r="H5248" i="1"/>
  <c r="K5248" i="1"/>
  <c r="F6644" i="1"/>
  <c r="G6644" i="1"/>
  <c r="H6644" i="1"/>
  <c r="K6644" i="1"/>
  <c r="F605" i="1"/>
  <c r="G605" i="1"/>
  <c r="H605" i="1"/>
  <c r="K605" i="1"/>
  <c r="F6645" i="1"/>
  <c r="G6645" i="1"/>
  <c r="H6645" i="1"/>
  <c r="K6645" i="1"/>
  <c r="F3809" i="1"/>
  <c r="G3809" i="1"/>
  <c r="H3809" i="1"/>
  <c r="K3809" i="1"/>
  <c r="F5249" i="1"/>
  <c r="G5249" i="1"/>
  <c r="H5249" i="1"/>
  <c r="K5249" i="1"/>
  <c r="F5250" i="1"/>
  <c r="G5250" i="1"/>
  <c r="H5250" i="1"/>
  <c r="K5250" i="1"/>
  <c r="F6646" i="1"/>
  <c r="G6646" i="1"/>
  <c r="H6646" i="1"/>
  <c r="K6646" i="1"/>
  <c r="F6647" i="1"/>
  <c r="G6647" i="1"/>
  <c r="H6647" i="1"/>
  <c r="K6647" i="1"/>
  <c r="F5251" i="1"/>
  <c r="G5251" i="1"/>
  <c r="H5251" i="1"/>
  <c r="K5251" i="1"/>
  <c r="F606" i="1"/>
  <c r="G606" i="1"/>
  <c r="H606" i="1"/>
  <c r="K606" i="1"/>
  <c r="F607" i="1"/>
  <c r="G607" i="1"/>
  <c r="H607" i="1"/>
  <c r="K607" i="1"/>
  <c r="F608" i="1"/>
  <c r="G608" i="1"/>
  <c r="H608" i="1"/>
  <c r="K608" i="1"/>
  <c r="F6648" i="1"/>
  <c r="G6648" i="1"/>
  <c r="H6648" i="1"/>
  <c r="K6648" i="1"/>
  <c r="F5252" i="1"/>
  <c r="G5252" i="1"/>
  <c r="H5252" i="1"/>
  <c r="K5252" i="1"/>
  <c r="F5253" i="1"/>
  <c r="G5253" i="1"/>
  <c r="H5253" i="1"/>
  <c r="K5253" i="1"/>
  <c r="F609" i="1"/>
  <c r="G609" i="1"/>
  <c r="H609" i="1"/>
  <c r="K609" i="1"/>
  <c r="F5254" i="1"/>
  <c r="G5254" i="1"/>
  <c r="H5254" i="1"/>
  <c r="K5254" i="1"/>
  <c r="F2558" i="1"/>
  <c r="G2558" i="1"/>
  <c r="H2558" i="1"/>
  <c r="K2558" i="1"/>
  <c r="F6649" i="1"/>
  <c r="G6649" i="1"/>
  <c r="H6649" i="1"/>
  <c r="K6649" i="1"/>
  <c r="F3810" i="1"/>
  <c r="G3810" i="1"/>
  <c r="H3810" i="1"/>
  <c r="K3810" i="1"/>
  <c r="F6650" i="1"/>
  <c r="G6650" i="1"/>
  <c r="H6650" i="1"/>
  <c r="K6650" i="1"/>
  <c r="F5255" i="1"/>
  <c r="G5255" i="1"/>
  <c r="H5255" i="1"/>
  <c r="K5255" i="1"/>
  <c r="F6651" i="1"/>
  <c r="G6651" i="1"/>
  <c r="H6651" i="1"/>
  <c r="K6651" i="1"/>
  <c r="F5256" i="1"/>
  <c r="G5256" i="1"/>
  <c r="H5256" i="1"/>
  <c r="K5256" i="1"/>
  <c r="F3811" i="1"/>
  <c r="G3811" i="1"/>
  <c r="H3811" i="1"/>
  <c r="K3811" i="1"/>
  <c r="F5257" i="1"/>
  <c r="G5257" i="1"/>
  <c r="H5257" i="1"/>
  <c r="K5257" i="1"/>
  <c r="F5258" i="1"/>
  <c r="G5258" i="1"/>
  <c r="H5258" i="1"/>
  <c r="K5258" i="1"/>
  <c r="F5259" i="1"/>
  <c r="G5259" i="1"/>
  <c r="H5259" i="1"/>
  <c r="K5259" i="1"/>
  <c r="F2559" i="1"/>
  <c r="G2559" i="1"/>
  <c r="H2559" i="1"/>
  <c r="K2559" i="1"/>
  <c r="F5260" i="1"/>
  <c r="G5260" i="1"/>
  <c r="H5260" i="1"/>
  <c r="K5260" i="1"/>
  <c r="F5261" i="1"/>
  <c r="G5261" i="1"/>
  <c r="H5261" i="1"/>
  <c r="K5261" i="1"/>
  <c r="F6652" i="1"/>
  <c r="G6652" i="1"/>
  <c r="H6652" i="1"/>
  <c r="K6652" i="1"/>
  <c r="F6653" i="1"/>
  <c r="G6653" i="1"/>
  <c r="H6653" i="1"/>
  <c r="K6653" i="1"/>
  <c r="F5262" i="1"/>
  <c r="G5262" i="1"/>
  <c r="H5262" i="1"/>
  <c r="K5262" i="1"/>
  <c r="F6654" i="1"/>
  <c r="G6654" i="1"/>
  <c r="H6654" i="1"/>
  <c r="K6654" i="1"/>
  <c r="F6655" i="1"/>
  <c r="G6655" i="1"/>
  <c r="H6655" i="1"/>
  <c r="K6655" i="1"/>
  <c r="F6656" i="1"/>
  <c r="G6656" i="1"/>
  <c r="H6656" i="1"/>
  <c r="K6656" i="1"/>
  <c r="F610" i="1"/>
  <c r="G610" i="1"/>
  <c r="H610" i="1"/>
  <c r="K610" i="1"/>
  <c r="F611" i="1"/>
  <c r="G611" i="1"/>
  <c r="H611" i="1"/>
  <c r="K611" i="1"/>
  <c r="F612" i="1"/>
  <c r="G612" i="1"/>
  <c r="H612" i="1"/>
  <c r="K612" i="1"/>
  <c r="F6657" i="1"/>
  <c r="G6657" i="1"/>
  <c r="H6657" i="1"/>
  <c r="K6657" i="1"/>
  <c r="F6658" i="1"/>
  <c r="G6658" i="1"/>
  <c r="H6658" i="1"/>
  <c r="K6658" i="1"/>
  <c r="F3812" i="1"/>
  <c r="G3812" i="1"/>
  <c r="H3812" i="1"/>
  <c r="K3812" i="1"/>
  <c r="F3813" i="1"/>
  <c r="G3813" i="1"/>
  <c r="H3813" i="1"/>
  <c r="K3813" i="1"/>
  <c r="F2560" i="1"/>
  <c r="G2560" i="1"/>
  <c r="H2560" i="1"/>
  <c r="K2560" i="1"/>
  <c r="F613" i="1"/>
  <c r="G613" i="1"/>
  <c r="H613" i="1"/>
  <c r="K613" i="1"/>
  <c r="F3814" i="1"/>
  <c r="G3814" i="1"/>
  <c r="H3814" i="1"/>
  <c r="K3814" i="1"/>
  <c r="F3815" i="1"/>
  <c r="G3815" i="1"/>
  <c r="H3815" i="1"/>
  <c r="K3815" i="1"/>
  <c r="F3816" i="1"/>
  <c r="G3816" i="1"/>
  <c r="H3816" i="1"/>
  <c r="K3816" i="1"/>
  <c r="F3817" i="1"/>
  <c r="G3817" i="1"/>
  <c r="H3817" i="1"/>
  <c r="K3817" i="1"/>
  <c r="F2561" i="1"/>
  <c r="G2561" i="1"/>
  <c r="H2561" i="1"/>
  <c r="K2561" i="1"/>
  <c r="F3818" i="1"/>
  <c r="G3818" i="1"/>
  <c r="H3818" i="1"/>
  <c r="K3818" i="1"/>
  <c r="F6659" i="1"/>
  <c r="G6659" i="1"/>
  <c r="H6659" i="1"/>
  <c r="K6659" i="1"/>
  <c r="F6660" i="1"/>
  <c r="G6660" i="1"/>
  <c r="H6660" i="1"/>
  <c r="K6660" i="1"/>
  <c r="F6661" i="1"/>
  <c r="G6661" i="1"/>
  <c r="H6661" i="1"/>
  <c r="K6661" i="1"/>
  <c r="F6662" i="1"/>
  <c r="G6662" i="1"/>
  <c r="H6662" i="1"/>
  <c r="K6662" i="1"/>
  <c r="F6663" i="1"/>
  <c r="G6663" i="1"/>
  <c r="H6663" i="1"/>
  <c r="K6663" i="1"/>
  <c r="F6664" i="1"/>
  <c r="G6664" i="1"/>
  <c r="H6664" i="1"/>
  <c r="K6664" i="1"/>
  <c r="F6665" i="1"/>
  <c r="G6665" i="1"/>
  <c r="H6665" i="1"/>
  <c r="K6665" i="1"/>
  <c r="F6666" i="1"/>
  <c r="G6666" i="1"/>
  <c r="H6666" i="1"/>
  <c r="K6666" i="1"/>
  <c r="F6667" i="1"/>
  <c r="G6667" i="1"/>
  <c r="H6667" i="1"/>
  <c r="K6667" i="1"/>
  <c r="F5263" i="1"/>
  <c r="G5263" i="1"/>
  <c r="H5263" i="1"/>
  <c r="K5263" i="1"/>
  <c r="F3819" i="1"/>
  <c r="G3819" i="1"/>
  <c r="H3819" i="1"/>
  <c r="K3819" i="1"/>
  <c r="F614" i="1"/>
  <c r="G614" i="1"/>
  <c r="H614" i="1"/>
  <c r="K614" i="1"/>
  <c r="F615" i="1"/>
  <c r="G615" i="1"/>
  <c r="H615" i="1"/>
  <c r="K615" i="1"/>
  <c r="F3820" i="1"/>
  <c r="G3820" i="1"/>
  <c r="H3820" i="1"/>
  <c r="K3820" i="1"/>
  <c r="F2562" i="1"/>
  <c r="G2562" i="1"/>
  <c r="H2562" i="1"/>
  <c r="K2562" i="1"/>
  <c r="F6668" i="1"/>
  <c r="G6668" i="1"/>
  <c r="H6668" i="1"/>
  <c r="K6668" i="1"/>
  <c r="F6669" i="1"/>
  <c r="G6669" i="1"/>
  <c r="H6669" i="1"/>
  <c r="K6669" i="1"/>
  <c r="F5264" i="1"/>
  <c r="G5264" i="1"/>
  <c r="H5264" i="1"/>
  <c r="K5264" i="1"/>
  <c r="F616" i="1"/>
  <c r="G616" i="1"/>
  <c r="H616" i="1"/>
  <c r="K616" i="1"/>
  <c r="F6670" i="1"/>
  <c r="G6670" i="1"/>
  <c r="H6670" i="1"/>
  <c r="K6670" i="1"/>
  <c r="F6671" i="1"/>
  <c r="G6671" i="1"/>
  <c r="H6671" i="1"/>
  <c r="K6671" i="1"/>
  <c r="F6672" i="1"/>
  <c r="G6672" i="1"/>
  <c r="H6672" i="1"/>
  <c r="K6672" i="1"/>
  <c r="F6673" i="1"/>
  <c r="G6673" i="1"/>
  <c r="H6673" i="1"/>
  <c r="K6673" i="1"/>
  <c r="F617" i="1"/>
  <c r="G617" i="1"/>
  <c r="H617" i="1"/>
  <c r="K617" i="1"/>
  <c r="F6674" i="1"/>
  <c r="G6674" i="1"/>
  <c r="H6674" i="1"/>
  <c r="K6674" i="1"/>
  <c r="F618" i="1"/>
  <c r="G618" i="1"/>
  <c r="H618" i="1"/>
  <c r="K618" i="1"/>
  <c r="F2563" i="1"/>
  <c r="G2563" i="1"/>
  <c r="H2563" i="1"/>
  <c r="K2563" i="1"/>
  <c r="F5265" i="1"/>
  <c r="G5265" i="1"/>
  <c r="H5265" i="1"/>
  <c r="K5265" i="1"/>
  <c r="F3821" i="1"/>
  <c r="G3821" i="1"/>
  <c r="H3821" i="1"/>
  <c r="K3821" i="1"/>
  <c r="F6675" i="1"/>
  <c r="G6675" i="1"/>
  <c r="H6675" i="1"/>
  <c r="K6675" i="1"/>
  <c r="F3822" i="1"/>
  <c r="G3822" i="1"/>
  <c r="H3822" i="1"/>
  <c r="K3822" i="1"/>
  <c r="F619" i="1"/>
  <c r="G619" i="1"/>
  <c r="H619" i="1"/>
  <c r="K619" i="1"/>
  <c r="F620" i="1"/>
  <c r="G620" i="1"/>
  <c r="H620" i="1"/>
  <c r="K620" i="1"/>
  <c r="F621" i="1"/>
  <c r="G621" i="1"/>
  <c r="H621" i="1"/>
  <c r="K621" i="1"/>
  <c r="F2564" i="1"/>
  <c r="G2564" i="1"/>
  <c r="H2564" i="1"/>
  <c r="K2564" i="1"/>
  <c r="F3823" i="1"/>
  <c r="G3823" i="1"/>
  <c r="H3823" i="1"/>
  <c r="K3823" i="1"/>
  <c r="F622" i="1"/>
  <c r="G622" i="1"/>
  <c r="H622" i="1"/>
  <c r="K622" i="1"/>
  <c r="F2565" i="1"/>
  <c r="G2565" i="1"/>
  <c r="H2565" i="1"/>
  <c r="K2565" i="1"/>
  <c r="F623" i="1"/>
  <c r="G623" i="1"/>
  <c r="H623" i="1"/>
  <c r="K623" i="1"/>
  <c r="F6676" i="1"/>
  <c r="G6676" i="1"/>
  <c r="H6676" i="1"/>
  <c r="K6676" i="1"/>
  <c r="F6677" i="1"/>
  <c r="G6677" i="1"/>
  <c r="H6677" i="1"/>
  <c r="K6677" i="1"/>
  <c r="F624" i="1"/>
  <c r="G624" i="1"/>
  <c r="H624" i="1"/>
  <c r="K624" i="1"/>
  <c r="F5266" i="1"/>
  <c r="G5266" i="1"/>
  <c r="H5266" i="1"/>
  <c r="K5266" i="1"/>
  <c r="F5267" i="1"/>
  <c r="G5267" i="1"/>
  <c r="H5267" i="1"/>
  <c r="K5267" i="1"/>
  <c r="F3824" i="1"/>
  <c r="G3824" i="1"/>
  <c r="H3824" i="1"/>
  <c r="K3824" i="1"/>
  <c r="F625" i="1"/>
  <c r="G625" i="1"/>
  <c r="H625" i="1"/>
  <c r="K625" i="1"/>
  <c r="F626" i="1"/>
  <c r="G626" i="1"/>
  <c r="H626" i="1"/>
  <c r="K626" i="1"/>
  <c r="F627" i="1"/>
  <c r="G627" i="1"/>
  <c r="H627" i="1"/>
  <c r="K627" i="1"/>
  <c r="F628" i="1"/>
  <c r="G628" i="1"/>
  <c r="H628" i="1"/>
  <c r="K628" i="1"/>
  <c r="F629" i="1"/>
  <c r="G629" i="1"/>
  <c r="H629" i="1"/>
  <c r="K629" i="1"/>
  <c r="F630" i="1"/>
  <c r="G630" i="1"/>
  <c r="H630" i="1"/>
  <c r="K630" i="1"/>
  <c r="F631" i="1"/>
  <c r="G631" i="1"/>
  <c r="H631" i="1"/>
  <c r="K631" i="1"/>
  <c r="F632" i="1"/>
  <c r="G632" i="1"/>
  <c r="H632" i="1"/>
  <c r="K632" i="1"/>
  <c r="F633" i="1"/>
  <c r="G633" i="1"/>
  <c r="H633" i="1"/>
  <c r="K633" i="1"/>
  <c r="F2566" i="1"/>
  <c r="G2566" i="1"/>
  <c r="H2566" i="1"/>
  <c r="K2566" i="1"/>
  <c r="F2567" i="1"/>
  <c r="G2567" i="1"/>
  <c r="H2567" i="1"/>
  <c r="K2567" i="1"/>
  <c r="F2568" i="1"/>
  <c r="G2568" i="1"/>
  <c r="H2568" i="1"/>
  <c r="K2568" i="1"/>
  <c r="F3825" i="1"/>
  <c r="G3825" i="1"/>
  <c r="H3825" i="1"/>
  <c r="K3825" i="1"/>
  <c r="F3826" i="1"/>
  <c r="G3826" i="1"/>
  <c r="H3826" i="1"/>
  <c r="K3826" i="1"/>
  <c r="F3827" i="1"/>
  <c r="G3827" i="1"/>
  <c r="H3827" i="1"/>
  <c r="K3827" i="1"/>
  <c r="F2569" i="1"/>
  <c r="G2569" i="1"/>
  <c r="H2569" i="1"/>
  <c r="K2569" i="1"/>
  <c r="F5268" i="1"/>
  <c r="G5268" i="1"/>
  <c r="H5268" i="1"/>
  <c r="K5268" i="1"/>
  <c r="F2570" i="1"/>
  <c r="G2570" i="1"/>
  <c r="H2570" i="1"/>
  <c r="K2570" i="1"/>
  <c r="F6678" i="1"/>
  <c r="G6678" i="1"/>
  <c r="H6678" i="1"/>
  <c r="K6678" i="1"/>
  <c r="F5269" i="1"/>
  <c r="G5269" i="1"/>
  <c r="H5269" i="1"/>
  <c r="K5269" i="1"/>
  <c r="F634" i="1"/>
  <c r="G634" i="1"/>
  <c r="H634" i="1"/>
  <c r="K634" i="1"/>
  <c r="F6679" i="1"/>
  <c r="G6679" i="1"/>
  <c r="H6679" i="1"/>
  <c r="K6679" i="1"/>
  <c r="F6680" i="1"/>
  <c r="G6680" i="1"/>
  <c r="H6680" i="1"/>
  <c r="K6680" i="1"/>
  <c r="F6681" i="1"/>
  <c r="G6681" i="1"/>
  <c r="H6681" i="1"/>
  <c r="K6681" i="1"/>
  <c r="F6682" i="1"/>
  <c r="G6682" i="1"/>
  <c r="H6682" i="1"/>
  <c r="K6682" i="1"/>
  <c r="F3828" i="1"/>
  <c r="G3828" i="1"/>
  <c r="H3828" i="1"/>
  <c r="K3828" i="1"/>
  <c r="F3829" i="1"/>
  <c r="G3829" i="1"/>
  <c r="H3829" i="1"/>
  <c r="K3829" i="1"/>
  <c r="F3830" i="1"/>
  <c r="G3830" i="1"/>
  <c r="H3830" i="1"/>
  <c r="K3830" i="1"/>
  <c r="F6683" i="1"/>
  <c r="G6683" i="1"/>
  <c r="H6683" i="1"/>
  <c r="K6683" i="1"/>
  <c r="F5270" i="1"/>
  <c r="G5270" i="1"/>
  <c r="H5270" i="1"/>
  <c r="K5270" i="1"/>
  <c r="F6684" i="1"/>
  <c r="G6684" i="1"/>
  <c r="H6684" i="1"/>
  <c r="K6684" i="1"/>
  <c r="F6685" i="1"/>
  <c r="G6685" i="1"/>
  <c r="H6685" i="1"/>
  <c r="K6685" i="1"/>
  <c r="F635" i="1"/>
  <c r="G635" i="1"/>
  <c r="H635" i="1"/>
  <c r="K635" i="1"/>
  <c r="F6686" i="1"/>
  <c r="G6686" i="1"/>
  <c r="H6686" i="1"/>
  <c r="K6686" i="1"/>
  <c r="F3831" i="1"/>
  <c r="G3831" i="1"/>
  <c r="H3831" i="1"/>
  <c r="K3831" i="1"/>
  <c r="F3832" i="1"/>
  <c r="G3832" i="1"/>
  <c r="H3832" i="1"/>
  <c r="K3832" i="1"/>
  <c r="F6687" i="1"/>
  <c r="G6687" i="1"/>
  <c r="H6687" i="1"/>
  <c r="K6687" i="1"/>
  <c r="F636" i="1"/>
  <c r="G636" i="1"/>
  <c r="H636" i="1"/>
  <c r="K636" i="1"/>
  <c r="F5271" i="1"/>
  <c r="G5271" i="1"/>
  <c r="H5271" i="1"/>
  <c r="K5271" i="1"/>
  <c r="F2571" i="1"/>
  <c r="G2571" i="1"/>
  <c r="H2571" i="1"/>
  <c r="K2571" i="1"/>
  <c r="F3833" i="1"/>
  <c r="G3833" i="1"/>
  <c r="H3833" i="1"/>
  <c r="K3833" i="1"/>
  <c r="F2572" i="1"/>
  <c r="G2572" i="1"/>
  <c r="H2572" i="1"/>
  <c r="K2572" i="1"/>
  <c r="F2573" i="1"/>
  <c r="G2573" i="1"/>
  <c r="H2573" i="1"/>
  <c r="K2573" i="1"/>
  <c r="F2574" i="1"/>
  <c r="G2574" i="1"/>
  <c r="H2574" i="1"/>
  <c r="K2574" i="1"/>
  <c r="F2575" i="1"/>
  <c r="G2575" i="1"/>
  <c r="H2575" i="1"/>
  <c r="K2575" i="1"/>
  <c r="F2576" i="1"/>
  <c r="G2576" i="1"/>
  <c r="H2576" i="1"/>
  <c r="K2576" i="1"/>
  <c r="F3834" i="1"/>
  <c r="G3834" i="1"/>
  <c r="H3834" i="1"/>
  <c r="K3834" i="1"/>
  <c r="F2577" i="1"/>
  <c r="G2577" i="1"/>
  <c r="H2577" i="1"/>
  <c r="K2577" i="1"/>
  <c r="F5272" i="1"/>
  <c r="G5272" i="1"/>
  <c r="H5272" i="1"/>
  <c r="K5272" i="1"/>
  <c r="F5273" i="1"/>
  <c r="G5273" i="1"/>
  <c r="H5273" i="1"/>
  <c r="K5273" i="1"/>
  <c r="F5274" i="1"/>
  <c r="G5274" i="1"/>
  <c r="H5274" i="1"/>
  <c r="K5274" i="1"/>
  <c r="F5275" i="1"/>
  <c r="G5275" i="1"/>
  <c r="H5275" i="1"/>
  <c r="K5275" i="1"/>
  <c r="F5276" i="1"/>
  <c r="G5276" i="1"/>
  <c r="H5276" i="1"/>
  <c r="K5276" i="1"/>
  <c r="F6688" i="1"/>
  <c r="G6688" i="1"/>
  <c r="H6688" i="1"/>
  <c r="K6688" i="1"/>
  <c r="F637" i="1"/>
  <c r="G637" i="1"/>
  <c r="H637" i="1"/>
  <c r="K637" i="1"/>
  <c r="F638" i="1"/>
  <c r="G638" i="1"/>
  <c r="H638" i="1"/>
  <c r="K638" i="1"/>
  <c r="F5277" i="1"/>
  <c r="G5277" i="1"/>
  <c r="H5277" i="1"/>
  <c r="K5277" i="1"/>
  <c r="F6689" i="1"/>
  <c r="G6689" i="1"/>
  <c r="H6689" i="1"/>
  <c r="K6689" i="1"/>
  <c r="F5278" i="1"/>
  <c r="G5278" i="1"/>
  <c r="H5278" i="1"/>
  <c r="K5278" i="1"/>
  <c r="F6690" i="1"/>
  <c r="G6690" i="1"/>
  <c r="H6690" i="1"/>
  <c r="K6690" i="1"/>
  <c r="F6691" i="1"/>
  <c r="G6691" i="1"/>
  <c r="H6691" i="1"/>
  <c r="K6691" i="1"/>
  <c r="F6692" i="1"/>
  <c r="G6692" i="1"/>
  <c r="H6692" i="1"/>
  <c r="K6692" i="1"/>
  <c r="F3835" i="1"/>
  <c r="G3835" i="1"/>
  <c r="H3835" i="1"/>
  <c r="K3835" i="1"/>
  <c r="F6693" i="1"/>
  <c r="G6693" i="1"/>
  <c r="H6693" i="1"/>
  <c r="K6693" i="1"/>
  <c r="F639" i="1"/>
  <c r="G639" i="1"/>
  <c r="H639" i="1"/>
  <c r="K639" i="1"/>
  <c r="F640" i="1"/>
  <c r="G640" i="1"/>
  <c r="H640" i="1"/>
  <c r="K640" i="1"/>
  <c r="F6694" i="1"/>
  <c r="G6694" i="1"/>
  <c r="H6694" i="1"/>
  <c r="K6694" i="1"/>
  <c r="F5279" i="1"/>
  <c r="G5279" i="1"/>
  <c r="H5279" i="1"/>
  <c r="K5279" i="1"/>
  <c r="F5280" i="1"/>
  <c r="G5280" i="1"/>
  <c r="H5280" i="1"/>
  <c r="K5280" i="1"/>
  <c r="F6695" i="1"/>
  <c r="G6695" i="1"/>
  <c r="H6695" i="1"/>
  <c r="K6695" i="1"/>
  <c r="F2578" i="1"/>
  <c r="G2578" i="1"/>
  <c r="H2578" i="1"/>
  <c r="K2578" i="1"/>
  <c r="F641" i="1"/>
  <c r="G641" i="1"/>
  <c r="H641" i="1"/>
  <c r="K641" i="1"/>
  <c r="F5281" i="1"/>
  <c r="G5281" i="1"/>
  <c r="H5281" i="1"/>
  <c r="K5281" i="1"/>
  <c r="F3836" i="1"/>
  <c r="G3836" i="1"/>
  <c r="H3836" i="1"/>
  <c r="K3836" i="1"/>
  <c r="F3837" i="1"/>
  <c r="G3837" i="1"/>
  <c r="H3837" i="1"/>
  <c r="K3837" i="1"/>
  <c r="F2579" i="1"/>
  <c r="G2579" i="1"/>
  <c r="H2579" i="1"/>
  <c r="K2579" i="1"/>
  <c r="F642" i="1"/>
  <c r="G642" i="1"/>
  <c r="H642" i="1"/>
  <c r="K642" i="1"/>
  <c r="F2580" i="1"/>
  <c r="G2580" i="1"/>
  <c r="H2580" i="1"/>
  <c r="K2580" i="1"/>
  <c r="F643" i="1"/>
  <c r="G643" i="1"/>
  <c r="H643" i="1"/>
  <c r="K643" i="1"/>
  <c r="F3838" i="1"/>
  <c r="G3838" i="1"/>
  <c r="H3838" i="1"/>
  <c r="K3838" i="1"/>
  <c r="F6696" i="1"/>
  <c r="G6696" i="1"/>
  <c r="H6696" i="1"/>
  <c r="K6696" i="1"/>
  <c r="F2581" i="1"/>
  <c r="G2581" i="1"/>
  <c r="H2581" i="1"/>
  <c r="K2581" i="1"/>
  <c r="F644" i="1"/>
  <c r="G644" i="1"/>
  <c r="H644" i="1"/>
  <c r="K644" i="1"/>
  <c r="F645" i="1"/>
  <c r="G645" i="1"/>
  <c r="H645" i="1"/>
  <c r="K645" i="1"/>
  <c r="F646" i="1"/>
  <c r="G646" i="1"/>
  <c r="H646" i="1"/>
  <c r="K646" i="1"/>
  <c r="F647" i="1"/>
  <c r="G647" i="1"/>
  <c r="H647" i="1"/>
  <c r="K647" i="1"/>
  <c r="F2582" i="1"/>
  <c r="G2582" i="1"/>
  <c r="H2582" i="1"/>
  <c r="K2582" i="1"/>
  <c r="F648" i="1"/>
  <c r="G648" i="1"/>
  <c r="H648" i="1"/>
  <c r="K648" i="1"/>
  <c r="F649" i="1"/>
  <c r="G649" i="1"/>
  <c r="H649" i="1"/>
  <c r="K649" i="1"/>
  <c r="F650" i="1"/>
  <c r="G650" i="1"/>
  <c r="H650" i="1"/>
  <c r="K650" i="1"/>
  <c r="F651" i="1"/>
  <c r="G651" i="1"/>
  <c r="H651" i="1"/>
  <c r="K651" i="1"/>
  <c r="F2583" i="1"/>
  <c r="G2583" i="1"/>
  <c r="H2583" i="1"/>
  <c r="K2583" i="1"/>
  <c r="F6697" i="1"/>
  <c r="G6697" i="1"/>
  <c r="H6697" i="1"/>
  <c r="K6697" i="1"/>
  <c r="F3839" i="1"/>
  <c r="G3839" i="1"/>
  <c r="H3839" i="1"/>
  <c r="K3839" i="1"/>
  <c r="F3840" i="1"/>
  <c r="G3840" i="1"/>
  <c r="H3840" i="1"/>
  <c r="K3840" i="1"/>
  <c r="F6698" i="1"/>
  <c r="G6698" i="1"/>
  <c r="H6698" i="1"/>
  <c r="K6698" i="1"/>
  <c r="F652" i="1"/>
  <c r="G652" i="1"/>
  <c r="H652" i="1"/>
  <c r="K652" i="1"/>
  <c r="F2584" i="1"/>
  <c r="G2584" i="1"/>
  <c r="H2584" i="1"/>
  <c r="K2584" i="1"/>
  <c r="F653" i="1"/>
  <c r="G653" i="1"/>
  <c r="H653" i="1"/>
  <c r="K653" i="1"/>
  <c r="F654" i="1"/>
  <c r="G654" i="1"/>
  <c r="H654" i="1"/>
  <c r="K654" i="1"/>
  <c r="F655" i="1"/>
  <c r="G655" i="1"/>
  <c r="H655" i="1"/>
  <c r="K655" i="1"/>
  <c r="F656" i="1"/>
  <c r="G656" i="1"/>
  <c r="H656" i="1"/>
  <c r="K656" i="1"/>
  <c r="F657" i="1"/>
  <c r="G657" i="1"/>
  <c r="H657" i="1"/>
  <c r="K657" i="1"/>
  <c r="F658" i="1"/>
  <c r="G658" i="1"/>
  <c r="H658" i="1"/>
  <c r="K658" i="1"/>
  <c r="F2585" i="1"/>
  <c r="G2585" i="1"/>
  <c r="H2585" i="1"/>
  <c r="K2585" i="1"/>
  <c r="F2586" i="1"/>
  <c r="G2586" i="1"/>
  <c r="H2586" i="1"/>
  <c r="K2586" i="1"/>
  <c r="F3841" i="1"/>
  <c r="G3841" i="1"/>
  <c r="H3841" i="1"/>
  <c r="K3841" i="1"/>
  <c r="F6699" i="1"/>
  <c r="G6699" i="1"/>
  <c r="H6699" i="1"/>
  <c r="K6699" i="1"/>
  <c r="F659" i="1"/>
  <c r="G659" i="1"/>
  <c r="H659" i="1"/>
  <c r="K659" i="1"/>
  <c r="F6700" i="1"/>
  <c r="G6700" i="1"/>
  <c r="H6700" i="1"/>
  <c r="K6700" i="1"/>
  <c r="F3842" i="1"/>
  <c r="G3842" i="1"/>
  <c r="H3842" i="1"/>
  <c r="K3842" i="1"/>
  <c r="F660" i="1"/>
  <c r="G660" i="1"/>
  <c r="H660" i="1"/>
  <c r="K660" i="1"/>
  <c r="F2587" i="1"/>
  <c r="G2587" i="1"/>
  <c r="H2587" i="1"/>
  <c r="K2587" i="1"/>
  <c r="F2588" i="1"/>
  <c r="G2588" i="1"/>
  <c r="H2588" i="1"/>
  <c r="K2588" i="1"/>
  <c r="F661" i="1"/>
  <c r="G661" i="1"/>
  <c r="H661" i="1"/>
  <c r="K661" i="1"/>
  <c r="F662" i="1"/>
  <c r="G662" i="1"/>
  <c r="H662" i="1"/>
  <c r="K662" i="1"/>
  <c r="F663" i="1"/>
  <c r="G663" i="1"/>
  <c r="H663" i="1"/>
  <c r="K663" i="1"/>
  <c r="F664" i="1"/>
  <c r="G664" i="1"/>
  <c r="H664" i="1"/>
  <c r="K664" i="1"/>
  <c r="F665" i="1"/>
  <c r="G665" i="1"/>
  <c r="H665" i="1"/>
  <c r="K665" i="1"/>
  <c r="F666" i="1"/>
  <c r="G666" i="1"/>
  <c r="H666" i="1"/>
  <c r="K666" i="1"/>
  <c r="F3843" i="1"/>
  <c r="G3843" i="1"/>
  <c r="H3843" i="1"/>
  <c r="K3843" i="1"/>
  <c r="F3844" i="1"/>
  <c r="G3844" i="1"/>
  <c r="H3844" i="1"/>
  <c r="K3844" i="1"/>
  <c r="F6701" i="1"/>
  <c r="G6701" i="1"/>
  <c r="H6701" i="1"/>
  <c r="K6701" i="1"/>
  <c r="F6702" i="1"/>
  <c r="G6702" i="1"/>
  <c r="H6702" i="1"/>
  <c r="K6702" i="1"/>
  <c r="F6703" i="1"/>
  <c r="G6703" i="1"/>
  <c r="H6703" i="1"/>
  <c r="K6703" i="1"/>
  <c r="F6704" i="1"/>
  <c r="G6704" i="1"/>
  <c r="H6704" i="1"/>
  <c r="K6704" i="1"/>
  <c r="F6705" i="1"/>
  <c r="G6705" i="1"/>
  <c r="H6705" i="1"/>
  <c r="K6705" i="1"/>
  <c r="F6706" i="1"/>
  <c r="G6706" i="1"/>
  <c r="H6706" i="1"/>
  <c r="K6706" i="1"/>
  <c r="F6707" i="1"/>
  <c r="G6707" i="1"/>
  <c r="H6707" i="1"/>
  <c r="K6707" i="1"/>
  <c r="F6708" i="1"/>
  <c r="G6708" i="1"/>
  <c r="H6708" i="1"/>
  <c r="K6708" i="1"/>
  <c r="F6709" i="1"/>
  <c r="G6709" i="1"/>
  <c r="H6709" i="1"/>
  <c r="K6709" i="1"/>
  <c r="F6710" i="1"/>
  <c r="G6710" i="1"/>
  <c r="H6710" i="1"/>
  <c r="K6710" i="1"/>
  <c r="F6711" i="1"/>
  <c r="G6711" i="1"/>
  <c r="H6711" i="1"/>
  <c r="K6711" i="1"/>
  <c r="F6712" i="1"/>
  <c r="G6712" i="1"/>
  <c r="H6712" i="1"/>
  <c r="K6712" i="1"/>
  <c r="F667" i="1"/>
  <c r="G667" i="1"/>
  <c r="H667" i="1"/>
  <c r="K667" i="1"/>
  <c r="F6713" i="1"/>
  <c r="G6713" i="1"/>
  <c r="H6713" i="1"/>
  <c r="K6713" i="1"/>
  <c r="F668" i="1"/>
  <c r="G668" i="1"/>
  <c r="H668" i="1"/>
  <c r="K668" i="1"/>
  <c r="F5282" i="1"/>
  <c r="G5282" i="1"/>
  <c r="H5282" i="1"/>
  <c r="K5282" i="1"/>
  <c r="F3845" i="1"/>
  <c r="G3845" i="1"/>
  <c r="H3845" i="1"/>
  <c r="K3845" i="1"/>
  <c r="F3846" i="1"/>
  <c r="G3846" i="1"/>
  <c r="H3846" i="1"/>
  <c r="K3846" i="1"/>
  <c r="F3847" i="1"/>
  <c r="G3847" i="1"/>
  <c r="H3847" i="1"/>
  <c r="K3847" i="1"/>
  <c r="F3848" i="1"/>
  <c r="G3848" i="1"/>
  <c r="H3848" i="1"/>
  <c r="K3848" i="1"/>
  <c r="F3849" i="1"/>
  <c r="G3849" i="1"/>
  <c r="H3849" i="1"/>
  <c r="K3849" i="1"/>
  <c r="F3850" i="1"/>
  <c r="G3850" i="1"/>
  <c r="H3850" i="1"/>
  <c r="K3850" i="1"/>
  <c r="F3851" i="1"/>
  <c r="G3851" i="1"/>
  <c r="H3851" i="1"/>
  <c r="K3851" i="1"/>
  <c r="F6714" i="1"/>
  <c r="G6714" i="1"/>
  <c r="H6714" i="1"/>
  <c r="K6714" i="1"/>
  <c r="F669" i="1"/>
  <c r="G669" i="1"/>
  <c r="H669" i="1"/>
  <c r="K669" i="1"/>
  <c r="F670" i="1"/>
  <c r="G670" i="1"/>
  <c r="H670" i="1"/>
  <c r="K670" i="1"/>
  <c r="F671" i="1"/>
  <c r="G671" i="1"/>
  <c r="H671" i="1"/>
  <c r="K671" i="1"/>
  <c r="F672" i="1"/>
  <c r="G672" i="1"/>
  <c r="H672" i="1"/>
  <c r="K672" i="1"/>
  <c r="F673" i="1"/>
  <c r="G673" i="1"/>
  <c r="H673" i="1"/>
  <c r="K673" i="1"/>
  <c r="F674" i="1"/>
  <c r="G674" i="1"/>
  <c r="H674" i="1"/>
  <c r="K674" i="1"/>
  <c r="F675" i="1"/>
  <c r="G675" i="1"/>
  <c r="H675" i="1"/>
  <c r="K675" i="1"/>
  <c r="F3852" i="1"/>
  <c r="G3852" i="1"/>
  <c r="H3852" i="1"/>
  <c r="K3852" i="1"/>
  <c r="F3853" i="1"/>
  <c r="G3853" i="1"/>
  <c r="H3853" i="1"/>
  <c r="K3853" i="1"/>
  <c r="F2589" i="1"/>
  <c r="G2589" i="1"/>
  <c r="H2589" i="1"/>
  <c r="K2589" i="1"/>
  <c r="F676" i="1"/>
  <c r="G676" i="1"/>
  <c r="H676" i="1"/>
  <c r="K676" i="1"/>
  <c r="F677" i="1"/>
  <c r="G677" i="1"/>
  <c r="H677" i="1"/>
  <c r="K677" i="1"/>
  <c r="F678" i="1"/>
  <c r="G678" i="1"/>
  <c r="H678" i="1"/>
  <c r="K678" i="1"/>
  <c r="F6715" i="1"/>
  <c r="G6715" i="1"/>
  <c r="H6715" i="1"/>
  <c r="K6715" i="1"/>
  <c r="F3854" i="1"/>
  <c r="G3854" i="1"/>
  <c r="H3854" i="1"/>
  <c r="K3854" i="1"/>
  <c r="F6716" i="1"/>
  <c r="G6716" i="1"/>
  <c r="H6716" i="1"/>
  <c r="K6716" i="1"/>
  <c r="F679" i="1"/>
  <c r="G679" i="1"/>
  <c r="H679" i="1"/>
  <c r="K679" i="1"/>
  <c r="F6717" i="1"/>
  <c r="G6717" i="1"/>
  <c r="H6717" i="1"/>
  <c r="K6717" i="1"/>
  <c r="F2590" i="1"/>
  <c r="G2590" i="1"/>
  <c r="H2590" i="1"/>
  <c r="K2590" i="1"/>
  <c r="F6718" i="1"/>
  <c r="G6718" i="1"/>
  <c r="H6718" i="1"/>
  <c r="K6718" i="1"/>
  <c r="F6719" i="1"/>
  <c r="G6719" i="1"/>
  <c r="H6719" i="1"/>
  <c r="K6719" i="1"/>
  <c r="F2591" i="1"/>
  <c r="G2591" i="1"/>
  <c r="H2591" i="1"/>
  <c r="K2591" i="1"/>
  <c r="F3855" i="1"/>
  <c r="G3855" i="1"/>
  <c r="H3855" i="1"/>
  <c r="K3855" i="1"/>
  <c r="F3856" i="1"/>
  <c r="G3856" i="1"/>
  <c r="H3856" i="1"/>
  <c r="K3856" i="1"/>
  <c r="F3857" i="1"/>
  <c r="G3857" i="1"/>
  <c r="H3857" i="1"/>
  <c r="K3857" i="1"/>
  <c r="F680" i="1"/>
  <c r="G680" i="1"/>
  <c r="H680" i="1"/>
  <c r="K680" i="1"/>
  <c r="F681" i="1"/>
  <c r="G681" i="1"/>
  <c r="H681" i="1"/>
  <c r="K681" i="1"/>
  <c r="F3858" i="1"/>
  <c r="G3858" i="1"/>
  <c r="H3858" i="1"/>
  <c r="K3858" i="1"/>
  <c r="F6720" i="1"/>
  <c r="G6720" i="1"/>
  <c r="H6720" i="1"/>
  <c r="K6720" i="1"/>
  <c r="F682" i="1"/>
  <c r="G682" i="1"/>
  <c r="H682" i="1"/>
  <c r="K682" i="1"/>
  <c r="F683" i="1"/>
  <c r="G683" i="1"/>
  <c r="H683" i="1"/>
  <c r="K683" i="1"/>
  <c r="F684" i="1"/>
  <c r="G684" i="1"/>
  <c r="H684" i="1"/>
  <c r="K684" i="1"/>
  <c r="F5283" i="1"/>
  <c r="G5283" i="1"/>
  <c r="H5283" i="1"/>
  <c r="K5283" i="1"/>
  <c r="F6721" i="1"/>
  <c r="G6721" i="1"/>
  <c r="H6721" i="1"/>
  <c r="K6721" i="1"/>
  <c r="F5284" i="1"/>
  <c r="G5284" i="1"/>
  <c r="H5284" i="1"/>
  <c r="K5284" i="1"/>
  <c r="F6722" i="1"/>
  <c r="G6722" i="1"/>
  <c r="H6722" i="1"/>
  <c r="K6722" i="1"/>
  <c r="F3859" i="1"/>
  <c r="G3859" i="1"/>
  <c r="H3859" i="1"/>
  <c r="K3859" i="1"/>
  <c r="F6723" i="1"/>
  <c r="G6723" i="1"/>
  <c r="H6723" i="1"/>
  <c r="K6723" i="1"/>
  <c r="F6724" i="1"/>
  <c r="G6724" i="1"/>
  <c r="H6724" i="1"/>
  <c r="K6724" i="1"/>
  <c r="F6725" i="1"/>
  <c r="G6725" i="1"/>
  <c r="H6725" i="1"/>
  <c r="K6725" i="1"/>
  <c r="F685" i="1"/>
  <c r="G685" i="1"/>
  <c r="H685" i="1"/>
  <c r="K685" i="1"/>
  <c r="F686" i="1"/>
  <c r="G686" i="1"/>
  <c r="H686" i="1"/>
  <c r="K686" i="1"/>
  <c r="F3860" i="1"/>
  <c r="G3860" i="1"/>
  <c r="H3860" i="1"/>
  <c r="K3860" i="1"/>
  <c r="F687" i="1"/>
  <c r="G687" i="1"/>
  <c r="H687" i="1"/>
  <c r="K687" i="1"/>
  <c r="F688" i="1"/>
  <c r="G688" i="1"/>
  <c r="H688" i="1"/>
  <c r="K688" i="1"/>
  <c r="F689" i="1"/>
  <c r="G689" i="1"/>
  <c r="H689" i="1"/>
  <c r="K689" i="1"/>
  <c r="F3861" i="1"/>
  <c r="G3861" i="1"/>
  <c r="H3861" i="1"/>
  <c r="K3861" i="1"/>
  <c r="F690" i="1"/>
  <c r="G690" i="1"/>
  <c r="H690" i="1"/>
  <c r="K690" i="1"/>
  <c r="F3862" i="1"/>
  <c r="G3862" i="1"/>
  <c r="H3862" i="1"/>
  <c r="K3862" i="1"/>
  <c r="F6726" i="1"/>
  <c r="G6726" i="1"/>
  <c r="H6726" i="1"/>
  <c r="K6726" i="1"/>
  <c r="F5285" i="1"/>
  <c r="G5285" i="1"/>
  <c r="H5285" i="1"/>
  <c r="K5285" i="1"/>
  <c r="F3863" i="1"/>
  <c r="G3863" i="1"/>
  <c r="H3863" i="1"/>
  <c r="K3863" i="1"/>
  <c r="F5286" i="1"/>
  <c r="G5286" i="1"/>
  <c r="H5286" i="1"/>
  <c r="K5286" i="1"/>
  <c r="F2592" i="1"/>
  <c r="G2592" i="1"/>
  <c r="H2592" i="1"/>
  <c r="K2592" i="1"/>
  <c r="F2593" i="1"/>
  <c r="G2593" i="1"/>
  <c r="H2593" i="1"/>
  <c r="K2593" i="1"/>
  <c r="F2594" i="1"/>
  <c r="G2594" i="1"/>
  <c r="H2594" i="1"/>
  <c r="K2594" i="1"/>
  <c r="F2595" i="1"/>
  <c r="G2595" i="1"/>
  <c r="H2595" i="1"/>
  <c r="K2595" i="1"/>
  <c r="F2596" i="1"/>
  <c r="G2596" i="1"/>
  <c r="H2596" i="1"/>
  <c r="K2596" i="1"/>
  <c r="F2597" i="1"/>
  <c r="G2597" i="1"/>
  <c r="H2597" i="1"/>
  <c r="K2597" i="1"/>
  <c r="F2598" i="1"/>
  <c r="G2598" i="1"/>
  <c r="H2598" i="1"/>
  <c r="K2598" i="1"/>
  <c r="F2599" i="1"/>
  <c r="G2599" i="1"/>
  <c r="H2599" i="1"/>
  <c r="K2599" i="1"/>
  <c r="F691" i="1"/>
  <c r="G691" i="1"/>
  <c r="H691" i="1"/>
  <c r="K691" i="1"/>
  <c r="F692" i="1"/>
  <c r="G692" i="1"/>
  <c r="H692" i="1"/>
  <c r="K692" i="1"/>
  <c r="F6727" i="1"/>
  <c r="G6727" i="1"/>
  <c r="H6727" i="1"/>
  <c r="K6727" i="1"/>
  <c r="F6728" i="1"/>
  <c r="G6728" i="1"/>
  <c r="H6728" i="1"/>
  <c r="K6728" i="1"/>
  <c r="F6729" i="1"/>
  <c r="G6729" i="1"/>
  <c r="H6729" i="1"/>
  <c r="K6729" i="1"/>
  <c r="F6730" i="1"/>
  <c r="G6730" i="1"/>
  <c r="H6730" i="1"/>
  <c r="K6730" i="1"/>
  <c r="F6731" i="1"/>
  <c r="G6731" i="1"/>
  <c r="H6731" i="1"/>
  <c r="K6731" i="1"/>
  <c r="F6732" i="1"/>
  <c r="G6732" i="1"/>
  <c r="H6732" i="1"/>
  <c r="K6732" i="1"/>
  <c r="F6733" i="1"/>
  <c r="G6733" i="1"/>
  <c r="H6733" i="1"/>
  <c r="K6733" i="1"/>
  <c r="F693" i="1"/>
  <c r="G693" i="1"/>
  <c r="H693" i="1"/>
  <c r="K693" i="1"/>
  <c r="F694" i="1"/>
  <c r="G694" i="1"/>
  <c r="H694" i="1"/>
  <c r="K694" i="1"/>
  <c r="F695" i="1"/>
  <c r="G695" i="1"/>
  <c r="H695" i="1"/>
  <c r="K695" i="1"/>
  <c r="F696" i="1"/>
  <c r="G696" i="1"/>
  <c r="H696" i="1"/>
  <c r="K696" i="1"/>
  <c r="F2600" i="1"/>
  <c r="G2600" i="1"/>
  <c r="H2600" i="1"/>
  <c r="K2600" i="1"/>
  <c r="F3864" i="1"/>
  <c r="G3864" i="1"/>
  <c r="H3864" i="1"/>
  <c r="K3864" i="1"/>
  <c r="F3865" i="1"/>
  <c r="G3865" i="1"/>
  <c r="H3865" i="1"/>
  <c r="K3865" i="1"/>
  <c r="F697" i="1"/>
  <c r="G697" i="1"/>
  <c r="H697" i="1"/>
  <c r="K697" i="1"/>
  <c r="F698" i="1"/>
  <c r="G698" i="1"/>
  <c r="H698" i="1"/>
  <c r="K698" i="1"/>
  <c r="F699" i="1"/>
  <c r="G699" i="1"/>
  <c r="H699" i="1"/>
  <c r="K699" i="1"/>
  <c r="F700" i="1"/>
  <c r="G700" i="1"/>
  <c r="H700" i="1"/>
  <c r="K700" i="1"/>
  <c r="F5287" i="1"/>
  <c r="G5287" i="1"/>
  <c r="H5287" i="1"/>
  <c r="K5287" i="1"/>
  <c r="F701" i="1"/>
  <c r="G701" i="1"/>
  <c r="H701" i="1"/>
  <c r="K701" i="1"/>
  <c r="F702" i="1"/>
  <c r="G702" i="1"/>
  <c r="H702" i="1"/>
  <c r="K702" i="1"/>
  <c r="F3866" i="1"/>
  <c r="G3866" i="1"/>
  <c r="H3866" i="1"/>
  <c r="K3866" i="1"/>
  <c r="F703" i="1"/>
  <c r="G703" i="1"/>
  <c r="H703" i="1"/>
  <c r="K703" i="1"/>
  <c r="F6734" i="1"/>
  <c r="G6734" i="1"/>
  <c r="H6734" i="1"/>
  <c r="K6734" i="1"/>
  <c r="F2601" i="1"/>
  <c r="G2601" i="1"/>
  <c r="H2601" i="1"/>
  <c r="K2601" i="1"/>
  <c r="F5288" i="1"/>
  <c r="G5288" i="1"/>
  <c r="H5288" i="1"/>
  <c r="K5288" i="1"/>
  <c r="F5289" i="1"/>
  <c r="G5289" i="1"/>
  <c r="H5289" i="1"/>
  <c r="K5289" i="1"/>
  <c r="F5290" i="1"/>
  <c r="G5290" i="1"/>
  <c r="H5290" i="1"/>
  <c r="K5290" i="1"/>
  <c r="F6735" i="1"/>
  <c r="G6735" i="1"/>
  <c r="H6735" i="1"/>
  <c r="K6735" i="1"/>
  <c r="F704" i="1"/>
  <c r="G704" i="1"/>
  <c r="H704" i="1"/>
  <c r="K704" i="1"/>
  <c r="F3867" i="1"/>
  <c r="G3867" i="1"/>
  <c r="H3867" i="1"/>
  <c r="K3867" i="1"/>
  <c r="F3868" i="1"/>
  <c r="G3868" i="1"/>
  <c r="H3868" i="1"/>
  <c r="K3868" i="1"/>
  <c r="F705" i="1"/>
  <c r="G705" i="1"/>
  <c r="H705" i="1"/>
  <c r="K705" i="1"/>
  <c r="F706" i="1"/>
  <c r="G706" i="1"/>
  <c r="H706" i="1"/>
  <c r="K706" i="1"/>
  <c r="F6736" i="1"/>
  <c r="G6736" i="1"/>
  <c r="H6736" i="1"/>
  <c r="K6736" i="1"/>
  <c r="F3869" i="1"/>
  <c r="G3869" i="1"/>
  <c r="H3869" i="1"/>
  <c r="K3869" i="1"/>
  <c r="F3870" i="1"/>
  <c r="G3870" i="1"/>
  <c r="H3870" i="1"/>
  <c r="K3870" i="1"/>
  <c r="F3871" i="1"/>
  <c r="G3871" i="1"/>
  <c r="H3871" i="1"/>
  <c r="K3871" i="1"/>
  <c r="F2602" i="1"/>
  <c r="G2602" i="1"/>
  <c r="H2602" i="1"/>
  <c r="K2602" i="1"/>
  <c r="F5291" i="1"/>
  <c r="G5291" i="1"/>
  <c r="H5291" i="1"/>
  <c r="K5291" i="1"/>
  <c r="F2603" i="1"/>
  <c r="G2603" i="1"/>
  <c r="H2603" i="1"/>
  <c r="K2603" i="1"/>
  <c r="F707" i="1"/>
  <c r="G707" i="1"/>
  <c r="H707" i="1"/>
  <c r="K707" i="1"/>
  <c r="F708" i="1"/>
  <c r="G708" i="1"/>
  <c r="H708" i="1"/>
  <c r="K708" i="1"/>
  <c r="F709" i="1"/>
  <c r="G709" i="1"/>
  <c r="H709" i="1"/>
  <c r="K709" i="1"/>
  <c r="F710" i="1"/>
  <c r="G710" i="1"/>
  <c r="H710" i="1"/>
  <c r="K710" i="1"/>
  <c r="F711" i="1"/>
  <c r="G711" i="1"/>
  <c r="H711" i="1"/>
  <c r="K711" i="1"/>
  <c r="F712" i="1"/>
  <c r="G712" i="1"/>
  <c r="H712" i="1"/>
  <c r="K712" i="1"/>
  <c r="F713" i="1"/>
  <c r="G713" i="1"/>
  <c r="H713" i="1"/>
  <c r="K713" i="1"/>
  <c r="F714" i="1"/>
  <c r="G714" i="1"/>
  <c r="H714" i="1"/>
  <c r="K714" i="1"/>
  <c r="F3872" i="1"/>
  <c r="G3872" i="1"/>
  <c r="H3872" i="1"/>
  <c r="K3872" i="1"/>
  <c r="F715" i="1"/>
  <c r="G715" i="1"/>
  <c r="H715" i="1"/>
  <c r="K715" i="1"/>
  <c r="F716" i="1"/>
  <c r="G716" i="1"/>
  <c r="H716" i="1"/>
  <c r="K716" i="1"/>
  <c r="F717" i="1"/>
  <c r="G717" i="1"/>
  <c r="H717" i="1"/>
  <c r="K717" i="1"/>
  <c r="F718" i="1"/>
  <c r="G718" i="1"/>
  <c r="H718" i="1"/>
  <c r="K718" i="1"/>
  <c r="F719" i="1"/>
  <c r="G719" i="1"/>
  <c r="H719" i="1"/>
  <c r="K719" i="1"/>
  <c r="F5292" i="1"/>
  <c r="G5292" i="1"/>
  <c r="H5292" i="1"/>
  <c r="K5292" i="1"/>
  <c r="F720" i="1"/>
  <c r="G720" i="1"/>
  <c r="H720" i="1"/>
  <c r="K720" i="1"/>
  <c r="F6737" i="1"/>
  <c r="G6737" i="1"/>
  <c r="H6737" i="1"/>
  <c r="K6737" i="1"/>
  <c r="F721" i="1"/>
  <c r="G721" i="1"/>
  <c r="H721" i="1"/>
  <c r="K721" i="1"/>
  <c r="F5293" i="1"/>
  <c r="G5293" i="1"/>
  <c r="H5293" i="1"/>
  <c r="K5293" i="1"/>
  <c r="F3873" i="1"/>
  <c r="G3873" i="1"/>
  <c r="H3873" i="1"/>
  <c r="K3873" i="1"/>
  <c r="F5294" i="1"/>
  <c r="G5294" i="1"/>
  <c r="H5294" i="1"/>
  <c r="K5294" i="1"/>
  <c r="F722" i="1"/>
  <c r="G722" i="1"/>
  <c r="H722" i="1"/>
  <c r="K722" i="1"/>
  <c r="F6738" i="1"/>
  <c r="G6738" i="1"/>
  <c r="H6738" i="1"/>
  <c r="K6738" i="1"/>
  <c r="F5295" i="1"/>
  <c r="G5295" i="1"/>
  <c r="H5295" i="1"/>
  <c r="K5295" i="1"/>
  <c r="F5296" i="1"/>
  <c r="G5296" i="1"/>
  <c r="H5296" i="1"/>
  <c r="K5296" i="1"/>
  <c r="F3874" i="1"/>
  <c r="G3874" i="1"/>
  <c r="H3874" i="1"/>
  <c r="K3874" i="1"/>
  <c r="F3875" i="1"/>
  <c r="G3875" i="1"/>
  <c r="H3875" i="1"/>
  <c r="K3875" i="1"/>
  <c r="F3876" i="1"/>
  <c r="G3876" i="1"/>
  <c r="H3876" i="1"/>
  <c r="K3876" i="1"/>
  <c r="F5297" i="1"/>
  <c r="G5297" i="1"/>
  <c r="H5297" i="1"/>
  <c r="K5297" i="1"/>
  <c r="F6739" i="1"/>
  <c r="G6739" i="1"/>
  <c r="H6739" i="1"/>
  <c r="K6739" i="1"/>
  <c r="F3877" i="1"/>
  <c r="G3877" i="1"/>
  <c r="H3877" i="1"/>
  <c r="K3877" i="1"/>
  <c r="F723" i="1"/>
  <c r="G723" i="1"/>
  <c r="H723" i="1"/>
  <c r="K723" i="1"/>
  <c r="F3878" i="1"/>
  <c r="G3878" i="1"/>
  <c r="H3878" i="1"/>
  <c r="K3878" i="1"/>
  <c r="F5298" i="1"/>
  <c r="G5298" i="1"/>
  <c r="H5298" i="1"/>
  <c r="K5298" i="1"/>
  <c r="F6740" i="1"/>
  <c r="G6740" i="1"/>
  <c r="H6740" i="1"/>
  <c r="K6740" i="1"/>
  <c r="F6741" i="1"/>
  <c r="G6741" i="1"/>
  <c r="H6741" i="1"/>
  <c r="K6741" i="1"/>
  <c r="F6742" i="1"/>
  <c r="G6742" i="1"/>
  <c r="H6742" i="1"/>
  <c r="K6742" i="1"/>
  <c r="F6743" i="1"/>
  <c r="G6743" i="1"/>
  <c r="H6743" i="1"/>
  <c r="K6743" i="1"/>
  <c r="F724" i="1"/>
  <c r="G724" i="1"/>
  <c r="H724" i="1"/>
  <c r="K724" i="1"/>
  <c r="F5299" i="1"/>
  <c r="G5299" i="1"/>
  <c r="H5299" i="1"/>
  <c r="K5299" i="1"/>
  <c r="F725" i="1"/>
  <c r="G725" i="1"/>
  <c r="H725" i="1"/>
  <c r="K725" i="1"/>
  <c r="F726" i="1"/>
  <c r="G726" i="1"/>
  <c r="H726" i="1"/>
  <c r="K726" i="1"/>
  <c r="F3879" i="1"/>
  <c r="G3879" i="1"/>
  <c r="H3879" i="1"/>
  <c r="K3879" i="1"/>
  <c r="F6744" i="1"/>
  <c r="G6744" i="1"/>
  <c r="H6744" i="1"/>
  <c r="K6744" i="1"/>
  <c r="F727" i="1"/>
  <c r="G727" i="1"/>
  <c r="H727" i="1"/>
  <c r="K727" i="1"/>
  <c r="F5300" i="1"/>
  <c r="G5300" i="1"/>
  <c r="H5300" i="1"/>
  <c r="K5300" i="1"/>
  <c r="F6745" i="1"/>
  <c r="G6745" i="1"/>
  <c r="H6745" i="1"/>
  <c r="K6745" i="1"/>
  <c r="F6746" i="1"/>
  <c r="G6746" i="1"/>
  <c r="H6746" i="1"/>
  <c r="K6746" i="1"/>
  <c r="F5301" i="1"/>
  <c r="G5301" i="1"/>
  <c r="H5301" i="1"/>
  <c r="K5301" i="1"/>
  <c r="F6747" i="1"/>
  <c r="G6747" i="1"/>
  <c r="H6747" i="1"/>
  <c r="K6747" i="1"/>
  <c r="F3880" i="1"/>
  <c r="G3880" i="1"/>
  <c r="H3880" i="1"/>
  <c r="K3880" i="1"/>
  <c r="F5302" i="1"/>
  <c r="G5302" i="1"/>
  <c r="H5302" i="1"/>
  <c r="K5302" i="1"/>
  <c r="F6748" i="1"/>
  <c r="G6748" i="1"/>
  <c r="H6748" i="1"/>
  <c r="K6748" i="1"/>
  <c r="F2604" i="1"/>
  <c r="G2604" i="1"/>
  <c r="H2604" i="1"/>
  <c r="K2604" i="1"/>
  <c r="F728" i="1"/>
  <c r="G728" i="1"/>
  <c r="H728" i="1"/>
  <c r="K728" i="1"/>
  <c r="F6749" i="1"/>
  <c r="G6749" i="1"/>
  <c r="H6749" i="1"/>
  <c r="K6749" i="1"/>
  <c r="F729" i="1"/>
  <c r="G729" i="1"/>
  <c r="H729" i="1"/>
  <c r="K729" i="1"/>
  <c r="F730" i="1"/>
  <c r="G730" i="1"/>
  <c r="H730" i="1"/>
  <c r="K730" i="1"/>
  <c r="F731" i="1"/>
  <c r="G731" i="1"/>
  <c r="H731" i="1"/>
  <c r="K731" i="1"/>
  <c r="F2605" i="1"/>
  <c r="G2605" i="1"/>
  <c r="H2605" i="1"/>
  <c r="K2605" i="1"/>
  <c r="F2606" i="1"/>
  <c r="G2606" i="1"/>
  <c r="H2606" i="1"/>
  <c r="K2606" i="1"/>
  <c r="F2607" i="1"/>
  <c r="G2607" i="1"/>
  <c r="H2607" i="1"/>
  <c r="K2607" i="1"/>
  <c r="F2608" i="1"/>
  <c r="G2608" i="1"/>
  <c r="H2608" i="1"/>
  <c r="K2608" i="1"/>
  <c r="F6750" i="1"/>
  <c r="G6750" i="1"/>
  <c r="H6750" i="1"/>
  <c r="K6750" i="1"/>
  <c r="F5303" i="1"/>
  <c r="G5303" i="1"/>
  <c r="H5303" i="1"/>
  <c r="K5303" i="1"/>
  <c r="F6751" i="1"/>
  <c r="G6751" i="1"/>
  <c r="H6751" i="1"/>
  <c r="K6751" i="1"/>
  <c r="F6752" i="1"/>
  <c r="G6752" i="1"/>
  <c r="H6752" i="1"/>
  <c r="K6752" i="1"/>
  <c r="F3881" i="1"/>
  <c r="G3881" i="1"/>
  <c r="H3881" i="1"/>
  <c r="K3881" i="1"/>
  <c r="F5304" i="1"/>
  <c r="G5304" i="1"/>
  <c r="H5304" i="1"/>
  <c r="K5304" i="1"/>
  <c r="F5305" i="1"/>
  <c r="G5305" i="1"/>
  <c r="H5305" i="1"/>
  <c r="K5305" i="1"/>
  <c r="F2609" i="1"/>
  <c r="G2609" i="1"/>
  <c r="H2609" i="1"/>
  <c r="K2609" i="1"/>
  <c r="F2610" i="1"/>
  <c r="G2610" i="1"/>
  <c r="H2610" i="1"/>
  <c r="K2610" i="1"/>
  <c r="F732" i="1"/>
  <c r="G732" i="1"/>
  <c r="H732" i="1"/>
  <c r="K732" i="1"/>
  <c r="F733" i="1"/>
  <c r="G733" i="1"/>
  <c r="H733" i="1"/>
  <c r="K733" i="1"/>
  <c r="F3882" i="1"/>
  <c r="G3882" i="1"/>
  <c r="H3882" i="1"/>
  <c r="K3882" i="1"/>
  <c r="F6753" i="1"/>
  <c r="G6753" i="1"/>
  <c r="H6753" i="1"/>
  <c r="K6753" i="1"/>
  <c r="F5306" i="1"/>
  <c r="G5306" i="1"/>
  <c r="H5306" i="1"/>
  <c r="K5306" i="1"/>
  <c r="F734" i="1"/>
  <c r="G734" i="1"/>
  <c r="H734" i="1"/>
  <c r="K734" i="1"/>
  <c r="F5307" i="1"/>
  <c r="G5307" i="1"/>
  <c r="H5307" i="1"/>
  <c r="K5307" i="1"/>
  <c r="F735" i="1"/>
  <c r="G735" i="1"/>
  <c r="H735" i="1"/>
  <c r="K735" i="1"/>
  <c r="F736" i="1"/>
  <c r="G736" i="1"/>
  <c r="H736" i="1"/>
  <c r="K736" i="1"/>
  <c r="F737" i="1"/>
  <c r="G737" i="1"/>
  <c r="H737" i="1"/>
  <c r="K737" i="1"/>
  <c r="F738" i="1"/>
  <c r="G738" i="1"/>
  <c r="H738" i="1"/>
  <c r="K738" i="1"/>
  <c r="F3883" i="1"/>
  <c r="G3883" i="1"/>
  <c r="H3883" i="1"/>
  <c r="K3883" i="1"/>
  <c r="F3884" i="1"/>
  <c r="G3884" i="1"/>
  <c r="H3884" i="1"/>
  <c r="K3884" i="1"/>
  <c r="F3885" i="1"/>
  <c r="G3885" i="1"/>
  <c r="H3885" i="1"/>
  <c r="K3885" i="1"/>
  <c r="F3886" i="1"/>
  <c r="G3886" i="1"/>
  <c r="H3886" i="1"/>
  <c r="K3886" i="1"/>
  <c r="F3887" i="1"/>
  <c r="G3887" i="1"/>
  <c r="H3887" i="1"/>
  <c r="K3887" i="1"/>
  <c r="F3888" i="1"/>
  <c r="G3888" i="1"/>
  <c r="H3888" i="1"/>
  <c r="K3888" i="1"/>
  <c r="F2611" i="1"/>
  <c r="G2611" i="1"/>
  <c r="H2611" i="1"/>
  <c r="K2611" i="1"/>
  <c r="F2612" i="1"/>
  <c r="G2612" i="1"/>
  <c r="H2612" i="1"/>
  <c r="K2612" i="1"/>
  <c r="F2613" i="1"/>
  <c r="G2613" i="1"/>
  <c r="H2613" i="1"/>
  <c r="K2613" i="1"/>
  <c r="F739" i="1"/>
  <c r="G739" i="1"/>
  <c r="H739" i="1"/>
  <c r="K739" i="1"/>
  <c r="F740" i="1"/>
  <c r="G740" i="1"/>
  <c r="H740" i="1"/>
  <c r="K740" i="1"/>
  <c r="F741" i="1"/>
  <c r="G741" i="1"/>
  <c r="H741" i="1"/>
  <c r="K741" i="1"/>
  <c r="F6754" i="1"/>
  <c r="G6754" i="1"/>
  <c r="H6754" i="1"/>
  <c r="K6754" i="1"/>
  <c r="F6755" i="1"/>
  <c r="G6755" i="1"/>
  <c r="H6755" i="1"/>
  <c r="K6755" i="1"/>
  <c r="F6756" i="1"/>
  <c r="G6756" i="1"/>
  <c r="H6756" i="1"/>
  <c r="K6756" i="1"/>
  <c r="F2614" i="1"/>
  <c r="G2614" i="1"/>
  <c r="H2614" i="1"/>
  <c r="K2614" i="1"/>
  <c r="F3889" i="1"/>
  <c r="G3889" i="1"/>
  <c r="H3889" i="1"/>
  <c r="K3889" i="1"/>
  <c r="F742" i="1"/>
  <c r="G742" i="1"/>
  <c r="H742" i="1"/>
  <c r="K742" i="1"/>
  <c r="F743" i="1"/>
  <c r="G743" i="1"/>
  <c r="H743" i="1"/>
  <c r="K743" i="1"/>
  <c r="F5308" i="1"/>
  <c r="G5308" i="1"/>
  <c r="H5308" i="1"/>
  <c r="K5308" i="1"/>
  <c r="F6757" i="1"/>
  <c r="G6757" i="1"/>
  <c r="H6757" i="1"/>
  <c r="K6757" i="1"/>
  <c r="F3890" i="1"/>
  <c r="G3890" i="1"/>
  <c r="H3890" i="1"/>
  <c r="K3890" i="1"/>
  <c r="F3891" i="1"/>
  <c r="G3891" i="1"/>
  <c r="H3891" i="1"/>
  <c r="K3891" i="1"/>
  <c r="F744" i="1"/>
  <c r="G744" i="1"/>
  <c r="H744" i="1"/>
  <c r="K744" i="1"/>
  <c r="F3892" i="1"/>
  <c r="G3892" i="1"/>
  <c r="H3892" i="1"/>
  <c r="K3892" i="1"/>
  <c r="F2615" i="1"/>
  <c r="G2615" i="1"/>
  <c r="H2615" i="1"/>
  <c r="K2615" i="1"/>
  <c r="F2616" i="1"/>
  <c r="G2616" i="1"/>
  <c r="H2616" i="1"/>
  <c r="K2616" i="1"/>
  <c r="F745" i="1"/>
  <c r="G745" i="1"/>
  <c r="H745" i="1"/>
  <c r="K745" i="1"/>
  <c r="F2617" i="1"/>
  <c r="G2617" i="1"/>
  <c r="H2617" i="1"/>
  <c r="K2617" i="1"/>
  <c r="F6758" i="1"/>
  <c r="G6758" i="1"/>
  <c r="H6758" i="1"/>
  <c r="K6758" i="1"/>
  <c r="F746" i="1"/>
  <c r="G746" i="1"/>
  <c r="H746" i="1"/>
  <c r="K746" i="1"/>
  <c r="F6759" i="1"/>
  <c r="G6759" i="1"/>
  <c r="H6759" i="1"/>
  <c r="K6759" i="1"/>
  <c r="F747" i="1"/>
  <c r="G747" i="1"/>
  <c r="H747" i="1"/>
  <c r="K747" i="1"/>
  <c r="F748" i="1"/>
  <c r="G748" i="1"/>
  <c r="H748" i="1"/>
  <c r="K748" i="1"/>
  <c r="F6760" i="1"/>
  <c r="G6760" i="1"/>
  <c r="H6760" i="1"/>
  <c r="K6760" i="1"/>
  <c r="F3893" i="1"/>
  <c r="G3893" i="1"/>
  <c r="H3893" i="1"/>
  <c r="K3893" i="1"/>
  <c r="F6761" i="1"/>
  <c r="G6761" i="1"/>
  <c r="H6761" i="1"/>
  <c r="K6761" i="1"/>
  <c r="F2618" i="1"/>
  <c r="G2618" i="1"/>
  <c r="H2618" i="1"/>
  <c r="K2618" i="1"/>
  <c r="F5309" i="1"/>
  <c r="G5309" i="1"/>
  <c r="H5309" i="1"/>
  <c r="K5309" i="1"/>
  <c r="F3894" i="1"/>
  <c r="G3894" i="1"/>
  <c r="H3894" i="1"/>
  <c r="K3894" i="1"/>
  <c r="F749" i="1"/>
  <c r="G749" i="1"/>
  <c r="H749" i="1"/>
  <c r="K749" i="1"/>
  <c r="F750" i="1"/>
  <c r="G750" i="1"/>
  <c r="H750" i="1"/>
  <c r="K750" i="1"/>
  <c r="F3895" i="1"/>
  <c r="G3895" i="1"/>
  <c r="H3895" i="1"/>
  <c r="K3895" i="1"/>
  <c r="F751" i="1"/>
  <c r="G751" i="1"/>
  <c r="H751" i="1"/>
  <c r="K751" i="1"/>
  <c r="F3896" i="1"/>
  <c r="G3896" i="1"/>
  <c r="H3896" i="1"/>
  <c r="K3896" i="1"/>
  <c r="F3897" i="1"/>
  <c r="G3897" i="1"/>
  <c r="H3897" i="1"/>
  <c r="K3897" i="1"/>
  <c r="F752" i="1"/>
  <c r="G752" i="1"/>
  <c r="H752" i="1"/>
  <c r="K752" i="1"/>
  <c r="F753" i="1"/>
  <c r="G753" i="1"/>
  <c r="H753" i="1"/>
  <c r="K753" i="1"/>
  <c r="F3898" i="1"/>
  <c r="G3898" i="1"/>
  <c r="H3898" i="1"/>
  <c r="K3898" i="1"/>
  <c r="F3899" i="1"/>
  <c r="G3899" i="1"/>
  <c r="H3899" i="1"/>
  <c r="K3899" i="1"/>
  <c r="F6762" i="1"/>
  <c r="G6762" i="1"/>
  <c r="H6762" i="1"/>
  <c r="K6762" i="1"/>
  <c r="F754" i="1"/>
  <c r="G754" i="1"/>
  <c r="H754" i="1"/>
  <c r="K754" i="1"/>
  <c r="F755" i="1"/>
  <c r="G755" i="1"/>
  <c r="H755" i="1"/>
  <c r="K755" i="1"/>
  <c r="F756" i="1"/>
  <c r="G756" i="1"/>
  <c r="H756" i="1"/>
  <c r="K756" i="1"/>
  <c r="F757" i="1"/>
  <c r="G757" i="1"/>
  <c r="H757" i="1"/>
  <c r="K757" i="1"/>
  <c r="F758" i="1"/>
  <c r="G758" i="1"/>
  <c r="H758" i="1"/>
  <c r="K758" i="1"/>
  <c r="F759" i="1"/>
  <c r="G759" i="1"/>
  <c r="H759" i="1"/>
  <c r="K759" i="1"/>
  <c r="F760" i="1"/>
  <c r="G760" i="1"/>
  <c r="H760" i="1"/>
  <c r="K760" i="1"/>
  <c r="F761" i="1"/>
  <c r="G761" i="1"/>
  <c r="H761" i="1"/>
  <c r="K761" i="1"/>
  <c r="F762" i="1"/>
  <c r="G762" i="1"/>
  <c r="H762" i="1"/>
  <c r="K762" i="1"/>
  <c r="F763" i="1"/>
  <c r="G763" i="1"/>
  <c r="H763" i="1"/>
  <c r="K763" i="1"/>
  <c r="F764" i="1"/>
  <c r="G764" i="1"/>
  <c r="H764" i="1"/>
  <c r="K764" i="1"/>
  <c r="F2619" i="1"/>
  <c r="G2619" i="1"/>
  <c r="H2619" i="1"/>
  <c r="K2619" i="1"/>
  <c r="F2620" i="1"/>
  <c r="G2620" i="1"/>
  <c r="H2620" i="1"/>
  <c r="K2620" i="1"/>
  <c r="F5310" i="1"/>
  <c r="G5310" i="1"/>
  <c r="H5310" i="1"/>
  <c r="K5310" i="1"/>
  <c r="F765" i="1"/>
  <c r="G765" i="1"/>
  <c r="H765" i="1"/>
  <c r="K765" i="1"/>
  <c r="F5311" i="1"/>
  <c r="G5311" i="1"/>
  <c r="H5311" i="1"/>
  <c r="K5311" i="1"/>
  <c r="F766" i="1"/>
  <c r="G766" i="1"/>
  <c r="H766" i="1"/>
  <c r="K766" i="1"/>
  <c r="F767" i="1"/>
  <c r="G767" i="1"/>
  <c r="H767" i="1"/>
  <c r="K767" i="1"/>
  <c r="F6763" i="1"/>
  <c r="G6763" i="1"/>
  <c r="H6763" i="1"/>
  <c r="K6763" i="1"/>
  <c r="F2621" i="1"/>
  <c r="G2621" i="1"/>
  <c r="H2621" i="1"/>
  <c r="K2621" i="1"/>
  <c r="F768" i="1"/>
  <c r="G768" i="1"/>
  <c r="H768" i="1"/>
  <c r="K768" i="1"/>
  <c r="F769" i="1"/>
  <c r="G769" i="1"/>
  <c r="H769" i="1"/>
  <c r="K769" i="1"/>
  <c r="F770" i="1"/>
  <c r="G770" i="1"/>
  <c r="H770" i="1"/>
  <c r="K770" i="1"/>
  <c r="F2622" i="1"/>
  <c r="G2622" i="1"/>
  <c r="H2622" i="1"/>
  <c r="K2622" i="1"/>
  <c r="F2623" i="1"/>
  <c r="G2623" i="1"/>
  <c r="H2623" i="1"/>
  <c r="K2623" i="1"/>
  <c r="F6764" i="1"/>
  <c r="G6764" i="1"/>
  <c r="H6764" i="1"/>
  <c r="K6764" i="1"/>
  <c r="F2624" i="1"/>
  <c r="G2624" i="1"/>
  <c r="H2624" i="1"/>
  <c r="K2624" i="1"/>
  <c r="F771" i="1"/>
  <c r="G771" i="1"/>
  <c r="H771" i="1"/>
  <c r="K771" i="1"/>
  <c r="F772" i="1"/>
  <c r="G772" i="1"/>
  <c r="H772" i="1"/>
  <c r="K772" i="1"/>
  <c r="F6765" i="1"/>
  <c r="G6765" i="1"/>
  <c r="H6765" i="1"/>
  <c r="K6765" i="1"/>
  <c r="F773" i="1"/>
  <c r="G773" i="1"/>
  <c r="H773" i="1"/>
  <c r="K773" i="1"/>
  <c r="F774" i="1"/>
  <c r="G774" i="1"/>
  <c r="H774" i="1"/>
  <c r="K774" i="1"/>
  <c r="F775" i="1"/>
  <c r="G775" i="1"/>
  <c r="H775" i="1"/>
  <c r="K775" i="1"/>
  <c r="F776" i="1"/>
  <c r="G776" i="1"/>
  <c r="H776" i="1"/>
  <c r="K776" i="1"/>
  <c r="F777" i="1"/>
  <c r="G777" i="1"/>
  <c r="H777" i="1"/>
  <c r="K777" i="1"/>
  <c r="F778" i="1"/>
  <c r="G778" i="1"/>
  <c r="H778" i="1"/>
  <c r="K778" i="1"/>
  <c r="F6766" i="1"/>
  <c r="G6766" i="1"/>
  <c r="H6766" i="1"/>
  <c r="K6766" i="1"/>
  <c r="F6767" i="1"/>
  <c r="G6767" i="1"/>
  <c r="H6767" i="1"/>
  <c r="K6767" i="1"/>
  <c r="F2625" i="1"/>
  <c r="G2625" i="1"/>
  <c r="H2625" i="1"/>
  <c r="K2625" i="1"/>
  <c r="F2626" i="1"/>
  <c r="G2626" i="1"/>
  <c r="H2626" i="1"/>
  <c r="K2626" i="1"/>
  <c r="F2627" i="1"/>
  <c r="G2627" i="1"/>
  <c r="H2627" i="1"/>
  <c r="K2627" i="1"/>
  <c r="F779" i="1"/>
  <c r="G779" i="1"/>
  <c r="H779" i="1"/>
  <c r="K779" i="1"/>
  <c r="F3900" i="1"/>
  <c r="G3900" i="1"/>
  <c r="H3900" i="1"/>
  <c r="K3900" i="1"/>
  <c r="F6768" i="1"/>
  <c r="G6768" i="1"/>
  <c r="H6768" i="1"/>
  <c r="K6768" i="1"/>
  <c r="F3901" i="1"/>
  <c r="G3901" i="1"/>
  <c r="H3901" i="1"/>
  <c r="K3901" i="1"/>
  <c r="F2628" i="1"/>
  <c r="G2628" i="1"/>
  <c r="H2628" i="1"/>
  <c r="K2628" i="1"/>
  <c r="F2629" i="1"/>
  <c r="G2629" i="1"/>
  <c r="H2629" i="1"/>
  <c r="K2629" i="1"/>
  <c r="F6769" i="1"/>
  <c r="G6769" i="1"/>
  <c r="H6769" i="1"/>
  <c r="K6769" i="1"/>
  <c r="F5312" i="1"/>
  <c r="G5312" i="1"/>
  <c r="H5312" i="1"/>
  <c r="K5312" i="1"/>
  <c r="F6770" i="1"/>
  <c r="G6770" i="1"/>
  <c r="H6770" i="1"/>
  <c r="K6770" i="1"/>
  <c r="F2630" i="1"/>
  <c r="G2630" i="1"/>
  <c r="H2630" i="1"/>
  <c r="K2630" i="1"/>
  <c r="F5313" i="1"/>
  <c r="G5313" i="1"/>
  <c r="H5313" i="1"/>
  <c r="K5313" i="1"/>
  <c r="F780" i="1"/>
  <c r="G780" i="1"/>
  <c r="H780" i="1"/>
  <c r="K780" i="1"/>
  <c r="F6771" i="1"/>
  <c r="G6771" i="1"/>
  <c r="H6771" i="1"/>
  <c r="K6771" i="1"/>
  <c r="F5314" i="1"/>
  <c r="G5314" i="1"/>
  <c r="H5314" i="1"/>
  <c r="K5314" i="1"/>
  <c r="F2631" i="1"/>
  <c r="G2631" i="1"/>
  <c r="H2631" i="1"/>
  <c r="K2631" i="1"/>
  <c r="F2632" i="1"/>
  <c r="G2632" i="1"/>
  <c r="H2632" i="1"/>
  <c r="K2632" i="1"/>
  <c r="F2633" i="1"/>
  <c r="G2633" i="1"/>
  <c r="H2633" i="1"/>
  <c r="K2633" i="1"/>
  <c r="F781" i="1"/>
  <c r="G781" i="1"/>
  <c r="H781" i="1"/>
  <c r="K781" i="1"/>
  <c r="F782" i="1"/>
  <c r="G782" i="1"/>
  <c r="H782" i="1"/>
  <c r="K782" i="1"/>
  <c r="F6772" i="1"/>
  <c r="G6772" i="1"/>
  <c r="H6772" i="1"/>
  <c r="K6772" i="1"/>
  <c r="F6773" i="1"/>
  <c r="G6773" i="1"/>
  <c r="H6773" i="1"/>
  <c r="K6773" i="1"/>
  <c r="F783" i="1"/>
  <c r="G783" i="1"/>
  <c r="H783" i="1"/>
  <c r="K783" i="1"/>
  <c r="F2634" i="1"/>
  <c r="G2634" i="1"/>
  <c r="H2634" i="1"/>
  <c r="K2634" i="1"/>
  <c r="F784" i="1"/>
  <c r="G784" i="1"/>
  <c r="H784" i="1"/>
  <c r="K784" i="1"/>
  <c r="F6774" i="1"/>
  <c r="G6774" i="1"/>
  <c r="H6774" i="1"/>
  <c r="K6774" i="1"/>
  <c r="F3902" i="1"/>
  <c r="G3902" i="1"/>
  <c r="H3902" i="1"/>
  <c r="K3902" i="1"/>
  <c r="F3903" i="1"/>
  <c r="G3903" i="1"/>
  <c r="H3903" i="1"/>
  <c r="K3903" i="1"/>
  <c r="F3904" i="1"/>
  <c r="G3904" i="1"/>
  <c r="H3904" i="1"/>
  <c r="K3904" i="1"/>
  <c r="F785" i="1"/>
  <c r="G785" i="1"/>
  <c r="H785" i="1"/>
  <c r="K785" i="1"/>
  <c r="F786" i="1"/>
  <c r="G786" i="1"/>
  <c r="H786" i="1"/>
  <c r="K786" i="1"/>
  <c r="F787" i="1"/>
  <c r="G787" i="1"/>
  <c r="H787" i="1"/>
  <c r="K787" i="1"/>
  <c r="F788" i="1"/>
  <c r="G788" i="1"/>
  <c r="H788" i="1"/>
  <c r="K788" i="1"/>
  <c r="F789" i="1"/>
  <c r="G789" i="1"/>
  <c r="H789" i="1"/>
  <c r="K789" i="1"/>
  <c r="F790" i="1"/>
  <c r="G790" i="1"/>
  <c r="H790" i="1"/>
  <c r="K790" i="1"/>
  <c r="F791" i="1"/>
  <c r="G791" i="1"/>
  <c r="H791" i="1"/>
  <c r="K791" i="1"/>
  <c r="F3905" i="1"/>
  <c r="G3905" i="1"/>
  <c r="H3905" i="1"/>
  <c r="K3905" i="1"/>
  <c r="F3906" i="1"/>
  <c r="G3906" i="1"/>
  <c r="H3906" i="1"/>
  <c r="K3906" i="1"/>
  <c r="F3907" i="1"/>
  <c r="G3907" i="1"/>
  <c r="H3907" i="1"/>
  <c r="K3907" i="1"/>
  <c r="F3908" i="1"/>
  <c r="G3908" i="1"/>
  <c r="H3908" i="1"/>
  <c r="K3908" i="1"/>
  <c r="F3909" i="1"/>
  <c r="G3909" i="1"/>
  <c r="H3909" i="1"/>
  <c r="K3909" i="1"/>
  <c r="F3910" i="1"/>
  <c r="G3910" i="1"/>
  <c r="H3910" i="1"/>
  <c r="K3910" i="1"/>
  <c r="F3911" i="1"/>
  <c r="G3911" i="1"/>
  <c r="H3911" i="1"/>
  <c r="K3911" i="1"/>
  <c r="F2635" i="1"/>
  <c r="G2635" i="1"/>
  <c r="H2635" i="1"/>
  <c r="K2635" i="1"/>
  <c r="F2636" i="1"/>
  <c r="G2636" i="1"/>
  <c r="H2636" i="1"/>
  <c r="K2636" i="1"/>
  <c r="F2637" i="1"/>
  <c r="G2637" i="1"/>
  <c r="H2637" i="1"/>
  <c r="K2637" i="1"/>
  <c r="F2638" i="1"/>
  <c r="G2638" i="1"/>
  <c r="H2638" i="1"/>
  <c r="K2638" i="1"/>
  <c r="F2639" i="1"/>
  <c r="G2639" i="1"/>
  <c r="H2639" i="1"/>
  <c r="K2639" i="1"/>
  <c r="F2640" i="1"/>
  <c r="G2640" i="1"/>
  <c r="H2640" i="1"/>
  <c r="K2640" i="1"/>
  <c r="F2641" i="1"/>
  <c r="G2641" i="1"/>
  <c r="H2641" i="1"/>
  <c r="K2641" i="1"/>
  <c r="F2642" i="1"/>
  <c r="G2642" i="1"/>
  <c r="H2642" i="1"/>
  <c r="K2642" i="1"/>
  <c r="F3912" i="1"/>
  <c r="G3912" i="1"/>
  <c r="H3912" i="1"/>
  <c r="K3912" i="1"/>
  <c r="F3913" i="1"/>
  <c r="G3913" i="1"/>
  <c r="H3913" i="1"/>
  <c r="K3913" i="1"/>
  <c r="F3914" i="1"/>
  <c r="G3914" i="1"/>
  <c r="H3914" i="1"/>
  <c r="K3914" i="1"/>
  <c r="F3915" i="1"/>
  <c r="G3915" i="1"/>
  <c r="H3915" i="1"/>
  <c r="K3915" i="1"/>
  <c r="F3916" i="1"/>
  <c r="G3916" i="1"/>
  <c r="H3916" i="1"/>
  <c r="K3916" i="1"/>
  <c r="F3917" i="1"/>
  <c r="G3917" i="1"/>
  <c r="H3917" i="1"/>
  <c r="K3917" i="1"/>
  <c r="F3918" i="1"/>
  <c r="G3918" i="1"/>
  <c r="H3918" i="1"/>
  <c r="K3918" i="1"/>
  <c r="F5315" i="1"/>
  <c r="G5315" i="1"/>
  <c r="H5315" i="1"/>
  <c r="K5315" i="1"/>
  <c r="F5316" i="1"/>
  <c r="G5316" i="1"/>
  <c r="H5316" i="1"/>
  <c r="K5316" i="1"/>
  <c r="F3919" i="1"/>
  <c r="G3919" i="1"/>
  <c r="H3919" i="1"/>
  <c r="K3919" i="1"/>
  <c r="F3920" i="1"/>
  <c r="G3920" i="1"/>
  <c r="H3920" i="1"/>
  <c r="K3920" i="1"/>
  <c r="F792" i="1"/>
  <c r="G792" i="1"/>
  <c r="H792" i="1"/>
  <c r="K792" i="1"/>
  <c r="F793" i="1"/>
  <c r="G793" i="1"/>
  <c r="H793" i="1"/>
  <c r="K793" i="1"/>
  <c r="F794" i="1"/>
  <c r="G794" i="1"/>
  <c r="H794" i="1"/>
  <c r="K794" i="1"/>
  <c r="F3921" i="1"/>
  <c r="G3921" i="1"/>
  <c r="H3921" i="1"/>
  <c r="K3921" i="1"/>
  <c r="F6775" i="1"/>
  <c r="G6775" i="1"/>
  <c r="H6775" i="1"/>
  <c r="K6775" i="1"/>
  <c r="F795" i="1"/>
  <c r="G795" i="1"/>
  <c r="H795" i="1"/>
  <c r="K795" i="1"/>
  <c r="F2643" i="1"/>
  <c r="G2643" i="1"/>
  <c r="H2643" i="1"/>
  <c r="K2643" i="1"/>
  <c r="F796" i="1"/>
  <c r="G796" i="1"/>
  <c r="H796" i="1"/>
  <c r="K796" i="1"/>
  <c r="F797" i="1"/>
  <c r="G797" i="1"/>
  <c r="H797" i="1"/>
  <c r="K797" i="1"/>
  <c r="F2644" i="1"/>
  <c r="G2644" i="1"/>
  <c r="H2644" i="1"/>
  <c r="K2644" i="1"/>
  <c r="F798" i="1"/>
  <c r="G798" i="1"/>
  <c r="H798" i="1"/>
  <c r="K798" i="1"/>
  <c r="F6776" i="1"/>
  <c r="G6776" i="1"/>
  <c r="H6776" i="1"/>
  <c r="K6776" i="1"/>
  <c r="F799" i="1"/>
  <c r="G799" i="1"/>
  <c r="H799" i="1"/>
  <c r="K799" i="1"/>
  <c r="F5317" i="1"/>
  <c r="G5317" i="1"/>
  <c r="H5317" i="1"/>
  <c r="K5317" i="1"/>
  <c r="F5318" i="1"/>
  <c r="G5318" i="1"/>
  <c r="H5318" i="1"/>
  <c r="K5318" i="1"/>
  <c r="F5319" i="1"/>
  <c r="G5319" i="1"/>
  <c r="H5319" i="1"/>
  <c r="K5319" i="1"/>
  <c r="F800" i="1"/>
  <c r="G800" i="1"/>
  <c r="H800" i="1"/>
  <c r="K800" i="1"/>
  <c r="F801" i="1"/>
  <c r="G801" i="1"/>
  <c r="H801" i="1"/>
  <c r="K801" i="1"/>
  <c r="F802" i="1"/>
  <c r="G802" i="1"/>
  <c r="H802" i="1"/>
  <c r="K802" i="1"/>
  <c r="F6777" i="1"/>
  <c r="G6777" i="1"/>
  <c r="H6777" i="1"/>
  <c r="K6777" i="1"/>
  <c r="F6778" i="1"/>
  <c r="G6778" i="1"/>
  <c r="H6778" i="1"/>
  <c r="K6778" i="1"/>
  <c r="F803" i="1"/>
  <c r="G803" i="1"/>
  <c r="H803" i="1"/>
  <c r="K803" i="1"/>
  <c r="F804" i="1"/>
  <c r="G804" i="1"/>
  <c r="H804" i="1"/>
  <c r="K804" i="1"/>
  <c r="F5320" i="1"/>
  <c r="G5320" i="1"/>
  <c r="H5320" i="1"/>
  <c r="K5320" i="1"/>
  <c r="F5321" i="1"/>
  <c r="G5321" i="1"/>
  <c r="H5321" i="1"/>
  <c r="K5321" i="1"/>
  <c r="F805" i="1"/>
  <c r="G805" i="1"/>
  <c r="H805" i="1"/>
  <c r="K805" i="1"/>
  <c r="F5322" i="1"/>
  <c r="G5322" i="1"/>
  <c r="H5322" i="1"/>
  <c r="K5322" i="1"/>
  <c r="F806" i="1"/>
  <c r="G806" i="1"/>
  <c r="H806" i="1"/>
  <c r="K806" i="1"/>
  <c r="F807" i="1"/>
  <c r="G807" i="1"/>
  <c r="H807" i="1"/>
  <c r="K807" i="1"/>
  <c r="F3922" i="1"/>
  <c r="G3922" i="1"/>
  <c r="H3922" i="1"/>
  <c r="K3922" i="1"/>
  <c r="F6779" i="1"/>
  <c r="G6779" i="1"/>
  <c r="H6779" i="1"/>
  <c r="K6779" i="1"/>
  <c r="F6780" i="1"/>
  <c r="G6780" i="1"/>
  <c r="H6780" i="1"/>
  <c r="K6780" i="1"/>
  <c r="F6781" i="1"/>
  <c r="G6781" i="1"/>
  <c r="H6781" i="1"/>
  <c r="K6781" i="1"/>
  <c r="F3923" i="1"/>
  <c r="G3923" i="1"/>
  <c r="H3923" i="1"/>
  <c r="K3923" i="1"/>
  <c r="F3924" i="1"/>
  <c r="G3924" i="1"/>
  <c r="H3924" i="1"/>
  <c r="K3924" i="1"/>
  <c r="F3925" i="1"/>
  <c r="G3925" i="1"/>
  <c r="H3925" i="1"/>
  <c r="K3925" i="1"/>
  <c r="F808" i="1"/>
  <c r="G808" i="1"/>
  <c r="H808" i="1"/>
  <c r="K808" i="1"/>
  <c r="F5323" i="1"/>
  <c r="G5323" i="1"/>
  <c r="H5323" i="1"/>
  <c r="K5323" i="1"/>
  <c r="F809" i="1"/>
  <c r="G809" i="1"/>
  <c r="H809" i="1"/>
  <c r="K809" i="1"/>
  <c r="F810" i="1"/>
  <c r="G810" i="1"/>
  <c r="H810" i="1"/>
  <c r="K810" i="1"/>
  <c r="F5324" i="1"/>
  <c r="G5324" i="1"/>
  <c r="H5324" i="1"/>
  <c r="K5324" i="1"/>
  <c r="F2645" i="1"/>
  <c r="G2645" i="1"/>
  <c r="H2645" i="1"/>
  <c r="K2645" i="1"/>
  <c r="F5325" i="1"/>
  <c r="G5325" i="1"/>
  <c r="H5325" i="1"/>
  <c r="K5325" i="1"/>
  <c r="F3926" i="1"/>
  <c r="G3926" i="1"/>
  <c r="H3926" i="1"/>
  <c r="K3926" i="1"/>
  <c r="F5326" i="1"/>
  <c r="G5326" i="1"/>
  <c r="H5326" i="1"/>
  <c r="K5326" i="1"/>
  <c r="F2646" i="1"/>
  <c r="G2646" i="1"/>
  <c r="H2646" i="1"/>
  <c r="K2646" i="1"/>
  <c r="F2647" i="1"/>
  <c r="G2647" i="1"/>
  <c r="H2647" i="1"/>
  <c r="K2647" i="1"/>
  <c r="F6782" i="1"/>
  <c r="G6782" i="1"/>
  <c r="H6782" i="1"/>
  <c r="K6782" i="1"/>
  <c r="F811" i="1"/>
  <c r="G811" i="1"/>
  <c r="H811" i="1"/>
  <c r="K811" i="1"/>
  <c r="F5327" i="1"/>
  <c r="G5327" i="1"/>
  <c r="H5327" i="1"/>
  <c r="K5327" i="1"/>
  <c r="F5328" i="1"/>
  <c r="G5328" i="1"/>
  <c r="H5328" i="1"/>
  <c r="K5328" i="1"/>
  <c r="F6783" i="1"/>
  <c r="G6783" i="1"/>
  <c r="H6783" i="1"/>
  <c r="K6783" i="1"/>
  <c r="F812" i="1"/>
  <c r="G812" i="1"/>
  <c r="H812" i="1"/>
  <c r="K812" i="1"/>
  <c r="F3927" i="1"/>
  <c r="G3927" i="1"/>
  <c r="H3927" i="1"/>
  <c r="K3927" i="1"/>
  <c r="F3928" i="1"/>
  <c r="G3928" i="1"/>
  <c r="H3928" i="1"/>
  <c r="K3928" i="1"/>
  <c r="F3929" i="1"/>
  <c r="G3929" i="1"/>
  <c r="H3929" i="1"/>
  <c r="K3929" i="1"/>
  <c r="F813" i="1"/>
  <c r="G813" i="1"/>
  <c r="H813" i="1"/>
  <c r="K813" i="1"/>
  <c r="F814" i="1"/>
  <c r="G814" i="1"/>
  <c r="H814" i="1"/>
  <c r="K814" i="1"/>
  <c r="F6784" i="1"/>
  <c r="G6784" i="1"/>
  <c r="H6784" i="1"/>
  <c r="K6784" i="1"/>
  <c r="F815" i="1"/>
  <c r="G815" i="1"/>
  <c r="H815" i="1"/>
  <c r="K815" i="1"/>
  <c r="F816" i="1"/>
  <c r="G816" i="1"/>
  <c r="H816" i="1"/>
  <c r="K816" i="1"/>
  <c r="F817" i="1"/>
  <c r="G817" i="1"/>
  <c r="H817" i="1"/>
  <c r="K817" i="1"/>
  <c r="F6785" i="1"/>
  <c r="G6785" i="1"/>
  <c r="H6785" i="1"/>
  <c r="K6785" i="1"/>
  <c r="F818" i="1"/>
  <c r="G818" i="1"/>
  <c r="H818" i="1"/>
  <c r="K818" i="1"/>
  <c r="F3930" i="1"/>
  <c r="G3930" i="1"/>
  <c r="H3930" i="1"/>
  <c r="K3930" i="1"/>
  <c r="F5329" i="1"/>
  <c r="G5329" i="1"/>
  <c r="H5329" i="1"/>
  <c r="K5329" i="1"/>
  <c r="F819" i="1"/>
  <c r="G819" i="1"/>
  <c r="H819" i="1"/>
  <c r="K819" i="1"/>
  <c r="F2648" i="1"/>
  <c r="G2648" i="1"/>
  <c r="H2648" i="1"/>
  <c r="K2648" i="1"/>
  <c r="F820" i="1"/>
  <c r="G820" i="1"/>
  <c r="H820" i="1"/>
  <c r="K820" i="1"/>
  <c r="F821" i="1"/>
  <c r="G821" i="1"/>
  <c r="H821" i="1"/>
  <c r="K821" i="1"/>
  <c r="F3931" i="1"/>
  <c r="G3931" i="1"/>
  <c r="H3931" i="1"/>
  <c r="K3931" i="1"/>
  <c r="F6786" i="1"/>
  <c r="G6786" i="1"/>
  <c r="H6786" i="1"/>
  <c r="K6786" i="1"/>
  <c r="F2649" i="1"/>
  <c r="G2649" i="1"/>
  <c r="H2649" i="1"/>
  <c r="K2649" i="1"/>
  <c r="F822" i="1"/>
  <c r="G822" i="1"/>
  <c r="H822" i="1"/>
  <c r="K822" i="1"/>
  <c r="F3932" i="1"/>
  <c r="G3932" i="1"/>
  <c r="H3932" i="1"/>
  <c r="K3932" i="1"/>
  <c r="F6787" i="1"/>
  <c r="G6787" i="1"/>
  <c r="H6787" i="1"/>
  <c r="K6787" i="1"/>
  <c r="F3933" i="1"/>
  <c r="G3933" i="1"/>
  <c r="H3933" i="1"/>
  <c r="K3933" i="1"/>
  <c r="F3934" i="1"/>
  <c r="G3934" i="1"/>
  <c r="H3934" i="1"/>
  <c r="K3934" i="1"/>
  <c r="F3935" i="1"/>
  <c r="G3935" i="1"/>
  <c r="H3935" i="1"/>
  <c r="K3935" i="1"/>
  <c r="F2650" i="1"/>
  <c r="G2650" i="1"/>
  <c r="H2650" i="1"/>
  <c r="K2650" i="1"/>
  <c r="F823" i="1"/>
  <c r="G823" i="1"/>
  <c r="H823" i="1"/>
  <c r="K823" i="1"/>
  <c r="F824" i="1"/>
  <c r="G824" i="1"/>
  <c r="H824" i="1"/>
  <c r="K824" i="1"/>
  <c r="F825" i="1"/>
  <c r="G825" i="1"/>
  <c r="H825" i="1"/>
  <c r="K825" i="1"/>
  <c r="F826" i="1"/>
  <c r="G826" i="1"/>
  <c r="H826" i="1"/>
  <c r="K826" i="1"/>
  <c r="F5330" i="1"/>
  <c r="G5330" i="1"/>
  <c r="H5330" i="1"/>
  <c r="K5330" i="1"/>
  <c r="F827" i="1"/>
  <c r="G827" i="1"/>
  <c r="H827" i="1"/>
  <c r="K827" i="1"/>
  <c r="F828" i="1"/>
  <c r="G828" i="1"/>
  <c r="H828" i="1"/>
  <c r="K828" i="1"/>
  <c r="F6788" i="1"/>
  <c r="G6788" i="1"/>
  <c r="H6788" i="1"/>
  <c r="K6788" i="1"/>
  <c r="F5331" i="1"/>
  <c r="G5331" i="1"/>
  <c r="H5331" i="1"/>
  <c r="K5331" i="1"/>
  <c r="F829" i="1"/>
  <c r="G829" i="1"/>
  <c r="H829" i="1"/>
  <c r="K829" i="1"/>
  <c r="F830" i="1"/>
  <c r="G830" i="1"/>
  <c r="H830" i="1"/>
  <c r="K830" i="1"/>
  <c r="F831" i="1"/>
  <c r="G831" i="1"/>
  <c r="H831" i="1"/>
  <c r="K831" i="1"/>
  <c r="F2651" i="1"/>
  <c r="G2651" i="1"/>
  <c r="H2651" i="1"/>
  <c r="K2651" i="1"/>
  <c r="F2652" i="1"/>
  <c r="G2652" i="1"/>
  <c r="H2652" i="1"/>
  <c r="K2652" i="1"/>
  <c r="F832" i="1"/>
  <c r="G832" i="1"/>
  <c r="H832" i="1"/>
  <c r="K832" i="1"/>
  <c r="F833" i="1"/>
  <c r="G833" i="1"/>
  <c r="H833" i="1"/>
  <c r="K833" i="1"/>
  <c r="F834" i="1"/>
  <c r="G834" i="1"/>
  <c r="H834" i="1"/>
  <c r="K834" i="1"/>
  <c r="F835" i="1"/>
  <c r="G835" i="1"/>
  <c r="H835" i="1"/>
  <c r="K835" i="1"/>
  <c r="F6789" i="1"/>
  <c r="G6789" i="1"/>
  <c r="H6789" i="1"/>
  <c r="K6789" i="1"/>
  <c r="F6790" i="1"/>
  <c r="G6790" i="1"/>
  <c r="H6790" i="1"/>
  <c r="K6790" i="1"/>
  <c r="F3936" i="1"/>
  <c r="G3936" i="1"/>
  <c r="H3936" i="1"/>
  <c r="K3936" i="1"/>
  <c r="F3937" i="1"/>
  <c r="G3937" i="1"/>
  <c r="H3937" i="1"/>
  <c r="K3937" i="1"/>
  <c r="F2653" i="1"/>
  <c r="G2653" i="1"/>
  <c r="H2653" i="1"/>
  <c r="K2653" i="1"/>
  <c r="F2654" i="1"/>
  <c r="G2654" i="1"/>
  <c r="H2654" i="1"/>
  <c r="K2654" i="1"/>
  <c r="F836" i="1"/>
  <c r="G836" i="1"/>
  <c r="H836" i="1"/>
  <c r="K836" i="1"/>
  <c r="F837" i="1"/>
  <c r="G837" i="1"/>
  <c r="H837" i="1"/>
  <c r="K837" i="1"/>
  <c r="F5332" i="1"/>
  <c r="G5332" i="1"/>
  <c r="H5332" i="1"/>
  <c r="K5332" i="1"/>
  <c r="F5333" i="1"/>
  <c r="G5333" i="1"/>
  <c r="H5333" i="1"/>
  <c r="K5333" i="1"/>
  <c r="F838" i="1"/>
  <c r="G838" i="1"/>
  <c r="H838" i="1"/>
  <c r="K838" i="1"/>
  <c r="F3938" i="1"/>
  <c r="G3938" i="1"/>
  <c r="H3938" i="1"/>
  <c r="K3938" i="1"/>
  <c r="F5334" i="1"/>
  <c r="G5334" i="1"/>
  <c r="H5334" i="1"/>
  <c r="K5334" i="1"/>
  <c r="F6791" i="1"/>
  <c r="G6791" i="1"/>
  <c r="H6791" i="1"/>
  <c r="K6791" i="1"/>
  <c r="F6792" i="1"/>
  <c r="G6792" i="1"/>
  <c r="H6792" i="1"/>
  <c r="K6792" i="1"/>
  <c r="F839" i="1"/>
  <c r="G839" i="1"/>
  <c r="H839" i="1"/>
  <c r="K839" i="1"/>
  <c r="F840" i="1"/>
  <c r="G840" i="1"/>
  <c r="H840" i="1"/>
  <c r="K840" i="1"/>
  <c r="F2655" i="1"/>
  <c r="G2655" i="1"/>
  <c r="H2655" i="1"/>
  <c r="K2655" i="1"/>
  <c r="F841" i="1"/>
  <c r="G841" i="1"/>
  <c r="H841" i="1"/>
  <c r="K841" i="1"/>
  <c r="F842" i="1"/>
  <c r="G842" i="1"/>
  <c r="H842" i="1"/>
  <c r="K842" i="1"/>
  <c r="F843" i="1"/>
  <c r="G843" i="1"/>
  <c r="H843" i="1"/>
  <c r="K843" i="1"/>
  <c r="F6793" i="1"/>
  <c r="G6793" i="1"/>
  <c r="H6793" i="1"/>
  <c r="K6793" i="1"/>
  <c r="F6794" i="1"/>
  <c r="G6794" i="1"/>
  <c r="H6794" i="1"/>
  <c r="K6794" i="1"/>
  <c r="F844" i="1"/>
  <c r="G844" i="1"/>
  <c r="H844" i="1"/>
  <c r="K844" i="1"/>
  <c r="F6795" i="1"/>
  <c r="G6795" i="1"/>
  <c r="H6795" i="1"/>
  <c r="K6795" i="1"/>
  <c r="F845" i="1"/>
  <c r="G845" i="1"/>
  <c r="H845" i="1"/>
  <c r="K845" i="1"/>
  <c r="F846" i="1"/>
  <c r="G846" i="1"/>
  <c r="H846" i="1"/>
  <c r="K846" i="1"/>
  <c r="F847" i="1"/>
  <c r="G847" i="1"/>
  <c r="H847" i="1"/>
  <c r="K847" i="1"/>
  <c r="F3939" i="1"/>
  <c r="G3939" i="1"/>
  <c r="H3939" i="1"/>
  <c r="K3939" i="1"/>
  <c r="F5335" i="1"/>
  <c r="G5335" i="1"/>
  <c r="H5335" i="1"/>
  <c r="K5335" i="1"/>
  <c r="F848" i="1"/>
  <c r="G848" i="1"/>
  <c r="H848" i="1"/>
  <c r="K848" i="1"/>
  <c r="F849" i="1"/>
  <c r="G849" i="1"/>
  <c r="H849" i="1"/>
  <c r="K849" i="1"/>
  <c r="F5336" i="1"/>
  <c r="G5336" i="1"/>
  <c r="H5336" i="1"/>
  <c r="K5336" i="1"/>
  <c r="F850" i="1"/>
  <c r="G850" i="1"/>
  <c r="H850" i="1"/>
  <c r="K850" i="1"/>
  <c r="F2656" i="1"/>
  <c r="G2656" i="1"/>
  <c r="H2656" i="1"/>
  <c r="K2656" i="1"/>
  <c r="F6796" i="1"/>
  <c r="G6796" i="1"/>
  <c r="H6796" i="1"/>
  <c r="K6796" i="1"/>
  <c r="F5337" i="1"/>
  <c r="G5337" i="1"/>
  <c r="H5337" i="1"/>
  <c r="K5337" i="1"/>
  <c r="F851" i="1"/>
  <c r="G851" i="1"/>
  <c r="H851" i="1"/>
  <c r="K851" i="1"/>
  <c r="F852" i="1"/>
  <c r="G852" i="1"/>
  <c r="H852" i="1"/>
  <c r="K852" i="1"/>
  <c r="F853" i="1"/>
  <c r="G853" i="1"/>
  <c r="H853" i="1"/>
  <c r="K853" i="1"/>
  <c r="F854" i="1"/>
  <c r="G854" i="1"/>
  <c r="H854" i="1"/>
  <c r="K854" i="1"/>
  <c r="F855" i="1"/>
  <c r="G855" i="1"/>
  <c r="H855" i="1"/>
  <c r="K855" i="1"/>
  <c r="F856" i="1"/>
  <c r="G856" i="1"/>
  <c r="H856" i="1"/>
  <c r="K856" i="1"/>
  <c r="F857" i="1"/>
  <c r="G857" i="1"/>
  <c r="H857" i="1"/>
  <c r="K857" i="1"/>
  <c r="F3940" i="1"/>
  <c r="G3940" i="1"/>
  <c r="H3940" i="1"/>
  <c r="K3940" i="1"/>
  <c r="F2657" i="1"/>
  <c r="G2657" i="1"/>
  <c r="H2657" i="1"/>
  <c r="K2657" i="1"/>
  <c r="F2658" i="1"/>
  <c r="G2658" i="1"/>
  <c r="H2658" i="1"/>
  <c r="K2658" i="1"/>
  <c r="F2659" i="1"/>
  <c r="G2659" i="1"/>
  <c r="H2659" i="1"/>
  <c r="K2659" i="1"/>
  <c r="F2660" i="1"/>
  <c r="G2660" i="1"/>
  <c r="H2660" i="1"/>
  <c r="K2660" i="1"/>
  <c r="F3941" i="1"/>
  <c r="G3941" i="1"/>
  <c r="H3941" i="1"/>
  <c r="K3941" i="1"/>
  <c r="F858" i="1"/>
  <c r="G858" i="1"/>
  <c r="H858" i="1"/>
  <c r="K858" i="1"/>
  <c r="F3942" i="1"/>
  <c r="G3942" i="1"/>
  <c r="H3942" i="1"/>
  <c r="K3942" i="1"/>
  <c r="F859" i="1"/>
  <c r="G859" i="1"/>
  <c r="H859" i="1"/>
  <c r="K859" i="1"/>
  <c r="F3943" i="1"/>
  <c r="G3943" i="1"/>
  <c r="H3943" i="1"/>
  <c r="K3943" i="1"/>
  <c r="F860" i="1"/>
  <c r="G860" i="1"/>
  <c r="H860" i="1"/>
  <c r="K860" i="1"/>
  <c r="F861" i="1"/>
  <c r="G861" i="1"/>
  <c r="H861" i="1"/>
  <c r="K861" i="1"/>
  <c r="F862" i="1"/>
  <c r="G862" i="1"/>
  <c r="H862" i="1"/>
  <c r="K862" i="1"/>
  <c r="F863" i="1"/>
  <c r="G863" i="1"/>
  <c r="H863" i="1"/>
  <c r="K863" i="1"/>
  <c r="F864" i="1"/>
  <c r="G864" i="1"/>
  <c r="H864" i="1"/>
  <c r="K864" i="1"/>
  <c r="F5338" i="1"/>
  <c r="G5338" i="1"/>
  <c r="H5338" i="1"/>
  <c r="K5338" i="1"/>
  <c r="F5339" i="1"/>
  <c r="G5339" i="1"/>
  <c r="H5339" i="1"/>
  <c r="K5339" i="1"/>
  <c r="F3944" i="1"/>
  <c r="G3944" i="1"/>
  <c r="H3944" i="1"/>
  <c r="K3944" i="1"/>
  <c r="F3945" i="1"/>
  <c r="G3945" i="1"/>
  <c r="H3945" i="1"/>
  <c r="K3945" i="1"/>
  <c r="F5340" i="1"/>
  <c r="G5340" i="1"/>
  <c r="H5340" i="1"/>
  <c r="K5340" i="1"/>
  <c r="F5341" i="1"/>
  <c r="G5341" i="1"/>
  <c r="H5341" i="1"/>
  <c r="K5341" i="1"/>
  <c r="F3946" i="1"/>
  <c r="G3946" i="1"/>
  <c r="H3946" i="1"/>
  <c r="K3946" i="1"/>
  <c r="F2661" i="1"/>
  <c r="G2661" i="1"/>
  <c r="H2661" i="1"/>
  <c r="K2661" i="1"/>
  <c r="F2662" i="1"/>
  <c r="G2662" i="1"/>
  <c r="H2662" i="1"/>
  <c r="K2662" i="1"/>
  <c r="F2663" i="1"/>
  <c r="G2663" i="1"/>
  <c r="H2663" i="1"/>
  <c r="K2663" i="1"/>
  <c r="F2664" i="1"/>
  <c r="G2664" i="1"/>
  <c r="H2664" i="1"/>
  <c r="K2664" i="1"/>
  <c r="F2665" i="1"/>
  <c r="G2665" i="1"/>
  <c r="H2665" i="1"/>
  <c r="K2665" i="1"/>
  <c r="F2666" i="1"/>
  <c r="G2666" i="1"/>
  <c r="H2666" i="1"/>
  <c r="K2666" i="1"/>
  <c r="F3947" i="1"/>
  <c r="G3947" i="1"/>
  <c r="H3947" i="1"/>
  <c r="K3947" i="1"/>
  <c r="F3948" i="1"/>
  <c r="G3948" i="1"/>
  <c r="H3948" i="1"/>
  <c r="K3948" i="1"/>
  <c r="F3949" i="1"/>
  <c r="G3949" i="1"/>
  <c r="H3949" i="1"/>
  <c r="K3949" i="1"/>
  <c r="F3950" i="1"/>
  <c r="G3950" i="1"/>
  <c r="H3950" i="1"/>
  <c r="K3950" i="1"/>
  <c r="F865" i="1"/>
  <c r="G865" i="1"/>
  <c r="H865" i="1"/>
  <c r="K865" i="1"/>
  <c r="F866" i="1"/>
  <c r="G866" i="1"/>
  <c r="H866" i="1"/>
  <c r="K866" i="1"/>
  <c r="F867" i="1"/>
  <c r="G867" i="1"/>
  <c r="H867" i="1"/>
  <c r="K867" i="1"/>
  <c r="F868" i="1"/>
  <c r="G868" i="1"/>
  <c r="H868" i="1"/>
  <c r="K868" i="1"/>
  <c r="F869" i="1"/>
  <c r="G869" i="1"/>
  <c r="H869" i="1"/>
  <c r="K869" i="1"/>
  <c r="F870" i="1"/>
  <c r="G870" i="1"/>
  <c r="H870" i="1"/>
  <c r="K870" i="1"/>
  <c r="F871" i="1"/>
  <c r="G871" i="1"/>
  <c r="H871" i="1"/>
  <c r="K871" i="1"/>
  <c r="F3951" i="1"/>
  <c r="G3951" i="1"/>
  <c r="H3951" i="1"/>
  <c r="K3951" i="1"/>
  <c r="F6797" i="1"/>
  <c r="G6797" i="1"/>
  <c r="H6797" i="1"/>
  <c r="K6797" i="1"/>
  <c r="F3952" i="1"/>
  <c r="G3952" i="1"/>
  <c r="H3952" i="1"/>
  <c r="K3952" i="1"/>
  <c r="F872" i="1"/>
  <c r="G872" i="1"/>
  <c r="H872" i="1"/>
  <c r="K872" i="1"/>
  <c r="F6798" i="1"/>
  <c r="G6798" i="1"/>
  <c r="H6798" i="1"/>
  <c r="K6798" i="1"/>
  <c r="F873" i="1"/>
  <c r="G873" i="1"/>
  <c r="H873" i="1"/>
  <c r="K873" i="1"/>
  <c r="F874" i="1"/>
  <c r="G874" i="1"/>
  <c r="H874" i="1"/>
  <c r="K874" i="1"/>
  <c r="F3953" i="1"/>
  <c r="G3953" i="1"/>
  <c r="H3953" i="1"/>
  <c r="K3953" i="1"/>
  <c r="F2667" i="1"/>
  <c r="G2667" i="1"/>
  <c r="H2667" i="1"/>
  <c r="K2667" i="1"/>
  <c r="F2668" i="1"/>
  <c r="G2668" i="1"/>
  <c r="H2668" i="1"/>
  <c r="K2668" i="1"/>
  <c r="F3954" i="1"/>
  <c r="G3954" i="1"/>
  <c r="H3954" i="1"/>
  <c r="K3954" i="1"/>
  <c r="F2669" i="1"/>
  <c r="G2669" i="1"/>
  <c r="H2669" i="1"/>
  <c r="K2669" i="1"/>
  <c r="F3955" i="1"/>
  <c r="G3955" i="1"/>
  <c r="H3955" i="1"/>
  <c r="K3955" i="1"/>
  <c r="F3956" i="1"/>
  <c r="G3956" i="1"/>
  <c r="H3956" i="1"/>
  <c r="K3956" i="1"/>
  <c r="F3957" i="1"/>
  <c r="G3957" i="1"/>
  <c r="H3957" i="1"/>
  <c r="K3957" i="1"/>
  <c r="F3958" i="1"/>
  <c r="G3958" i="1"/>
  <c r="H3958" i="1"/>
  <c r="K3958" i="1"/>
  <c r="F875" i="1"/>
  <c r="G875" i="1"/>
  <c r="H875" i="1"/>
  <c r="K875" i="1"/>
  <c r="F6799" i="1"/>
  <c r="G6799" i="1"/>
  <c r="H6799" i="1"/>
  <c r="K6799" i="1"/>
  <c r="F876" i="1"/>
  <c r="G876" i="1"/>
  <c r="H876" i="1"/>
  <c r="K876" i="1"/>
  <c r="F877" i="1"/>
  <c r="G877" i="1"/>
  <c r="H877" i="1"/>
  <c r="K877" i="1"/>
  <c r="F878" i="1"/>
  <c r="G878" i="1"/>
  <c r="H878" i="1"/>
  <c r="K878" i="1"/>
  <c r="F2670" i="1"/>
  <c r="G2670" i="1"/>
  <c r="H2670" i="1"/>
  <c r="K2670" i="1"/>
  <c r="F879" i="1"/>
  <c r="G879" i="1"/>
  <c r="H879" i="1"/>
  <c r="K879" i="1"/>
  <c r="F880" i="1"/>
  <c r="G880" i="1"/>
  <c r="H880" i="1"/>
  <c r="K880" i="1"/>
  <c r="F881" i="1"/>
  <c r="G881" i="1"/>
  <c r="H881" i="1"/>
  <c r="K881" i="1"/>
  <c r="F882" i="1"/>
  <c r="G882" i="1"/>
  <c r="H882" i="1"/>
  <c r="K882" i="1"/>
  <c r="F883" i="1"/>
  <c r="G883" i="1"/>
  <c r="H883" i="1"/>
  <c r="K883" i="1"/>
  <c r="F884" i="1"/>
  <c r="G884" i="1"/>
  <c r="H884" i="1"/>
  <c r="K884" i="1"/>
  <c r="F5342" i="1"/>
  <c r="G5342" i="1"/>
  <c r="H5342" i="1"/>
  <c r="K5342" i="1"/>
  <c r="F6800" i="1"/>
  <c r="G6800" i="1"/>
  <c r="H6800" i="1"/>
  <c r="K6800" i="1"/>
  <c r="F885" i="1"/>
  <c r="G885" i="1"/>
  <c r="H885" i="1"/>
  <c r="K885" i="1"/>
  <c r="F6801" i="1"/>
  <c r="G6801" i="1"/>
  <c r="H6801" i="1"/>
  <c r="K6801" i="1"/>
  <c r="F6802" i="1"/>
  <c r="G6802" i="1"/>
  <c r="H6802" i="1"/>
  <c r="K6802" i="1"/>
  <c r="F3959" i="1"/>
  <c r="G3959" i="1"/>
  <c r="H3959" i="1"/>
  <c r="K3959" i="1"/>
  <c r="F3960" i="1"/>
  <c r="G3960" i="1"/>
  <c r="H3960" i="1"/>
  <c r="K3960" i="1"/>
  <c r="F3961" i="1"/>
  <c r="G3961" i="1"/>
  <c r="H3961" i="1"/>
  <c r="K3961" i="1"/>
  <c r="F5343" i="1"/>
  <c r="G5343" i="1"/>
  <c r="H5343" i="1"/>
  <c r="K5343" i="1"/>
  <c r="F5344" i="1"/>
  <c r="G5344" i="1"/>
  <c r="H5344" i="1"/>
  <c r="K5344" i="1"/>
  <c r="F6803" i="1"/>
  <c r="G6803" i="1"/>
  <c r="H6803" i="1"/>
  <c r="K6803" i="1"/>
  <c r="F6804" i="1"/>
  <c r="G6804" i="1"/>
  <c r="H6804" i="1"/>
  <c r="K6804" i="1"/>
  <c r="F886" i="1"/>
  <c r="G886" i="1"/>
  <c r="H886" i="1"/>
  <c r="K886" i="1"/>
  <c r="F887" i="1"/>
  <c r="G887" i="1"/>
  <c r="H887" i="1"/>
  <c r="K887" i="1"/>
  <c r="F2671" i="1"/>
  <c r="G2671" i="1"/>
  <c r="H2671" i="1"/>
  <c r="K2671" i="1"/>
  <c r="F888" i="1"/>
  <c r="G888" i="1"/>
  <c r="H888" i="1"/>
  <c r="K888" i="1"/>
  <c r="F889" i="1"/>
  <c r="G889" i="1"/>
  <c r="H889" i="1"/>
  <c r="K889" i="1"/>
  <c r="F890" i="1"/>
  <c r="G890" i="1"/>
  <c r="H890" i="1"/>
  <c r="K890" i="1"/>
  <c r="F891" i="1"/>
  <c r="G891" i="1"/>
  <c r="H891" i="1"/>
  <c r="K891" i="1"/>
  <c r="F6805" i="1"/>
  <c r="G6805" i="1"/>
  <c r="H6805" i="1"/>
  <c r="K6805" i="1"/>
  <c r="F2672" i="1"/>
  <c r="G2672" i="1"/>
  <c r="H2672" i="1"/>
  <c r="K2672" i="1"/>
  <c r="F3962" i="1"/>
  <c r="G3962" i="1"/>
  <c r="H3962" i="1"/>
  <c r="K3962" i="1"/>
  <c r="F3963" i="1"/>
  <c r="G3963" i="1"/>
  <c r="H3963" i="1"/>
  <c r="K3963" i="1"/>
  <c r="F3964" i="1"/>
  <c r="G3964" i="1"/>
  <c r="H3964" i="1"/>
  <c r="K3964" i="1"/>
  <c r="F3965" i="1"/>
  <c r="G3965" i="1"/>
  <c r="H3965" i="1"/>
  <c r="K3965" i="1"/>
  <c r="F3966" i="1"/>
  <c r="G3966" i="1"/>
  <c r="H3966" i="1"/>
  <c r="K3966" i="1"/>
  <c r="F3967" i="1"/>
  <c r="G3967" i="1"/>
  <c r="H3967" i="1"/>
  <c r="K3967" i="1"/>
  <c r="F6806" i="1"/>
  <c r="G6806" i="1"/>
  <c r="H6806" i="1"/>
  <c r="K6806" i="1"/>
  <c r="F6807" i="1"/>
  <c r="G6807" i="1"/>
  <c r="H6807" i="1"/>
  <c r="K6807" i="1"/>
  <c r="F5345" i="1"/>
  <c r="G5345" i="1"/>
  <c r="H5345" i="1"/>
  <c r="K5345" i="1"/>
  <c r="F892" i="1"/>
  <c r="G892" i="1"/>
  <c r="H892" i="1"/>
  <c r="K892" i="1"/>
  <c r="F2673" i="1"/>
  <c r="G2673" i="1"/>
  <c r="H2673" i="1"/>
  <c r="K2673" i="1"/>
  <c r="F893" i="1"/>
  <c r="G893" i="1"/>
  <c r="H893" i="1"/>
  <c r="K893" i="1"/>
  <c r="F894" i="1"/>
  <c r="G894" i="1"/>
  <c r="H894" i="1"/>
  <c r="K894" i="1"/>
  <c r="F895" i="1"/>
  <c r="G895" i="1"/>
  <c r="H895" i="1"/>
  <c r="K895" i="1"/>
  <c r="F896" i="1"/>
  <c r="G896" i="1"/>
  <c r="H896" i="1"/>
  <c r="K896" i="1"/>
  <c r="F3968" i="1"/>
  <c r="G3968" i="1"/>
  <c r="H3968" i="1"/>
  <c r="K3968" i="1"/>
  <c r="F6808" i="1"/>
  <c r="G6808" i="1"/>
  <c r="H6808" i="1"/>
  <c r="K6808" i="1"/>
  <c r="F897" i="1"/>
  <c r="G897" i="1"/>
  <c r="H897" i="1"/>
  <c r="K897" i="1"/>
  <c r="F6809" i="1"/>
  <c r="G6809" i="1"/>
  <c r="H6809" i="1"/>
  <c r="K6809" i="1"/>
  <c r="F898" i="1"/>
  <c r="G898" i="1"/>
  <c r="H898" i="1"/>
  <c r="K898" i="1"/>
  <c r="F3969" i="1"/>
  <c r="G3969" i="1"/>
  <c r="H3969" i="1"/>
  <c r="K3969" i="1"/>
  <c r="F899" i="1"/>
  <c r="G899" i="1"/>
  <c r="H899" i="1"/>
  <c r="K899" i="1"/>
  <c r="F900" i="1"/>
  <c r="G900" i="1"/>
  <c r="H900" i="1"/>
  <c r="K900" i="1"/>
  <c r="F3970" i="1"/>
  <c r="G3970" i="1"/>
  <c r="H3970" i="1"/>
  <c r="K3970" i="1"/>
  <c r="F3971" i="1"/>
  <c r="G3971" i="1"/>
  <c r="H3971" i="1"/>
  <c r="K3971" i="1"/>
  <c r="F3972" i="1"/>
  <c r="G3972" i="1"/>
  <c r="H3972" i="1"/>
  <c r="K3972" i="1"/>
  <c r="F901" i="1"/>
  <c r="G901" i="1"/>
  <c r="H901" i="1"/>
  <c r="K901" i="1"/>
  <c r="F5346" i="1"/>
  <c r="G5346" i="1"/>
  <c r="H5346" i="1"/>
  <c r="K5346" i="1"/>
  <c r="F3973" i="1"/>
  <c r="G3973" i="1"/>
  <c r="H3973" i="1"/>
  <c r="K3973" i="1"/>
  <c r="F3974" i="1"/>
  <c r="G3974" i="1"/>
  <c r="H3974" i="1"/>
  <c r="K3974" i="1"/>
  <c r="F2674" i="1"/>
  <c r="G2674" i="1"/>
  <c r="H2674" i="1"/>
  <c r="K2674" i="1"/>
  <c r="F5347" i="1"/>
  <c r="G5347" i="1"/>
  <c r="H5347" i="1"/>
  <c r="K5347" i="1"/>
  <c r="F6810" i="1"/>
  <c r="G6810" i="1"/>
  <c r="H6810" i="1"/>
  <c r="K6810" i="1"/>
  <c r="F902" i="1"/>
  <c r="G902" i="1"/>
  <c r="H902" i="1"/>
  <c r="K902" i="1"/>
  <c r="F2675" i="1"/>
  <c r="G2675" i="1"/>
  <c r="H2675" i="1"/>
  <c r="K2675" i="1"/>
  <c r="F5348" i="1"/>
  <c r="G5348" i="1"/>
  <c r="H5348" i="1"/>
  <c r="K5348" i="1"/>
  <c r="F2676" i="1"/>
  <c r="G2676" i="1"/>
  <c r="H2676" i="1"/>
  <c r="K2676" i="1"/>
  <c r="F6811" i="1"/>
  <c r="G6811" i="1"/>
  <c r="H6811" i="1"/>
  <c r="K6811" i="1"/>
  <c r="F3975" i="1"/>
  <c r="G3975" i="1"/>
  <c r="H3975" i="1"/>
  <c r="K3975" i="1"/>
  <c r="F3976" i="1"/>
  <c r="G3976" i="1"/>
  <c r="H3976" i="1"/>
  <c r="K3976" i="1"/>
  <c r="F903" i="1"/>
  <c r="G903" i="1"/>
  <c r="H903" i="1"/>
  <c r="K903" i="1"/>
  <c r="F904" i="1"/>
  <c r="G904" i="1"/>
  <c r="H904" i="1"/>
  <c r="K904" i="1"/>
  <c r="F3977" i="1"/>
  <c r="G3977" i="1"/>
  <c r="H3977" i="1"/>
  <c r="K3977" i="1"/>
  <c r="F5349" i="1"/>
  <c r="G5349" i="1"/>
  <c r="H5349" i="1"/>
  <c r="K5349" i="1"/>
  <c r="F6812" i="1"/>
  <c r="G6812" i="1"/>
  <c r="H6812" i="1"/>
  <c r="K6812" i="1"/>
  <c r="F6813" i="1"/>
  <c r="G6813" i="1"/>
  <c r="H6813" i="1"/>
  <c r="K6813" i="1"/>
  <c r="F905" i="1"/>
  <c r="G905" i="1"/>
  <c r="H905" i="1"/>
  <c r="K905" i="1"/>
  <c r="F906" i="1"/>
  <c r="G906" i="1"/>
  <c r="H906" i="1"/>
  <c r="K906" i="1"/>
  <c r="F6814" i="1"/>
  <c r="G6814" i="1"/>
  <c r="H6814" i="1"/>
  <c r="K6814" i="1"/>
  <c r="F6815" i="1"/>
  <c r="G6815" i="1"/>
  <c r="H6815" i="1"/>
  <c r="K6815" i="1"/>
  <c r="F6816" i="1"/>
  <c r="G6816" i="1"/>
  <c r="H6816" i="1"/>
  <c r="K6816" i="1"/>
  <c r="F2677" i="1"/>
  <c r="G2677" i="1"/>
  <c r="H2677" i="1"/>
  <c r="K2677" i="1"/>
  <c r="F5350" i="1"/>
  <c r="G5350" i="1"/>
  <c r="H5350" i="1"/>
  <c r="K5350" i="1"/>
  <c r="F6817" i="1"/>
  <c r="G6817" i="1"/>
  <c r="H6817" i="1"/>
  <c r="K6817" i="1"/>
  <c r="F5351" i="1"/>
  <c r="G5351" i="1"/>
  <c r="H5351" i="1"/>
  <c r="K5351" i="1"/>
  <c r="F2678" i="1"/>
  <c r="G2678" i="1"/>
  <c r="H2678" i="1"/>
  <c r="K2678" i="1"/>
  <c r="F5352" i="1"/>
  <c r="G5352" i="1"/>
  <c r="H5352" i="1"/>
  <c r="K5352" i="1"/>
  <c r="F2679" i="1"/>
  <c r="G2679" i="1"/>
  <c r="H2679" i="1"/>
  <c r="K2679" i="1"/>
  <c r="F2680" i="1"/>
  <c r="G2680" i="1"/>
  <c r="H2680" i="1"/>
  <c r="K2680" i="1"/>
  <c r="F6818" i="1"/>
  <c r="G6818" i="1"/>
  <c r="H6818" i="1"/>
  <c r="K6818" i="1"/>
  <c r="F907" i="1"/>
  <c r="G907" i="1"/>
  <c r="H907" i="1"/>
  <c r="K907" i="1"/>
  <c r="F5353" i="1"/>
  <c r="G5353" i="1"/>
  <c r="H5353" i="1"/>
  <c r="K5353" i="1"/>
  <c r="F3978" i="1"/>
  <c r="G3978" i="1"/>
  <c r="H3978" i="1"/>
  <c r="K3978" i="1"/>
  <c r="F908" i="1"/>
  <c r="G908" i="1"/>
  <c r="H908" i="1"/>
  <c r="K908" i="1"/>
  <c r="F909" i="1"/>
  <c r="G909" i="1"/>
  <c r="H909" i="1"/>
  <c r="K909" i="1"/>
  <c r="F2681" i="1"/>
  <c r="G2681" i="1"/>
  <c r="H2681" i="1"/>
  <c r="K2681" i="1"/>
  <c r="F910" i="1"/>
  <c r="G910" i="1"/>
  <c r="H910" i="1"/>
  <c r="K910" i="1"/>
  <c r="F5354" i="1"/>
  <c r="G5354" i="1"/>
  <c r="H5354" i="1"/>
  <c r="K5354" i="1"/>
  <c r="F2682" i="1"/>
  <c r="G2682" i="1"/>
  <c r="H2682" i="1"/>
  <c r="K2682" i="1"/>
  <c r="F3979" i="1"/>
  <c r="G3979" i="1"/>
  <c r="H3979" i="1"/>
  <c r="K3979" i="1"/>
  <c r="F6819" i="1"/>
  <c r="G6819" i="1"/>
  <c r="H6819" i="1"/>
  <c r="K6819" i="1"/>
  <c r="F911" i="1"/>
  <c r="G911" i="1"/>
  <c r="H911" i="1"/>
  <c r="K911" i="1"/>
  <c r="F6820" i="1"/>
  <c r="G6820" i="1"/>
  <c r="H6820" i="1"/>
  <c r="K6820" i="1"/>
  <c r="F912" i="1"/>
  <c r="G912" i="1"/>
  <c r="H912" i="1"/>
  <c r="K912" i="1"/>
  <c r="F913" i="1"/>
  <c r="G913" i="1"/>
  <c r="H913" i="1"/>
  <c r="K913" i="1"/>
  <c r="F5355" i="1"/>
  <c r="G5355" i="1"/>
  <c r="H5355" i="1"/>
  <c r="K5355" i="1"/>
  <c r="F2683" i="1"/>
  <c r="G2683" i="1"/>
  <c r="H2683" i="1"/>
  <c r="K2683" i="1"/>
  <c r="F3980" i="1"/>
  <c r="G3980" i="1"/>
  <c r="H3980" i="1"/>
  <c r="K3980" i="1"/>
  <c r="F2684" i="1"/>
  <c r="G2684" i="1"/>
  <c r="H2684" i="1"/>
  <c r="K2684" i="1"/>
  <c r="F2685" i="1"/>
  <c r="G2685" i="1"/>
  <c r="H2685" i="1"/>
  <c r="K2685" i="1"/>
  <c r="F2686" i="1"/>
  <c r="G2686" i="1"/>
  <c r="H2686" i="1"/>
  <c r="K2686" i="1"/>
  <c r="F914" i="1"/>
  <c r="G914" i="1"/>
  <c r="H914" i="1"/>
  <c r="K914" i="1"/>
  <c r="F915" i="1"/>
  <c r="G915" i="1"/>
  <c r="H915" i="1"/>
  <c r="K915" i="1"/>
  <c r="F2687" i="1"/>
  <c r="G2687" i="1"/>
  <c r="H2687" i="1"/>
  <c r="K2687" i="1"/>
  <c r="F5356" i="1"/>
  <c r="G5356" i="1"/>
  <c r="H5356" i="1"/>
  <c r="K5356" i="1"/>
  <c r="F3981" i="1"/>
  <c r="G3981" i="1"/>
  <c r="H3981" i="1"/>
  <c r="K3981" i="1"/>
  <c r="F916" i="1"/>
  <c r="G916" i="1"/>
  <c r="H916" i="1"/>
  <c r="K916" i="1"/>
  <c r="F6821" i="1"/>
  <c r="G6821" i="1"/>
  <c r="H6821" i="1"/>
  <c r="K6821" i="1"/>
  <c r="F5357" i="1"/>
  <c r="G5357" i="1"/>
  <c r="H5357" i="1"/>
  <c r="K5357" i="1"/>
  <c r="F917" i="1"/>
  <c r="G917" i="1"/>
  <c r="H917" i="1"/>
  <c r="K917" i="1"/>
  <c r="F3982" i="1"/>
  <c r="G3982" i="1"/>
  <c r="H3982" i="1"/>
  <c r="K3982" i="1"/>
  <c r="F3983" i="1"/>
  <c r="G3983" i="1"/>
  <c r="H3983" i="1"/>
  <c r="K3983" i="1"/>
  <c r="F3984" i="1"/>
  <c r="G3984" i="1"/>
  <c r="H3984" i="1"/>
  <c r="K3984" i="1"/>
  <c r="F3985" i="1"/>
  <c r="G3985" i="1"/>
  <c r="H3985" i="1"/>
  <c r="K3985" i="1"/>
  <c r="F3986" i="1"/>
  <c r="G3986" i="1"/>
  <c r="H3986" i="1"/>
  <c r="K3986" i="1"/>
  <c r="F5358" i="1"/>
  <c r="G5358" i="1"/>
  <c r="H5358" i="1"/>
  <c r="K5358" i="1"/>
  <c r="F2688" i="1"/>
  <c r="G2688" i="1"/>
  <c r="H2688" i="1"/>
  <c r="K2688" i="1"/>
  <c r="F3987" i="1"/>
  <c r="G3987" i="1"/>
  <c r="H3987" i="1"/>
  <c r="K3987" i="1"/>
  <c r="F5359" i="1"/>
  <c r="G5359" i="1"/>
  <c r="H5359" i="1"/>
  <c r="K5359" i="1"/>
  <c r="F5360" i="1"/>
  <c r="G5360" i="1"/>
  <c r="H5360" i="1"/>
  <c r="K5360" i="1"/>
  <c r="F2689" i="1"/>
  <c r="G2689" i="1"/>
  <c r="H2689" i="1"/>
  <c r="K2689" i="1"/>
  <c r="F5361" i="1"/>
  <c r="G5361" i="1"/>
  <c r="H5361" i="1"/>
  <c r="K5361" i="1"/>
  <c r="F5362" i="1"/>
  <c r="G5362" i="1"/>
  <c r="H5362" i="1"/>
  <c r="K5362" i="1"/>
  <c r="F5363" i="1"/>
  <c r="G5363" i="1"/>
  <c r="H5363" i="1"/>
  <c r="K5363" i="1"/>
  <c r="F3988" i="1"/>
  <c r="G3988" i="1"/>
  <c r="H3988" i="1"/>
  <c r="K3988" i="1"/>
  <c r="F6822" i="1"/>
  <c r="G6822" i="1"/>
  <c r="H6822" i="1"/>
  <c r="K6822" i="1"/>
  <c r="F6823" i="1"/>
  <c r="G6823" i="1"/>
  <c r="H6823" i="1"/>
  <c r="K6823" i="1"/>
  <c r="F6824" i="1"/>
  <c r="G6824" i="1"/>
  <c r="H6824" i="1"/>
  <c r="K6824" i="1"/>
  <c r="F918" i="1"/>
  <c r="G918" i="1"/>
  <c r="H918" i="1"/>
  <c r="K918" i="1"/>
  <c r="F3989" i="1"/>
  <c r="G3989" i="1"/>
  <c r="H3989" i="1"/>
  <c r="K3989" i="1"/>
  <c r="F2690" i="1"/>
  <c r="G2690" i="1"/>
  <c r="H2690" i="1"/>
  <c r="K2690" i="1"/>
  <c r="F5364" i="1"/>
  <c r="G5364" i="1"/>
  <c r="H5364" i="1"/>
  <c r="K5364" i="1"/>
  <c r="F5365" i="1"/>
  <c r="G5365" i="1"/>
  <c r="H5365" i="1"/>
  <c r="K5365" i="1"/>
  <c r="F6825" i="1"/>
  <c r="G6825" i="1"/>
  <c r="H6825" i="1"/>
  <c r="K6825" i="1"/>
  <c r="F2691" i="1"/>
  <c r="G2691" i="1"/>
  <c r="H2691" i="1"/>
  <c r="K2691" i="1"/>
  <c r="F5366" i="1"/>
  <c r="G5366" i="1"/>
  <c r="H5366" i="1"/>
  <c r="K5366" i="1"/>
  <c r="F6826" i="1"/>
  <c r="G6826" i="1"/>
  <c r="H6826" i="1"/>
  <c r="K6826" i="1"/>
  <c r="F6827" i="1"/>
  <c r="G6827" i="1"/>
  <c r="H6827" i="1"/>
  <c r="K6827" i="1"/>
  <c r="F3990" i="1"/>
  <c r="G3990" i="1"/>
  <c r="H3990" i="1"/>
  <c r="K3990" i="1"/>
  <c r="F3991" i="1"/>
  <c r="G3991" i="1"/>
  <c r="H3991" i="1"/>
  <c r="K3991" i="1"/>
  <c r="F3992" i="1"/>
  <c r="G3992" i="1"/>
  <c r="H3992" i="1"/>
  <c r="K3992" i="1"/>
  <c r="F6828" i="1"/>
  <c r="G6828" i="1"/>
  <c r="H6828" i="1"/>
  <c r="K6828" i="1"/>
  <c r="F919" i="1"/>
  <c r="G919" i="1"/>
  <c r="H919" i="1"/>
  <c r="K919" i="1"/>
  <c r="F2692" i="1"/>
  <c r="G2692" i="1"/>
  <c r="H2692" i="1"/>
  <c r="K2692" i="1"/>
  <c r="F5367" i="1"/>
  <c r="G5367" i="1"/>
  <c r="H5367" i="1"/>
  <c r="K5367" i="1"/>
  <c r="F6829" i="1"/>
  <c r="G6829" i="1"/>
  <c r="H6829" i="1"/>
  <c r="K6829" i="1"/>
  <c r="F6830" i="1"/>
  <c r="G6830" i="1"/>
  <c r="H6830" i="1"/>
  <c r="K6830" i="1"/>
  <c r="F2693" i="1"/>
  <c r="G2693" i="1"/>
  <c r="H2693" i="1"/>
  <c r="K2693" i="1"/>
  <c r="F3993" i="1"/>
  <c r="G3993" i="1"/>
  <c r="H3993" i="1"/>
  <c r="K3993" i="1"/>
  <c r="F3994" i="1"/>
  <c r="G3994" i="1"/>
  <c r="H3994" i="1"/>
  <c r="K3994" i="1"/>
  <c r="F3995" i="1"/>
  <c r="G3995" i="1"/>
  <c r="H3995" i="1"/>
  <c r="K3995" i="1"/>
  <c r="F6831" i="1"/>
  <c r="G6831" i="1"/>
  <c r="H6831" i="1"/>
  <c r="K6831" i="1"/>
  <c r="F2694" i="1"/>
  <c r="G2694" i="1"/>
  <c r="H2694" i="1"/>
  <c r="K2694" i="1"/>
  <c r="F6832" i="1"/>
  <c r="G6832" i="1"/>
  <c r="H6832" i="1"/>
  <c r="K6832" i="1"/>
  <c r="F3996" i="1"/>
  <c r="G3996" i="1"/>
  <c r="H3996" i="1"/>
  <c r="K3996" i="1"/>
  <c r="F6833" i="1"/>
  <c r="G6833" i="1"/>
  <c r="H6833" i="1"/>
  <c r="K6833" i="1"/>
  <c r="F6834" i="1"/>
  <c r="G6834" i="1"/>
  <c r="H6834" i="1"/>
  <c r="K6834" i="1"/>
  <c r="F2695" i="1"/>
  <c r="G2695" i="1"/>
  <c r="H2695" i="1"/>
  <c r="K2695" i="1"/>
  <c r="F5368" i="1"/>
  <c r="G5368" i="1"/>
  <c r="H5368" i="1"/>
  <c r="K5368" i="1"/>
  <c r="F5369" i="1"/>
  <c r="G5369" i="1"/>
  <c r="H5369" i="1"/>
  <c r="K5369" i="1"/>
  <c r="F5370" i="1"/>
  <c r="G5370" i="1"/>
  <c r="H5370" i="1"/>
  <c r="K5370" i="1"/>
  <c r="F920" i="1"/>
  <c r="G920" i="1"/>
  <c r="H920" i="1"/>
  <c r="K920" i="1"/>
  <c r="F5371" i="1"/>
  <c r="G5371" i="1"/>
  <c r="H5371" i="1"/>
  <c r="K5371" i="1"/>
  <c r="F3997" i="1"/>
  <c r="G3997" i="1"/>
  <c r="H3997" i="1"/>
  <c r="K3997" i="1"/>
  <c r="F921" i="1"/>
  <c r="G921" i="1"/>
  <c r="H921" i="1"/>
  <c r="K921" i="1"/>
  <c r="F6835" i="1"/>
  <c r="G6835" i="1"/>
  <c r="H6835" i="1"/>
  <c r="K6835" i="1"/>
  <c r="F6836" i="1"/>
  <c r="G6836" i="1"/>
  <c r="H6836" i="1"/>
  <c r="K6836" i="1"/>
  <c r="F5372" i="1"/>
  <c r="G5372" i="1"/>
  <c r="H5372" i="1"/>
  <c r="K5372" i="1"/>
  <c r="F2696" i="1"/>
  <c r="G2696" i="1"/>
  <c r="H2696" i="1"/>
  <c r="K2696" i="1"/>
  <c r="F2697" i="1"/>
  <c r="G2697" i="1"/>
  <c r="H2697" i="1"/>
  <c r="K2697" i="1"/>
  <c r="F5373" i="1"/>
  <c r="G5373" i="1"/>
  <c r="H5373" i="1"/>
  <c r="K5373" i="1"/>
  <c r="F3998" i="1"/>
  <c r="G3998" i="1"/>
  <c r="H3998" i="1"/>
  <c r="K3998" i="1"/>
  <c r="F6837" i="1"/>
  <c r="G6837" i="1"/>
  <c r="H6837" i="1"/>
  <c r="K6837" i="1"/>
  <c r="F2698" i="1"/>
  <c r="G2698" i="1"/>
  <c r="H2698" i="1"/>
  <c r="K2698" i="1"/>
  <c r="F5374" i="1"/>
  <c r="G5374" i="1"/>
  <c r="H5374" i="1"/>
  <c r="K5374" i="1"/>
  <c r="F6838" i="1"/>
  <c r="G6838" i="1"/>
  <c r="H6838" i="1"/>
  <c r="K6838" i="1"/>
  <c r="F922" i="1"/>
  <c r="G922" i="1"/>
  <c r="H922" i="1"/>
  <c r="K922" i="1"/>
  <c r="F5375" i="1"/>
  <c r="G5375" i="1"/>
  <c r="H5375" i="1"/>
  <c r="K5375" i="1"/>
  <c r="F5376" i="1"/>
  <c r="G5376" i="1"/>
  <c r="H5376" i="1"/>
  <c r="K5376" i="1"/>
  <c r="F5377" i="1"/>
  <c r="G5377" i="1"/>
  <c r="H5377" i="1"/>
  <c r="K5377" i="1"/>
  <c r="F5378" i="1"/>
  <c r="G5378" i="1"/>
  <c r="H5378" i="1"/>
  <c r="K5378" i="1"/>
  <c r="F6839" i="1"/>
  <c r="G6839" i="1"/>
  <c r="H6839" i="1"/>
  <c r="K6839" i="1"/>
  <c r="F5379" i="1"/>
  <c r="G5379" i="1"/>
  <c r="H5379" i="1"/>
  <c r="K5379" i="1"/>
  <c r="F5380" i="1"/>
  <c r="G5380" i="1"/>
  <c r="H5380" i="1"/>
  <c r="K5380" i="1"/>
  <c r="F923" i="1"/>
  <c r="G923" i="1"/>
  <c r="H923" i="1"/>
  <c r="K923" i="1"/>
  <c r="F6840" i="1"/>
  <c r="G6840" i="1"/>
  <c r="H6840" i="1"/>
  <c r="K6840" i="1"/>
  <c r="F5381" i="1"/>
  <c r="G5381" i="1"/>
  <c r="H5381" i="1"/>
  <c r="K5381" i="1"/>
  <c r="F5382" i="1"/>
  <c r="G5382" i="1"/>
  <c r="H5382" i="1"/>
  <c r="K5382" i="1"/>
  <c r="F2699" i="1"/>
  <c r="G2699" i="1"/>
  <c r="H2699" i="1"/>
  <c r="K2699" i="1"/>
  <c r="F3999" i="1"/>
  <c r="G3999" i="1"/>
  <c r="H3999" i="1"/>
  <c r="K3999" i="1"/>
  <c r="F924" i="1"/>
  <c r="G924" i="1"/>
  <c r="H924" i="1"/>
  <c r="K924" i="1"/>
  <c r="F4000" i="1"/>
  <c r="G4000" i="1"/>
  <c r="H4000" i="1"/>
  <c r="K4000" i="1"/>
  <c r="F4001" i="1"/>
  <c r="G4001" i="1"/>
  <c r="H4001" i="1"/>
  <c r="K4001" i="1"/>
  <c r="F5383" i="1"/>
  <c r="G5383" i="1"/>
  <c r="H5383" i="1"/>
  <c r="K5383" i="1"/>
  <c r="F6841" i="1"/>
  <c r="G6841" i="1"/>
  <c r="H6841" i="1"/>
  <c r="K6841" i="1"/>
  <c r="F2700" i="1"/>
  <c r="G2700" i="1"/>
  <c r="H2700" i="1"/>
  <c r="K2700" i="1"/>
  <c r="F6842" i="1"/>
  <c r="G6842" i="1"/>
  <c r="H6842" i="1"/>
  <c r="K6842" i="1"/>
  <c r="F6843" i="1"/>
  <c r="G6843" i="1"/>
  <c r="H6843" i="1"/>
  <c r="K6843" i="1"/>
  <c r="F4002" i="1"/>
  <c r="G4002" i="1"/>
  <c r="H4002" i="1"/>
  <c r="K4002" i="1"/>
  <c r="F4003" i="1"/>
  <c r="G4003" i="1"/>
  <c r="H4003" i="1"/>
  <c r="K4003" i="1"/>
  <c r="F2701" i="1"/>
  <c r="G2701" i="1"/>
  <c r="H2701" i="1"/>
  <c r="K2701" i="1"/>
  <c r="F6844" i="1"/>
  <c r="G6844" i="1"/>
  <c r="H6844" i="1"/>
  <c r="K6844" i="1"/>
  <c r="F5384" i="1"/>
  <c r="G5384" i="1"/>
  <c r="H5384" i="1"/>
  <c r="K5384" i="1"/>
  <c r="F5385" i="1"/>
  <c r="G5385" i="1"/>
  <c r="H5385" i="1"/>
  <c r="K5385" i="1"/>
  <c r="F5386" i="1"/>
  <c r="G5386" i="1"/>
  <c r="H5386" i="1"/>
  <c r="K5386" i="1"/>
  <c r="F925" i="1"/>
  <c r="G925" i="1"/>
  <c r="H925" i="1"/>
  <c r="K925" i="1"/>
  <c r="F6845" i="1"/>
  <c r="G6845" i="1"/>
  <c r="H6845" i="1"/>
  <c r="K6845" i="1"/>
  <c r="F6846" i="1"/>
  <c r="G6846" i="1"/>
  <c r="H6846" i="1"/>
  <c r="K6846" i="1"/>
  <c r="F926" i="1"/>
  <c r="G926" i="1"/>
  <c r="H926" i="1"/>
  <c r="K926" i="1"/>
  <c r="F5387" i="1"/>
  <c r="G5387" i="1"/>
  <c r="H5387" i="1"/>
  <c r="K5387" i="1"/>
  <c r="F4004" i="1"/>
  <c r="G4004" i="1"/>
  <c r="H4004" i="1"/>
  <c r="K4004" i="1"/>
  <c r="F5388" i="1"/>
  <c r="G5388" i="1"/>
  <c r="H5388" i="1"/>
  <c r="K5388" i="1"/>
  <c r="F6847" i="1"/>
  <c r="G6847" i="1"/>
  <c r="H6847" i="1"/>
  <c r="K6847" i="1"/>
  <c r="F6848" i="1"/>
  <c r="G6848" i="1"/>
  <c r="H6848" i="1"/>
  <c r="K6848" i="1"/>
  <c r="F6849" i="1"/>
  <c r="G6849" i="1"/>
  <c r="H6849" i="1"/>
  <c r="K6849" i="1"/>
  <c r="F4005" i="1"/>
  <c r="G4005" i="1"/>
  <c r="H4005" i="1"/>
  <c r="K4005" i="1"/>
  <c r="F5389" i="1"/>
  <c r="G5389" i="1"/>
  <c r="H5389" i="1"/>
  <c r="K5389" i="1"/>
  <c r="F6850" i="1"/>
  <c r="G6850" i="1"/>
  <c r="H6850" i="1"/>
  <c r="K6850" i="1"/>
  <c r="F6851" i="1"/>
  <c r="G6851" i="1"/>
  <c r="H6851" i="1"/>
  <c r="K6851" i="1"/>
  <c r="F6852" i="1"/>
  <c r="G6852" i="1"/>
  <c r="H6852" i="1"/>
  <c r="K6852" i="1"/>
  <c r="F927" i="1"/>
  <c r="G927" i="1"/>
  <c r="H927" i="1"/>
  <c r="K927" i="1"/>
  <c r="F5390" i="1"/>
  <c r="G5390" i="1"/>
  <c r="H5390" i="1"/>
  <c r="K5390" i="1"/>
  <c r="F2702" i="1"/>
  <c r="G2702" i="1"/>
  <c r="H2702" i="1"/>
  <c r="K2702" i="1"/>
  <c r="F928" i="1"/>
  <c r="G928" i="1"/>
  <c r="H928" i="1"/>
  <c r="K928" i="1"/>
  <c r="F929" i="1"/>
  <c r="G929" i="1"/>
  <c r="H929" i="1"/>
  <c r="K929" i="1"/>
  <c r="F2703" i="1"/>
  <c r="G2703" i="1"/>
  <c r="H2703" i="1"/>
  <c r="K2703" i="1"/>
  <c r="F6853" i="1"/>
  <c r="G6853" i="1"/>
  <c r="H6853" i="1"/>
  <c r="K6853" i="1"/>
  <c r="F5391" i="1"/>
  <c r="G5391" i="1"/>
  <c r="H5391" i="1"/>
  <c r="K5391" i="1"/>
  <c r="F6854" i="1"/>
  <c r="G6854" i="1"/>
  <c r="H6854" i="1"/>
  <c r="K6854" i="1"/>
  <c r="F4006" i="1"/>
  <c r="G4006" i="1"/>
  <c r="H4006" i="1"/>
  <c r="K4006" i="1"/>
  <c r="F930" i="1"/>
  <c r="G930" i="1"/>
  <c r="H930" i="1"/>
  <c r="K930" i="1"/>
  <c r="F2704" i="1"/>
  <c r="G2704" i="1"/>
  <c r="H2704" i="1"/>
  <c r="K2704" i="1"/>
  <c r="F6855" i="1"/>
  <c r="G6855" i="1"/>
  <c r="H6855" i="1"/>
  <c r="K6855" i="1"/>
  <c r="F4007" i="1"/>
  <c r="G4007" i="1"/>
  <c r="H4007" i="1"/>
  <c r="K4007" i="1"/>
  <c r="F2705" i="1"/>
  <c r="G2705" i="1"/>
  <c r="H2705" i="1"/>
  <c r="K2705" i="1"/>
  <c r="F2706" i="1"/>
  <c r="G2706" i="1"/>
  <c r="H2706" i="1"/>
  <c r="K2706" i="1"/>
  <c r="F2707" i="1"/>
  <c r="G2707" i="1"/>
  <c r="H2707" i="1"/>
  <c r="K2707" i="1"/>
  <c r="F2708" i="1"/>
  <c r="G2708" i="1"/>
  <c r="H2708" i="1"/>
  <c r="K2708" i="1"/>
  <c r="F4008" i="1"/>
  <c r="G4008" i="1"/>
  <c r="H4008" i="1"/>
  <c r="K4008" i="1"/>
  <c r="F4009" i="1"/>
  <c r="G4009" i="1"/>
  <c r="H4009" i="1"/>
  <c r="K4009" i="1"/>
  <c r="F4010" i="1"/>
  <c r="G4010" i="1"/>
  <c r="H4010" i="1"/>
  <c r="K4010" i="1"/>
  <c r="F4011" i="1"/>
  <c r="G4011" i="1"/>
  <c r="H4011" i="1"/>
  <c r="K4011" i="1"/>
  <c r="F2709" i="1"/>
  <c r="G2709" i="1"/>
  <c r="H2709" i="1"/>
  <c r="K2709" i="1"/>
  <c r="F4012" i="1"/>
  <c r="G4012" i="1"/>
  <c r="H4012" i="1"/>
  <c r="K4012" i="1"/>
  <c r="F5392" i="1"/>
  <c r="G5392" i="1"/>
  <c r="H5392" i="1"/>
  <c r="K5392" i="1"/>
  <c r="F6856" i="1"/>
  <c r="G6856" i="1"/>
  <c r="H6856" i="1"/>
  <c r="K6856" i="1"/>
  <c r="F931" i="1"/>
  <c r="G931" i="1"/>
  <c r="H931" i="1"/>
  <c r="K931" i="1"/>
  <c r="F6857" i="1"/>
  <c r="G6857" i="1"/>
  <c r="H6857" i="1"/>
  <c r="K6857" i="1"/>
  <c r="F932" i="1"/>
  <c r="G932" i="1"/>
  <c r="H932" i="1"/>
  <c r="K932" i="1"/>
  <c r="F4013" i="1"/>
  <c r="G4013" i="1"/>
  <c r="H4013" i="1"/>
  <c r="K4013" i="1"/>
  <c r="F6858" i="1"/>
  <c r="G6858" i="1"/>
  <c r="H6858" i="1"/>
  <c r="K6858" i="1"/>
  <c r="F6859" i="1"/>
  <c r="G6859" i="1"/>
  <c r="H6859" i="1"/>
  <c r="K6859" i="1"/>
  <c r="F4014" i="1"/>
  <c r="G4014" i="1"/>
  <c r="H4014" i="1"/>
  <c r="K4014" i="1"/>
  <c r="F4015" i="1"/>
  <c r="G4015" i="1"/>
  <c r="H4015" i="1"/>
  <c r="K4015" i="1"/>
  <c r="F4016" i="1"/>
  <c r="G4016" i="1"/>
  <c r="H4016" i="1"/>
  <c r="K4016" i="1"/>
  <c r="F933" i="1"/>
  <c r="G933" i="1"/>
  <c r="H933" i="1"/>
  <c r="K933" i="1"/>
  <c r="F5393" i="1"/>
  <c r="G5393" i="1"/>
  <c r="H5393" i="1"/>
  <c r="K5393" i="1"/>
  <c r="F934" i="1"/>
  <c r="G934" i="1"/>
  <c r="H934" i="1"/>
  <c r="K934" i="1"/>
  <c r="F2710" i="1"/>
  <c r="G2710" i="1"/>
  <c r="H2710" i="1"/>
  <c r="K2710" i="1"/>
  <c r="F935" i="1"/>
  <c r="G935" i="1"/>
  <c r="H935" i="1"/>
  <c r="K935" i="1"/>
  <c r="F6860" i="1"/>
  <c r="G6860" i="1"/>
  <c r="H6860" i="1"/>
  <c r="K6860" i="1"/>
  <c r="F6861" i="1"/>
  <c r="G6861" i="1"/>
  <c r="H6861" i="1"/>
  <c r="K6861" i="1"/>
  <c r="F936" i="1"/>
  <c r="G936" i="1"/>
  <c r="H936" i="1"/>
  <c r="K936" i="1"/>
  <c r="F6862" i="1"/>
  <c r="G6862" i="1"/>
  <c r="H6862" i="1"/>
  <c r="K6862" i="1"/>
  <c r="F937" i="1"/>
  <c r="G937" i="1"/>
  <c r="H937" i="1"/>
  <c r="K937" i="1"/>
  <c r="F2711" i="1"/>
  <c r="G2711" i="1"/>
  <c r="H2711" i="1"/>
  <c r="K2711" i="1"/>
  <c r="F6863" i="1"/>
  <c r="G6863" i="1"/>
  <c r="H6863" i="1"/>
  <c r="K6863" i="1"/>
  <c r="F4017" i="1"/>
  <c r="G4017" i="1"/>
  <c r="H4017" i="1"/>
  <c r="K4017" i="1"/>
  <c r="F4018" i="1"/>
  <c r="G4018" i="1"/>
  <c r="H4018" i="1"/>
  <c r="K4018" i="1"/>
  <c r="F4019" i="1"/>
  <c r="G4019" i="1"/>
  <c r="H4019" i="1"/>
  <c r="K4019" i="1"/>
  <c r="F5394" i="1"/>
  <c r="G5394" i="1"/>
  <c r="H5394" i="1"/>
  <c r="K5394" i="1"/>
  <c r="F938" i="1"/>
  <c r="G938" i="1"/>
  <c r="H938" i="1"/>
  <c r="K938" i="1"/>
  <c r="F6864" i="1"/>
  <c r="G6864" i="1"/>
  <c r="H6864" i="1"/>
  <c r="K6864" i="1"/>
  <c r="F5395" i="1"/>
  <c r="G5395" i="1"/>
  <c r="H5395" i="1"/>
  <c r="K5395" i="1"/>
  <c r="F4020" i="1"/>
  <c r="G4020" i="1"/>
  <c r="H4020" i="1"/>
  <c r="K4020" i="1"/>
  <c r="F939" i="1"/>
  <c r="G939" i="1"/>
  <c r="H939" i="1"/>
  <c r="K939" i="1"/>
  <c r="F940" i="1"/>
  <c r="G940" i="1"/>
  <c r="H940" i="1"/>
  <c r="K940" i="1"/>
  <c r="F5396" i="1"/>
  <c r="G5396" i="1"/>
  <c r="H5396" i="1"/>
  <c r="K5396" i="1"/>
  <c r="F2712" i="1"/>
  <c r="G2712" i="1"/>
  <c r="H2712" i="1"/>
  <c r="K2712" i="1"/>
  <c r="F941" i="1"/>
  <c r="G941" i="1"/>
  <c r="H941" i="1"/>
  <c r="K941" i="1"/>
  <c r="F5397" i="1"/>
  <c r="G5397" i="1"/>
  <c r="H5397" i="1"/>
  <c r="K5397" i="1"/>
  <c r="F6865" i="1"/>
  <c r="G6865" i="1"/>
  <c r="H6865" i="1"/>
  <c r="K6865" i="1"/>
  <c r="F4021" i="1"/>
  <c r="G4021" i="1"/>
  <c r="H4021" i="1"/>
  <c r="K4021" i="1"/>
  <c r="F942" i="1"/>
  <c r="G942" i="1"/>
  <c r="H942" i="1"/>
  <c r="K942" i="1"/>
  <c r="F5398" i="1"/>
  <c r="G5398" i="1"/>
  <c r="H5398" i="1"/>
  <c r="K5398" i="1"/>
  <c r="F5399" i="1"/>
  <c r="G5399" i="1"/>
  <c r="H5399" i="1"/>
  <c r="K5399" i="1"/>
  <c r="F4022" i="1"/>
  <c r="G4022" i="1"/>
  <c r="H4022" i="1"/>
  <c r="K4022" i="1"/>
  <c r="F4023" i="1"/>
  <c r="G4023" i="1"/>
  <c r="H4023" i="1"/>
  <c r="K4023" i="1"/>
  <c r="F4024" i="1"/>
  <c r="G4024" i="1"/>
  <c r="H4024" i="1"/>
  <c r="K4024" i="1"/>
  <c r="F4025" i="1"/>
  <c r="G4025" i="1"/>
  <c r="H4025" i="1"/>
  <c r="K4025" i="1"/>
  <c r="F2713" i="1"/>
  <c r="G2713" i="1"/>
  <c r="H2713" i="1"/>
  <c r="K2713" i="1"/>
  <c r="F2714" i="1"/>
  <c r="G2714" i="1"/>
  <c r="H2714" i="1"/>
  <c r="K2714" i="1"/>
  <c r="F943" i="1"/>
  <c r="G943" i="1"/>
  <c r="H943" i="1"/>
  <c r="K943" i="1"/>
  <c r="F5400" i="1"/>
  <c r="G5400" i="1"/>
  <c r="H5400" i="1"/>
  <c r="K5400" i="1"/>
  <c r="F5401" i="1"/>
  <c r="G5401" i="1"/>
  <c r="H5401" i="1"/>
  <c r="K5401" i="1"/>
  <c r="F944" i="1"/>
  <c r="G944" i="1"/>
  <c r="H944" i="1"/>
  <c r="K944" i="1"/>
  <c r="F4026" i="1"/>
  <c r="G4026" i="1"/>
  <c r="H4026" i="1"/>
  <c r="K4026" i="1"/>
  <c r="F5402" i="1"/>
  <c r="G5402" i="1"/>
  <c r="H5402" i="1"/>
  <c r="K5402" i="1"/>
  <c r="F4027" i="1"/>
  <c r="G4027" i="1"/>
  <c r="H4027" i="1"/>
  <c r="K4027" i="1"/>
  <c r="F5403" i="1"/>
  <c r="G5403" i="1"/>
  <c r="H5403" i="1"/>
  <c r="K5403" i="1"/>
  <c r="F945" i="1"/>
  <c r="G945" i="1"/>
  <c r="H945" i="1"/>
  <c r="K945" i="1"/>
  <c r="F6866" i="1"/>
  <c r="G6866" i="1"/>
  <c r="H6866" i="1"/>
  <c r="K6866" i="1"/>
  <c r="F2715" i="1"/>
  <c r="G2715" i="1"/>
  <c r="H2715" i="1"/>
  <c r="K2715" i="1"/>
  <c r="F5404" i="1"/>
  <c r="G5404" i="1"/>
  <c r="H5404" i="1"/>
  <c r="K5404" i="1"/>
  <c r="F946" i="1"/>
  <c r="G946" i="1"/>
  <c r="H946" i="1"/>
  <c r="K946" i="1"/>
  <c r="F2716" i="1"/>
  <c r="G2716" i="1"/>
  <c r="H2716" i="1"/>
  <c r="K2716" i="1"/>
  <c r="F6867" i="1"/>
  <c r="G6867" i="1"/>
  <c r="H6867" i="1"/>
  <c r="K6867" i="1"/>
  <c r="F947" i="1"/>
  <c r="G947" i="1"/>
  <c r="H947" i="1"/>
  <c r="K947" i="1"/>
  <c r="F948" i="1"/>
  <c r="G948" i="1"/>
  <c r="H948" i="1"/>
  <c r="K948" i="1"/>
  <c r="F6868" i="1"/>
  <c r="G6868" i="1"/>
  <c r="H6868" i="1"/>
  <c r="K6868" i="1"/>
  <c r="F4028" i="1"/>
  <c r="G4028" i="1"/>
  <c r="H4028" i="1"/>
  <c r="K4028" i="1"/>
  <c r="F5405" i="1"/>
  <c r="G5405" i="1"/>
  <c r="H5405" i="1"/>
  <c r="K5405" i="1"/>
  <c r="F4029" i="1"/>
  <c r="G4029" i="1"/>
  <c r="H4029" i="1"/>
  <c r="K4029" i="1"/>
  <c r="F6869" i="1"/>
  <c r="G6869" i="1"/>
  <c r="H6869" i="1"/>
  <c r="K6869" i="1"/>
  <c r="F5406" i="1"/>
  <c r="G5406" i="1"/>
  <c r="H5406" i="1"/>
  <c r="K5406" i="1"/>
  <c r="F949" i="1"/>
  <c r="G949" i="1"/>
  <c r="H949" i="1"/>
  <c r="K949" i="1"/>
  <c r="F4030" i="1"/>
  <c r="G4030" i="1"/>
  <c r="H4030" i="1"/>
  <c r="K4030" i="1"/>
  <c r="F5407" i="1"/>
  <c r="G5407" i="1"/>
  <c r="H5407" i="1"/>
  <c r="K5407" i="1"/>
  <c r="F950" i="1"/>
  <c r="G950" i="1"/>
  <c r="H950" i="1"/>
  <c r="K950" i="1"/>
  <c r="F2717" i="1"/>
  <c r="G2717" i="1"/>
  <c r="H2717" i="1"/>
  <c r="K2717" i="1"/>
  <c r="F4031" i="1"/>
  <c r="G4031" i="1"/>
  <c r="H4031" i="1"/>
  <c r="K4031" i="1"/>
  <c r="F951" i="1"/>
  <c r="G951" i="1"/>
  <c r="H951" i="1"/>
  <c r="K951" i="1"/>
  <c r="F2718" i="1"/>
  <c r="G2718" i="1"/>
  <c r="H2718" i="1"/>
  <c r="K2718" i="1"/>
  <c r="F5408" i="1"/>
  <c r="G5408" i="1"/>
  <c r="H5408" i="1"/>
  <c r="K5408" i="1"/>
  <c r="F2719" i="1"/>
  <c r="G2719" i="1"/>
  <c r="H2719" i="1"/>
  <c r="K2719" i="1"/>
  <c r="F5409" i="1"/>
  <c r="G5409" i="1"/>
  <c r="H5409" i="1"/>
  <c r="K5409" i="1"/>
  <c r="F952" i="1"/>
  <c r="G952" i="1"/>
  <c r="H952" i="1"/>
  <c r="K952" i="1"/>
  <c r="F5410" i="1"/>
  <c r="G5410" i="1"/>
  <c r="H5410" i="1"/>
  <c r="K5410" i="1"/>
  <c r="F953" i="1"/>
  <c r="G953" i="1"/>
  <c r="H953" i="1"/>
  <c r="K953" i="1"/>
  <c r="F954" i="1"/>
  <c r="G954" i="1"/>
  <c r="H954" i="1"/>
  <c r="K954" i="1"/>
  <c r="F4032" i="1"/>
  <c r="G4032" i="1"/>
  <c r="H4032" i="1"/>
  <c r="K4032" i="1"/>
  <c r="F2720" i="1"/>
  <c r="G2720" i="1"/>
  <c r="H2720" i="1"/>
  <c r="K2720" i="1"/>
  <c r="F4033" i="1"/>
  <c r="G4033" i="1"/>
  <c r="H4033" i="1"/>
  <c r="K4033" i="1"/>
  <c r="F2721" i="1"/>
  <c r="G2721" i="1"/>
  <c r="H2721" i="1"/>
  <c r="K2721" i="1"/>
  <c r="F955" i="1"/>
  <c r="G955" i="1"/>
  <c r="H955" i="1"/>
  <c r="K955" i="1"/>
  <c r="F4034" i="1"/>
  <c r="G4034" i="1"/>
  <c r="H4034" i="1"/>
  <c r="K4034" i="1"/>
  <c r="F6870" i="1"/>
  <c r="G6870" i="1"/>
  <c r="H6870" i="1"/>
  <c r="K6870" i="1"/>
  <c r="F5411" i="1"/>
  <c r="G5411" i="1"/>
  <c r="H5411" i="1"/>
  <c r="K5411" i="1"/>
  <c r="F956" i="1"/>
  <c r="G956" i="1"/>
  <c r="H956" i="1"/>
  <c r="K956" i="1"/>
  <c r="F4035" i="1"/>
  <c r="G4035" i="1"/>
  <c r="H4035" i="1"/>
  <c r="K4035" i="1"/>
  <c r="F2722" i="1"/>
  <c r="G2722" i="1"/>
  <c r="H2722" i="1"/>
  <c r="K2722" i="1"/>
  <c r="F957" i="1"/>
  <c r="G957" i="1"/>
  <c r="H957" i="1"/>
  <c r="K957" i="1"/>
  <c r="F5412" i="1"/>
  <c r="G5412" i="1"/>
  <c r="H5412" i="1"/>
  <c r="K5412" i="1"/>
  <c r="F958" i="1"/>
  <c r="G958" i="1"/>
  <c r="H958" i="1"/>
  <c r="K958" i="1"/>
  <c r="F5413" i="1"/>
  <c r="G5413" i="1"/>
  <c r="H5413" i="1"/>
  <c r="K5413" i="1"/>
  <c r="F6871" i="1"/>
  <c r="G6871" i="1"/>
  <c r="H6871" i="1"/>
  <c r="K6871" i="1"/>
  <c r="F2723" i="1"/>
  <c r="G2723" i="1"/>
  <c r="H2723" i="1"/>
  <c r="K2723" i="1"/>
  <c r="F2724" i="1"/>
  <c r="G2724" i="1"/>
  <c r="H2724" i="1"/>
  <c r="K2724" i="1"/>
  <c r="F959" i="1"/>
  <c r="G959" i="1"/>
  <c r="H959" i="1"/>
  <c r="K959" i="1"/>
  <c r="F960" i="1"/>
  <c r="G960" i="1"/>
  <c r="H960" i="1"/>
  <c r="K960" i="1"/>
  <c r="F2725" i="1"/>
  <c r="G2725" i="1"/>
  <c r="H2725" i="1"/>
  <c r="K2725" i="1"/>
  <c r="F5414" i="1"/>
  <c r="G5414" i="1"/>
  <c r="H5414" i="1"/>
  <c r="K5414" i="1"/>
  <c r="F5415" i="1"/>
  <c r="G5415" i="1"/>
  <c r="H5415" i="1"/>
  <c r="K5415" i="1"/>
  <c r="F6872" i="1"/>
  <c r="G6872" i="1"/>
  <c r="H6872" i="1"/>
  <c r="K6872" i="1"/>
  <c r="F6873" i="1"/>
  <c r="G6873" i="1"/>
  <c r="H6873" i="1"/>
  <c r="K6873" i="1"/>
  <c r="F6874" i="1"/>
  <c r="G6874" i="1"/>
  <c r="H6874" i="1"/>
  <c r="K6874" i="1"/>
  <c r="F6875" i="1"/>
  <c r="G6875" i="1"/>
  <c r="H6875" i="1"/>
  <c r="K6875" i="1"/>
  <c r="F961" i="1"/>
  <c r="G961" i="1"/>
  <c r="H961" i="1"/>
  <c r="K961" i="1"/>
  <c r="F6876" i="1"/>
  <c r="G6876" i="1"/>
  <c r="H6876" i="1"/>
  <c r="K6876" i="1"/>
  <c r="F6877" i="1"/>
  <c r="G6877" i="1"/>
  <c r="H6877" i="1"/>
  <c r="K6877" i="1"/>
  <c r="F5416" i="1"/>
  <c r="G5416" i="1"/>
  <c r="H5416" i="1"/>
  <c r="K5416" i="1"/>
  <c r="F962" i="1"/>
  <c r="G962" i="1"/>
  <c r="H962" i="1"/>
  <c r="K962" i="1"/>
  <c r="F6878" i="1"/>
  <c r="G6878" i="1"/>
  <c r="H6878" i="1"/>
  <c r="K6878" i="1"/>
  <c r="F6879" i="1"/>
  <c r="G6879" i="1"/>
  <c r="H6879" i="1"/>
  <c r="K6879" i="1"/>
  <c r="F6880" i="1"/>
  <c r="G6880" i="1"/>
  <c r="H6880" i="1"/>
  <c r="K6880" i="1"/>
  <c r="F963" i="1"/>
  <c r="G963" i="1"/>
  <c r="H963" i="1"/>
  <c r="K963" i="1"/>
  <c r="F5417" i="1"/>
  <c r="G5417" i="1"/>
  <c r="H5417" i="1"/>
  <c r="K5417" i="1"/>
  <c r="F4036" i="1"/>
  <c r="G4036" i="1"/>
  <c r="H4036" i="1"/>
  <c r="K4036" i="1"/>
  <c r="F964" i="1"/>
  <c r="G964" i="1"/>
  <c r="H964" i="1"/>
  <c r="K964" i="1"/>
  <c r="F4037" i="1"/>
  <c r="G4037" i="1"/>
  <c r="H4037" i="1"/>
  <c r="K4037" i="1"/>
  <c r="F965" i="1"/>
  <c r="G965" i="1"/>
  <c r="H965" i="1"/>
  <c r="K965" i="1"/>
  <c r="F966" i="1"/>
  <c r="G966" i="1"/>
  <c r="H966" i="1"/>
  <c r="K966" i="1"/>
  <c r="F967" i="1"/>
  <c r="G967" i="1"/>
  <c r="H967" i="1"/>
  <c r="K967" i="1"/>
  <c r="F4038" i="1"/>
  <c r="G4038" i="1"/>
  <c r="H4038" i="1"/>
  <c r="K4038" i="1"/>
  <c r="F5418" i="1"/>
  <c r="G5418" i="1"/>
  <c r="H5418" i="1"/>
  <c r="K5418" i="1"/>
  <c r="F968" i="1"/>
  <c r="G968" i="1"/>
  <c r="H968" i="1"/>
  <c r="K968" i="1"/>
  <c r="F5419" i="1"/>
  <c r="G5419" i="1"/>
  <c r="H5419" i="1"/>
  <c r="K5419" i="1"/>
  <c r="F969" i="1"/>
  <c r="G969" i="1"/>
  <c r="H969" i="1"/>
  <c r="K969" i="1"/>
  <c r="F4039" i="1"/>
  <c r="G4039" i="1"/>
  <c r="H4039" i="1"/>
  <c r="K4039" i="1"/>
  <c r="F2726" i="1"/>
  <c r="G2726" i="1"/>
  <c r="H2726" i="1"/>
  <c r="K2726" i="1"/>
  <c r="F970" i="1"/>
  <c r="G970" i="1"/>
  <c r="H970" i="1"/>
  <c r="K970" i="1"/>
  <c r="F971" i="1"/>
  <c r="G971" i="1"/>
  <c r="H971" i="1"/>
  <c r="K971" i="1"/>
  <c r="F5420" i="1"/>
  <c r="G5420" i="1"/>
  <c r="H5420" i="1"/>
  <c r="K5420" i="1"/>
  <c r="F2727" i="1"/>
  <c r="G2727" i="1"/>
  <c r="H2727" i="1"/>
  <c r="K2727" i="1"/>
  <c r="F972" i="1"/>
  <c r="G972" i="1"/>
  <c r="H972" i="1"/>
  <c r="K972" i="1"/>
  <c r="F5421" i="1"/>
  <c r="G5421" i="1"/>
  <c r="H5421" i="1"/>
  <c r="K5421" i="1"/>
  <c r="F5422" i="1"/>
  <c r="G5422" i="1"/>
  <c r="H5422" i="1"/>
  <c r="K5422" i="1"/>
  <c r="F2728" i="1"/>
  <c r="G2728" i="1"/>
  <c r="H2728" i="1"/>
  <c r="K2728" i="1"/>
  <c r="F5423" i="1"/>
  <c r="G5423" i="1"/>
  <c r="H5423" i="1"/>
  <c r="K5423" i="1"/>
  <c r="F6881" i="1"/>
  <c r="G6881" i="1"/>
  <c r="H6881" i="1"/>
  <c r="K6881" i="1"/>
  <c r="F5424" i="1"/>
  <c r="G5424" i="1"/>
  <c r="H5424" i="1"/>
  <c r="K5424" i="1"/>
  <c r="F4040" i="1"/>
  <c r="G4040" i="1"/>
  <c r="H4040" i="1"/>
  <c r="K4040" i="1"/>
  <c r="F4041" i="1"/>
  <c r="G4041" i="1"/>
  <c r="H4041" i="1"/>
  <c r="K4041" i="1"/>
  <c r="F2729" i="1"/>
  <c r="G2729" i="1"/>
  <c r="H2729" i="1"/>
  <c r="K2729" i="1"/>
  <c r="F2730" i="1"/>
  <c r="G2730" i="1"/>
  <c r="H2730" i="1"/>
  <c r="K2730" i="1"/>
  <c r="F2731" i="1"/>
  <c r="G2731" i="1"/>
  <c r="H2731" i="1"/>
  <c r="K2731" i="1"/>
  <c r="F2732" i="1"/>
  <c r="G2732" i="1"/>
  <c r="H2732" i="1"/>
  <c r="K2732" i="1"/>
  <c r="F6882" i="1"/>
  <c r="G6882" i="1"/>
  <c r="H6882" i="1"/>
  <c r="K6882" i="1"/>
  <c r="F6883" i="1"/>
  <c r="G6883" i="1"/>
  <c r="H6883" i="1"/>
  <c r="K6883" i="1"/>
  <c r="F973" i="1"/>
  <c r="G973" i="1"/>
  <c r="H973" i="1"/>
  <c r="K973" i="1"/>
  <c r="F6884" i="1"/>
  <c r="G6884" i="1"/>
  <c r="H6884" i="1"/>
  <c r="K6884" i="1"/>
  <c r="F4042" i="1"/>
  <c r="G4042" i="1"/>
  <c r="H4042" i="1"/>
  <c r="K4042" i="1"/>
  <c r="F4043" i="1"/>
  <c r="G4043" i="1"/>
  <c r="H4043" i="1"/>
  <c r="K4043" i="1"/>
  <c r="F5425" i="1"/>
  <c r="G5425" i="1"/>
  <c r="H5425" i="1"/>
  <c r="K5425" i="1"/>
  <c r="F5426" i="1"/>
  <c r="G5426" i="1"/>
  <c r="H5426" i="1"/>
  <c r="K5426" i="1"/>
  <c r="F5427" i="1"/>
  <c r="G5427" i="1"/>
  <c r="H5427" i="1"/>
  <c r="K5427" i="1"/>
  <c r="F974" i="1"/>
  <c r="G974" i="1"/>
  <c r="H974" i="1"/>
  <c r="K974" i="1"/>
  <c r="F5428" i="1"/>
  <c r="G5428" i="1"/>
  <c r="H5428" i="1"/>
  <c r="K5428" i="1"/>
  <c r="F2733" i="1"/>
  <c r="G2733" i="1"/>
  <c r="H2733" i="1"/>
  <c r="K2733" i="1"/>
  <c r="F6885" i="1"/>
  <c r="G6885" i="1"/>
  <c r="H6885" i="1"/>
  <c r="K6885" i="1"/>
  <c r="F6886" i="1"/>
  <c r="G6886" i="1"/>
  <c r="H6886" i="1"/>
  <c r="K6886" i="1"/>
  <c r="F5429" i="1"/>
  <c r="G5429" i="1"/>
  <c r="H5429" i="1"/>
  <c r="K5429" i="1"/>
  <c r="F5430" i="1"/>
  <c r="G5430" i="1"/>
  <c r="H5430" i="1"/>
  <c r="K5430" i="1"/>
  <c r="F5431" i="1"/>
  <c r="G5431" i="1"/>
  <c r="H5431" i="1"/>
  <c r="K5431" i="1"/>
  <c r="F4044" i="1"/>
  <c r="G4044" i="1"/>
  <c r="H4044" i="1"/>
  <c r="K4044" i="1"/>
  <c r="F6887" i="1"/>
  <c r="G6887" i="1"/>
  <c r="H6887" i="1"/>
  <c r="K6887" i="1"/>
  <c r="F6888" i="1"/>
  <c r="G6888" i="1"/>
  <c r="H6888" i="1"/>
  <c r="K6888" i="1"/>
  <c r="F5432" i="1"/>
  <c r="G5432" i="1"/>
  <c r="H5432" i="1"/>
  <c r="K5432" i="1"/>
  <c r="F5433" i="1"/>
  <c r="G5433" i="1"/>
  <c r="H5433" i="1"/>
  <c r="K5433" i="1"/>
  <c r="F4045" i="1"/>
  <c r="G4045" i="1"/>
  <c r="H4045" i="1"/>
  <c r="K4045" i="1"/>
  <c r="F975" i="1"/>
  <c r="G975" i="1"/>
  <c r="H975" i="1"/>
  <c r="K975" i="1"/>
  <c r="F976" i="1"/>
  <c r="G976" i="1"/>
  <c r="H976" i="1"/>
  <c r="K976" i="1"/>
  <c r="F2734" i="1"/>
  <c r="G2734" i="1"/>
  <c r="H2734" i="1"/>
  <c r="K2734" i="1"/>
  <c r="F2735" i="1"/>
  <c r="G2735" i="1"/>
  <c r="H2735" i="1"/>
  <c r="K2735" i="1"/>
  <c r="F6889" i="1"/>
  <c r="G6889" i="1"/>
  <c r="H6889" i="1"/>
  <c r="K6889" i="1"/>
  <c r="F4046" i="1"/>
  <c r="G4046" i="1"/>
  <c r="H4046" i="1"/>
  <c r="K4046" i="1"/>
  <c r="F2736" i="1"/>
  <c r="G2736" i="1"/>
  <c r="H2736" i="1"/>
  <c r="K2736" i="1"/>
  <c r="F6890" i="1"/>
  <c r="G6890" i="1"/>
  <c r="H6890" i="1"/>
  <c r="K6890" i="1"/>
  <c r="F5434" i="1"/>
  <c r="G5434" i="1"/>
  <c r="H5434" i="1"/>
  <c r="K5434" i="1"/>
  <c r="F4047" i="1"/>
  <c r="G4047" i="1"/>
  <c r="H4047" i="1"/>
  <c r="K4047" i="1"/>
  <c r="F6891" i="1"/>
  <c r="G6891" i="1"/>
  <c r="H6891" i="1"/>
  <c r="K6891" i="1"/>
  <c r="F5435" i="1"/>
  <c r="G5435" i="1"/>
  <c r="H5435" i="1"/>
  <c r="K5435" i="1"/>
  <c r="F977" i="1"/>
  <c r="G977" i="1"/>
  <c r="H977" i="1"/>
  <c r="K977" i="1"/>
  <c r="F6892" i="1"/>
  <c r="G6892" i="1"/>
  <c r="H6892" i="1"/>
  <c r="K6892" i="1"/>
  <c r="F2737" i="1"/>
  <c r="G2737" i="1"/>
  <c r="H2737" i="1"/>
  <c r="K2737" i="1"/>
  <c r="F5436" i="1"/>
  <c r="G5436" i="1"/>
  <c r="H5436" i="1"/>
  <c r="K5436" i="1"/>
  <c r="F6893" i="1"/>
  <c r="G6893" i="1"/>
  <c r="H6893" i="1"/>
  <c r="K6893" i="1"/>
  <c r="F2738" i="1"/>
  <c r="G2738" i="1"/>
  <c r="H2738" i="1"/>
  <c r="K2738" i="1"/>
  <c r="F6894" i="1"/>
  <c r="G6894" i="1"/>
  <c r="H6894" i="1"/>
  <c r="K6894" i="1"/>
  <c r="F2739" i="1"/>
  <c r="G2739" i="1"/>
  <c r="H2739" i="1"/>
  <c r="K2739" i="1"/>
  <c r="F978" i="1"/>
  <c r="G978" i="1"/>
  <c r="H978" i="1"/>
  <c r="K978" i="1"/>
  <c r="F979" i="1"/>
  <c r="G979" i="1"/>
  <c r="H979" i="1"/>
  <c r="K979" i="1"/>
  <c r="F980" i="1"/>
  <c r="G980" i="1"/>
  <c r="H980" i="1"/>
  <c r="K980" i="1"/>
  <c r="F6895" i="1"/>
  <c r="G6895" i="1"/>
  <c r="H6895" i="1"/>
  <c r="K6895" i="1"/>
  <c r="F2740" i="1"/>
  <c r="G2740" i="1"/>
  <c r="H2740" i="1"/>
  <c r="K2740" i="1"/>
  <c r="F981" i="1"/>
  <c r="G981" i="1"/>
  <c r="H981" i="1"/>
  <c r="K981" i="1"/>
  <c r="F6896" i="1"/>
  <c r="G6896" i="1"/>
  <c r="H6896" i="1"/>
  <c r="K6896" i="1"/>
  <c r="F2741" i="1"/>
  <c r="G2741" i="1"/>
  <c r="H2741" i="1"/>
  <c r="K2741" i="1"/>
  <c r="F982" i="1"/>
  <c r="G982" i="1"/>
  <c r="H982" i="1"/>
  <c r="K982" i="1"/>
  <c r="F2742" i="1"/>
  <c r="G2742" i="1"/>
  <c r="H2742" i="1"/>
  <c r="K2742" i="1"/>
  <c r="F983" i="1"/>
  <c r="G983" i="1"/>
  <c r="H983" i="1"/>
  <c r="K983" i="1"/>
  <c r="F6897" i="1"/>
  <c r="G6897" i="1"/>
  <c r="H6897" i="1"/>
  <c r="K6897" i="1"/>
  <c r="F5437" i="1"/>
  <c r="G5437" i="1"/>
  <c r="H5437" i="1"/>
  <c r="K5437" i="1"/>
  <c r="F5438" i="1"/>
  <c r="G5438" i="1"/>
  <c r="H5438" i="1"/>
  <c r="K5438" i="1"/>
  <c r="F2743" i="1"/>
  <c r="G2743" i="1"/>
  <c r="H2743" i="1"/>
  <c r="K2743" i="1"/>
  <c r="F6898" i="1"/>
  <c r="G6898" i="1"/>
  <c r="H6898" i="1"/>
  <c r="K6898" i="1"/>
  <c r="F984" i="1"/>
  <c r="G984" i="1"/>
  <c r="H984" i="1"/>
  <c r="K984" i="1"/>
  <c r="F6899" i="1"/>
  <c r="G6899" i="1"/>
  <c r="H6899" i="1"/>
  <c r="K6899" i="1"/>
  <c r="F4048" i="1"/>
  <c r="G4048" i="1"/>
  <c r="H4048" i="1"/>
  <c r="K4048" i="1"/>
  <c r="F6900" i="1"/>
  <c r="G6900" i="1"/>
  <c r="H6900" i="1"/>
  <c r="K6900" i="1"/>
  <c r="F6901" i="1"/>
  <c r="G6901" i="1"/>
  <c r="H6901" i="1"/>
  <c r="K6901" i="1"/>
  <c r="F5439" i="1"/>
  <c r="G5439" i="1"/>
  <c r="H5439" i="1"/>
  <c r="K5439" i="1"/>
  <c r="F4049" i="1"/>
  <c r="G4049" i="1"/>
  <c r="H4049" i="1"/>
  <c r="K4049" i="1"/>
  <c r="F4050" i="1"/>
  <c r="G4050" i="1"/>
  <c r="H4050" i="1"/>
  <c r="K4050" i="1"/>
  <c r="F985" i="1"/>
  <c r="G985" i="1"/>
  <c r="H985" i="1"/>
  <c r="K985" i="1"/>
  <c r="F5440" i="1"/>
  <c r="G5440" i="1"/>
  <c r="H5440" i="1"/>
  <c r="K5440" i="1"/>
  <c r="F5441" i="1"/>
  <c r="G5441" i="1"/>
  <c r="H5441" i="1"/>
  <c r="K5441" i="1"/>
  <c r="F6902" i="1"/>
  <c r="G6902" i="1"/>
  <c r="H6902" i="1"/>
  <c r="K6902" i="1"/>
  <c r="F5442" i="1"/>
  <c r="G5442" i="1"/>
  <c r="H5442" i="1"/>
  <c r="K5442" i="1"/>
  <c r="F6903" i="1"/>
  <c r="G6903" i="1"/>
  <c r="H6903" i="1"/>
  <c r="K6903" i="1"/>
  <c r="F6904" i="1"/>
  <c r="G6904" i="1"/>
  <c r="H6904" i="1"/>
  <c r="K6904" i="1"/>
  <c r="F4051" i="1"/>
  <c r="G4051" i="1"/>
  <c r="H4051" i="1"/>
  <c r="K4051" i="1"/>
  <c r="F6905" i="1"/>
  <c r="G6905" i="1"/>
  <c r="H6905" i="1"/>
  <c r="K6905" i="1"/>
  <c r="F2744" i="1"/>
  <c r="G2744" i="1"/>
  <c r="H2744" i="1"/>
  <c r="K2744" i="1"/>
  <c r="F986" i="1"/>
  <c r="G986" i="1"/>
  <c r="H986" i="1"/>
  <c r="K986" i="1"/>
  <c r="F987" i="1"/>
  <c r="G987" i="1"/>
  <c r="H987" i="1"/>
  <c r="K987" i="1"/>
  <c r="F5443" i="1"/>
  <c r="G5443" i="1"/>
  <c r="H5443" i="1"/>
  <c r="K5443" i="1"/>
  <c r="F988" i="1"/>
  <c r="G988" i="1"/>
  <c r="H988" i="1"/>
  <c r="K988" i="1"/>
  <c r="F6906" i="1"/>
  <c r="G6906" i="1"/>
  <c r="H6906" i="1"/>
  <c r="K6906" i="1"/>
  <c r="F989" i="1"/>
  <c r="G989" i="1"/>
  <c r="H989" i="1"/>
  <c r="K989" i="1"/>
  <c r="F6907" i="1"/>
  <c r="G6907" i="1"/>
  <c r="H6907" i="1"/>
  <c r="K6907" i="1"/>
  <c r="F5444" i="1"/>
  <c r="G5444" i="1"/>
  <c r="H5444" i="1"/>
  <c r="K5444" i="1"/>
  <c r="F990" i="1"/>
  <c r="G990" i="1"/>
  <c r="H990" i="1"/>
  <c r="K990" i="1"/>
  <c r="F2745" i="1"/>
  <c r="G2745" i="1"/>
  <c r="H2745" i="1"/>
  <c r="K2745" i="1"/>
  <c r="F6908" i="1"/>
  <c r="G6908" i="1"/>
  <c r="H6908" i="1"/>
  <c r="K6908" i="1"/>
  <c r="F991" i="1"/>
  <c r="G991" i="1"/>
  <c r="H991" i="1"/>
  <c r="K991" i="1"/>
  <c r="F992" i="1"/>
  <c r="G992" i="1"/>
  <c r="H992" i="1"/>
  <c r="K992" i="1"/>
  <c r="F4052" i="1"/>
  <c r="G4052" i="1"/>
  <c r="H4052" i="1"/>
  <c r="K4052" i="1"/>
  <c r="F6909" i="1"/>
  <c r="G6909" i="1"/>
  <c r="H6909" i="1"/>
  <c r="K6909" i="1"/>
  <c r="F6910" i="1"/>
  <c r="G6910" i="1"/>
  <c r="H6910" i="1"/>
  <c r="K6910" i="1"/>
  <c r="F5445" i="1"/>
  <c r="G5445" i="1"/>
  <c r="H5445" i="1"/>
  <c r="K5445" i="1"/>
  <c r="F4053" i="1"/>
  <c r="G4053" i="1"/>
  <c r="H4053" i="1"/>
  <c r="K4053" i="1"/>
  <c r="F6911" i="1"/>
  <c r="G6911" i="1"/>
  <c r="H6911" i="1"/>
  <c r="K6911" i="1"/>
  <c r="F2746" i="1"/>
  <c r="G2746" i="1"/>
  <c r="H2746" i="1"/>
  <c r="K2746" i="1"/>
  <c r="F2747" i="1"/>
  <c r="G2747" i="1"/>
  <c r="H2747" i="1"/>
  <c r="K2747" i="1"/>
  <c r="F4054" i="1"/>
  <c r="G4054" i="1"/>
  <c r="H4054" i="1"/>
  <c r="K4054" i="1"/>
  <c r="F2748" i="1"/>
  <c r="G2748" i="1"/>
  <c r="H2748" i="1"/>
  <c r="K2748" i="1"/>
  <c r="F993" i="1"/>
  <c r="G993" i="1"/>
  <c r="H993" i="1"/>
  <c r="K993" i="1"/>
  <c r="F5446" i="1"/>
  <c r="G5446" i="1"/>
  <c r="H5446" i="1"/>
  <c r="K5446" i="1"/>
  <c r="F2749" i="1"/>
  <c r="G2749" i="1"/>
  <c r="H2749" i="1"/>
  <c r="K2749" i="1"/>
  <c r="F4055" i="1"/>
  <c r="G4055" i="1"/>
  <c r="H4055" i="1"/>
  <c r="K4055" i="1"/>
  <c r="F4056" i="1"/>
  <c r="G4056" i="1"/>
  <c r="H4056" i="1"/>
  <c r="K4056" i="1"/>
  <c r="F6912" i="1"/>
  <c r="G6912" i="1"/>
  <c r="H6912" i="1"/>
  <c r="K6912" i="1"/>
  <c r="F6913" i="1"/>
  <c r="G6913" i="1"/>
  <c r="H6913" i="1"/>
  <c r="K6913" i="1"/>
  <c r="F994" i="1"/>
  <c r="G994" i="1"/>
  <c r="H994" i="1"/>
  <c r="K994" i="1"/>
  <c r="F4057" i="1"/>
  <c r="G4057" i="1"/>
  <c r="H4057" i="1"/>
  <c r="K4057" i="1"/>
  <c r="F995" i="1"/>
  <c r="G995" i="1"/>
  <c r="H995" i="1"/>
  <c r="K995" i="1"/>
  <c r="F996" i="1"/>
  <c r="G996" i="1"/>
  <c r="H996" i="1"/>
  <c r="K996" i="1"/>
  <c r="F6914" i="1"/>
  <c r="G6914" i="1"/>
  <c r="H6914" i="1"/>
  <c r="K6914" i="1"/>
  <c r="F6915" i="1"/>
  <c r="G6915" i="1"/>
  <c r="H6915" i="1"/>
  <c r="K6915" i="1"/>
  <c r="F5447" i="1"/>
  <c r="G5447" i="1"/>
  <c r="H5447" i="1"/>
  <c r="K5447" i="1"/>
  <c r="F5448" i="1"/>
  <c r="G5448" i="1"/>
  <c r="H5448" i="1"/>
  <c r="K5448" i="1"/>
  <c r="F5449" i="1"/>
  <c r="G5449" i="1"/>
  <c r="H5449" i="1"/>
  <c r="K5449" i="1"/>
  <c r="F6916" i="1"/>
  <c r="G6916" i="1"/>
  <c r="H6916" i="1"/>
  <c r="K6916" i="1"/>
  <c r="F6917" i="1"/>
  <c r="G6917" i="1"/>
  <c r="H6917" i="1"/>
  <c r="K6917" i="1"/>
  <c r="F997" i="1"/>
  <c r="G997" i="1"/>
  <c r="H997" i="1"/>
  <c r="K997" i="1"/>
  <c r="F6918" i="1"/>
  <c r="G6918" i="1"/>
  <c r="H6918" i="1"/>
  <c r="K6918" i="1"/>
  <c r="F2750" i="1"/>
  <c r="G2750" i="1"/>
  <c r="H2750" i="1"/>
  <c r="K2750" i="1"/>
  <c r="F6919" i="1"/>
  <c r="G6919" i="1"/>
  <c r="H6919" i="1"/>
  <c r="K6919" i="1"/>
  <c r="F4058" i="1"/>
  <c r="G4058" i="1"/>
  <c r="H4058" i="1"/>
  <c r="K4058" i="1"/>
  <c r="F998" i="1"/>
  <c r="G998" i="1"/>
  <c r="H998" i="1"/>
  <c r="K998" i="1"/>
  <c r="F2751" i="1"/>
  <c r="G2751" i="1"/>
  <c r="H2751" i="1"/>
  <c r="K2751" i="1"/>
  <c r="F6920" i="1"/>
  <c r="G6920" i="1"/>
  <c r="H6920" i="1"/>
  <c r="K6920" i="1"/>
  <c r="F5450" i="1"/>
  <c r="G5450" i="1"/>
  <c r="H5450" i="1"/>
  <c r="K5450" i="1"/>
  <c r="F6921" i="1"/>
  <c r="G6921" i="1"/>
  <c r="H6921" i="1"/>
  <c r="K6921" i="1"/>
  <c r="F999" i="1"/>
  <c r="G999" i="1"/>
  <c r="H999" i="1"/>
  <c r="K999" i="1"/>
  <c r="F6922" i="1"/>
  <c r="G6922" i="1"/>
  <c r="H6922" i="1"/>
  <c r="K6922" i="1"/>
  <c r="F1000" i="1"/>
  <c r="G1000" i="1"/>
  <c r="H1000" i="1"/>
  <c r="K1000" i="1"/>
  <c r="F5451" i="1"/>
  <c r="G5451" i="1"/>
  <c r="H5451" i="1"/>
  <c r="K5451" i="1"/>
  <c r="F2752" i="1"/>
  <c r="G2752" i="1"/>
  <c r="H2752" i="1"/>
  <c r="K2752" i="1"/>
  <c r="F6923" i="1"/>
  <c r="G6923" i="1"/>
  <c r="H6923" i="1"/>
  <c r="K6923" i="1"/>
  <c r="F1001" i="1"/>
  <c r="G1001" i="1"/>
  <c r="H1001" i="1"/>
  <c r="K1001" i="1"/>
  <c r="F2753" i="1"/>
  <c r="G2753" i="1"/>
  <c r="H2753" i="1"/>
  <c r="K2753" i="1"/>
  <c r="F5452" i="1"/>
  <c r="G5452" i="1"/>
  <c r="H5452" i="1"/>
  <c r="K5452" i="1"/>
  <c r="F6924" i="1"/>
  <c r="G6924" i="1"/>
  <c r="H6924" i="1"/>
  <c r="K6924" i="1"/>
  <c r="F6925" i="1"/>
  <c r="G6925" i="1"/>
  <c r="H6925" i="1"/>
  <c r="K6925" i="1"/>
  <c r="F2754" i="1"/>
  <c r="G2754" i="1"/>
  <c r="H2754" i="1"/>
  <c r="K2754" i="1"/>
  <c r="F1002" i="1"/>
  <c r="G1002" i="1"/>
  <c r="H1002" i="1"/>
  <c r="K1002" i="1"/>
  <c r="F5453" i="1"/>
  <c r="G5453" i="1"/>
  <c r="H5453" i="1"/>
  <c r="K5453" i="1"/>
  <c r="F1003" i="1"/>
  <c r="G1003" i="1"/>
  <c r="H1003" i="1"/>
  <c r="K1003" i="1"/>
  <c r="F6926" i="1"/>
  <c r="G6926" i="1"/>
  <c r="H6926" i="1"/>
  <c r="K6926" i="1"/>
  <c r="F6927" i="1"/>
  <c r="G6927" i="1"/>
  <c r="H6927" i="1"/>
  <c r="K6927" i="1"/>
  <c r="F1004" i="1"/>
  <c r="G1004" i="1"/>
  <c r="H1004" i="1"/>
  <c r="K1004" i="1"/>
  <c r="F1005" i="1"/>
  <c r="G1005" i="1"/>
  <c r="H1005" i="1"/>
  <c r="K1005" i="1"/>
  <c r="F2755" i="1"/>
  <c r="G2755" i="1"/>
  <c r="H2755" i="1"/>
  <c r="K2755" i="1"/>
  <c r="F6928" i="1"/>
  <c r="G6928" i="1"/>
  <c r="H6928" i="1"/>
  <c r="K6928" i="1"/>
  <c r="F6929" i="1"/>
  <c r="G6929" i="1"/>
  <c r="H6929" i="1"/>
  <c r="K6929" i="1"/>
  <c r="F6930" i="1"/>
  <c r="G6930" i="1"/>
  <c r="H6930" i="1"/>
  <c r="K6930" i="1"/>
  <c r="F5454" i="1"/>
  <c r="G5454" i="1"/>
  <c r="H5454" i="1"/>
  <c r="K5454" i="1"/>
  <c r="F1006" i="1"/>
  <c r="G1006" i="1"/>
  <c r="H1006" i="1"/>
  <c r="K1006" i="1"/>
  <c r="F6931" i="1"/>
  <c r="G6931" i="1"/>
  <c r="H6931" i="1"/>
  <c r="K6931" i="1"/>
  <c r="F1007" i="1"/>
  <c r="G1007" i="1"/>
  <c r="H1007" i="1"/>
  <c r="K1007" i="1"/>
  <c r="F4059" i="1"/>
  <c r="G4059" i="1"/>
  <c r="H4059" i="1"/>
  <c r="K4059" i="1"/>
  <c r="F2756" i="1"/>
  <c r="G2756" i="1"/>
  <c r="H2756" i="1"/>
  <c r="K2756" i="1"/>
  <c r="F4060" i="1"/>
  <c r="G4060" i="1"/>
  <c r="H4060" i="1"/>
  <c r="K4060" i="1"/>
  <c r="F5455" i="1"/>
  <c r="G5455" i="1"/>
  <c r="H5455" i="1"/>
  <c r="K5455" i="1"/>
  <c r="F1008" i="1"/>
  <c r="G1008" i="1"/>
  <c r="H1008" i="1"/>
  <c r="K1008" i="1"/>
  <c r="F6932" i="1"/>
  <c r="G6932" i="1"/>
  <c r="H6932" i="1"/>
  <c r="K6932" i="1"/>
  <c r="F6933" i="1"/>
  <c r="G6933" i="1"/>
  <c r="H6933" i="1"/>
  <c r="K6933" i="1"/>
  <c r="F5456" i="1"/>
  <c r="G5456" i="1"/>
  <c r="H5456" i="1"/>
  <c r="K5456" i="1"/>
  <c r="F2757" i="1"/>
  <c r="G2757" i="1"/>
  <c r="H2757" i="1"/>
  <c r="K2757" i="1"/>
  <c r="F1009" i="1"/>
  <c r="G1009" i="1"/>
  <c r="H1009" i="1"/>
  <c r="K1009" i="1"/>
  <c r="F4061" i="1"/>
  <c r="G4061" i="1"/>
  <c r="H4061" i="1"/>
  <c r="K4061" i="1"/>
  <c r="F4062" i="1"/>
  <c r="G4062" i="1"/>
  <c r="H4062" i="1"/>
  <c r="K4062" i="1"/>
  <c r="F4063" i="1"/>
  <c r="G4063" i="1"/>
  <c r="H4063" i="1"/>
  <c r="K4063" i="1"/>
  <c r="F4064" i="1"/>
  <c r="G4064" i="1"/>
  <c r="H4064" i="1"/>
  <c r="K4064" i="1"/>
  <c r="F4065" i="1"/>
  <c r="G4065" i="1"/>
  <c r="H4065" i="1"/>
  <c r="K4065" i="1"/>
  <c r="F4066" i="1"/>
  <c r="G4066" i="1"/>
  <c r="H4066" i="1"/>
  <c r="K4066" i="1"/>
  <c r="F4067" i="1"/>
  <c r="G4067" i="1"/>
  <c r="H4067" i="1"/>
  <c r="K4067" i="1"/>
  <c r="F4068" i="1"/>
  <c r="G4068" i="1"/>
  <c r="H4068" i="1"/>
  <c r="K4068" i="1"/>
  <c r="F4069" i="1"/>
  <c r="G4069" i="1"/>
  <c r="H4069" i="1"/>
  <c r="K4069" i="1"/>
  <c r="F4070" i="1"/>
  <c r="G4070" i="1"/>
  <c r="H4070" i="1"/>
  <c r="K4070" i="1"/>
  <c r="F4071" i="1"/>
  <c r="G4071" i="1"/>
  <c r="H4071" i="1"/>
  <c r="K4071" i="1"/>
  <c r="F1010" i="1"/>
  <c r="G1010" i="1"/>
  <c r="H1010" i="1"/>
  <c r="K1010" i="1"/>
  <c r="F1011" i="1"/>
  <c r="G1011" i="1"/>
  <c r="H1011" i="1"/>
  <c r="K1011" i="1"/>
  <c r="F5457" i="1"/>
  <c r="G5457" i="1"/>
  <c r="H5457" i="1"/>
  <c r="K5457" i="1"/>
  <c r="F1012" i="1"/>
  <c r="G1012" i="1"/>
  <c r="H1012" i="1"/>
  <c r="K1012" i="1"/>
  <c r="F1013" i="1"/>
  <c r="G1013" i="1"/>
  <c r="H1013" i="1"/>
  <c r="K1013" i="1"/>
  <c r="F4072" i="1"/>
  <c r="G4072" i="1"/>
  <c r="H4072" i="1"/>
  <c r="K4072" i="1"/>
  <c r="F1014" i="1"/>
  <c r="G1014" i="1"/>
  <c r="H1014" i="1"/>
  <c r="K1014" i="1"/>
  <c r="F6934" i="1"/>
  <c r="G6934" i="1"/>
  <c r="H6934" i="1"/>
  <c r="K6934" i="1"/>
  <c r="F1015" i="1"/>
  <c r="G1015" i="1"/>
  <c r="H1015" i="1"/>
  <c r="K1015" i="1"/>
  <c r="F5458" i="1"/>
  <c r="G5458" i="1"/>
  <c r="H5458" i="1"/>
  <c r="K5458" i="1"/>
  <c r="F1016" i="1"/>
  <c r="G1016" i="1"/>
  <c r="H1016" i="1"/>
  <c r="K1016" i="1"/>
  <c r="F1017" i="1"/>
  <c r="G1017" i="1"/>
  <c r="H1017" i="1"/>
  <c r="K1017" i="1"/>
  <c r="F1018" i="1"/>
  <c r="G1018" i="1"/>
  <c r="H1018" i="1"/>
  <c r="K1018" i="1"/>
  <c r="F1019" i="1"/>
  <c r="G1019" i="1"/>
  <c r="H1019" i="1"/>
  <c r="K1019" i="1"/>
  <c r="F5459" i="1"/>
  <c r="G5459" i="1"/>
  <c r="H5459" i="1"/>
  <c r="K5459" i="1"/>
  <c r="F4073" i="1"/>
  <c r="G4073" i="1"/>
  <c r="H4073" i="1"/>
  <c r="K4073" i="1"/>
  <c r="F4074" i="1"/>
  <c r="G4074" i="1"/>
  <c r="H4074" i="1"/>
  <c r="K4074" i="1"/>
  <c r="F1020" i="1"/>
  <c r="G1020" i="1"/>
  <c r="H1020" i="1"/>
  <c r="K1020" i="1"/>
  <c r="F4075" i="1"/>
  <c r="G4075" i="1"/>
  <c r="H4075" i="1"/>
  <c r="K4075" i="1"/>
  <c r="F5460" i="1"/>
  <c r="G5460" i="1"/>
  <c r="H5460" i="1"/>
  <c r="K5460" i="1"/>
  <c r="F2758" i="1"/>
  <c r="G2758" i="1"/>
  <c r="H2758" i="1"/>
  <c r="K2758" i="1"/>
  <c r="F6935" i="1"/>
  <c r="G6935" i="1"/>
  <c r="H6935" i="1"/>
  <c r="K6935" i="1"/>
  <c r="F1021" i="1"/>
  <c r="G1021" i="1"/>
  <c r="H1021" i="1"/>
  <c r="K1021" i="1"/>
  <c r="F4076" i="1"/>
  <c r="G4076" i="1"/>
  <c r="H4076" i="1"/>
  <c r="K4076" i="1"/>
  <c r="F2759" i="1"/>
  <c r="G2759" i="1"/>
  <c r="H2759" i="1"/>
  <c r="K2759" i="1"/>
  <c r="F6936" i="1"/>
  <c r="G6936" i="1"/>
  <c r="H6936" i="1"/>
  <c r="K6936" i="1"/>
  <c r="F6937" i="1"/>
  <c r="G6937" i="1"/>
  <c r="H6937" i="1"/>
  <c r="K6937" i="1"/>
  <c r="F5461" i="1"/>
  <c r="G5461" i="1"/>
  <c r="H5461" i="1"/>
  <c r="K5461" i="1"/>
  <c r="F5462" i="1"/>
  <c r="G5462" i="1"/>
  <c r="H5462" i="1"/>
  <c r="K5462" i="1"/>
  <c r="F4077" i="1"/>
  <c r="G4077" i="1"/>
  <c r="H4077" i="1"/>
  <c r="K4077" i="1"/>
  <c r="F6938" i="1"/>
  <c r="G6938" i="1"/>
  <c r="H6938" i="1"/>
  <c r="K6938" i="1"/>
  <c r="F4078" i="1"/>
  <c r="G4078" i="1"/>
  <c r="H4078" i="1"/>
  <c r="K4078" i="1"/>
  <c r="F6939" i="1"/>
  <c r="G6939" i="1"/>
  <c r="H6939" i="1"/>
  <c r="K6939" i="1"/>
  <c r="F1022" i="1"/>
  <c r="G1022" i="1"/>
  <c r="H1022" i="1"/>
  <c r="K1022" i="1"/>
  <c r="F1023" i="1"/>
  <c r="G1023" i="1"/>
  <c r="H1023" i="1"/>
  <c r="K1023" i="1"/>
  <c r="F2760" i="1"/>
  <c r="G2760" i="1"/>
  <c r="H2760" i="1"/>
  <c r="K2760" i="1"/>
  <c r="F1024" i="1"/>
  <c r="G1024" i="1"/>
  <c r="H1024" i="1"/>
  <c r="K1024" i="1"/>
  <c r="F5463" i="1"/>
  <c r="G5463" i="1"/>
  <c r="H5463" i="1"/>
  <c r="K5463" i="1"/>
  <c r="F6940" i="1"/>
  <c r="G6940" i="1"/>
  <c r="H6940" i="1"/>
  <c r="K6940" i="1"/>
  <c r="F6941" i="1"/>
  <c r="G6941" i="1"/>
  <c r="H6941" i="1"/>
  <c r="K6941" i="1"/>
  <c r="F2761" i="1"/>
  <c r="G2761" i="1"/>
  <c r="H2761" i="1"/>
  <c r="K2761" i="1"/>
  <c r="F4079" i="1"/>
  <c r="G4079" i="1"/>
  <c r="H4079" i="1"/>
  <c r="K4079" i="1"/>
  <c r="F6942" i="1"/>
  <c r="G6942" i="1"/>
  <c r="H6942" i="1"/>
  <c r="K6942" i="1"/>
  <c r="F4080" i="1"/>
  <c r="G4080" i="1"/>
  <c r="H4080" i="1"/>
  <c r="K4080" i="1"/>
  <c r="F1025" i="1"/>
  <c r="G1025" i="1"/>
  <c r="H1025" i="1"/>
  <c r="K1025" i="1"/>
  <c r="F1026" i="1"/>
  <c r="G1026" i="1"/>
  <c r="H1026" i="1"/>
  <c r="K1026" i="1"/>
  <c r="F1027" i="1"/>
  <c r="G1027" i="1"/>
  <c r="H1027" i="1"/>
  <c r="K1027" i="1"/>
  <c r="F1028" i="1"/>
  <c r="G1028" i="1"/>
  <c r="H1028" i="1"/>
  <c r="K1028" i="1"/>
  <c r="F1029" i="1"/>
  <c r="G1029" i="1"/>
  <c r="H1029" i="1"/>
  <c r="K1029" i="1"/>
  <c r="F1030" i="1"/>
  <c r="G1030" i="1"/>
  <c r="H1030" i="1"/>
  <c r="K1030" i="1"/>
  <c r="F1031" i="1"/>
  <c r="G1031" i="1"/>
  <c r="H1031" i="1"/>
  <c r="K1031" i="1"/>
  <c r="F4081" i="1"/>
  <c r="G4081" i="1"/>
  <c r="H4081" i="1"/>
  <c r="K4081" i="1"/>
  <c r="F4082" i="1"/>
  <c r="G4082" i="1"/>
  <c r="H4082" i="1"/>
  <c r="K4082" i="1"/>
  <c r="F4083" i="1"/>
  <c r="G4083" i="1"/>
  <c r="H4083" i="1"/>
  <c r="K4083" i="1"/>
  <c r="F4084" i="1"/>
  <c r="G4084" i="1"/>
  <c r="H4084" i="1"/>
  <c r="K4084" i="1"/>
  <c r="F4085" i="1"/>
  <c r="G4085" i="1"/>
  <c r="H4085" i="1"/>
  <c r="K4085" i="1"/>
  <c r="F4086" i="1"/>
  <c r="G4086" i="1"/>
  <c r="H4086" i="1"/>
  <c r="K4086" i="1"/>
  <c r="F4087" i="1"/>
  <c r="G4087" i="1"/>
  <c r="H4087" i="1"/>
  <c r="K4087" i="1"/>
  <c r="F2762" i="1"/>
  <c r="G2762" i="1"/>
  <c r="H2762" i="1"/>
  <c r="K2762" i="1"/>
  <c r="F2763" i="1"/>
  <c r="G2763" i="1"/>
  <c r="H2763" i="1"/>
  <c r="K2763" i="1"/>
  <c r="F2764" i="1"/>
  <c r="G2764" i="1"/>
  <c r="H2764" i="1"/>
  <c r="K2764" i="1"/>
  <c r="F2765" i="1"/>
  <c r="G2765" i="1"/>
  <c r="H2765" i="1"/>
  <c r="K2765" i="1"/>
  <c r="F2766" i="1"/>
  <c r="G2766" i="1"/>
  <c r="H2766" i="1"/>
  <c r="K2766" i="1"/>
  <c r="F2767" i="1"/>
  <c r="G2767" i="1"/>
  <c r="H2767" i="1"/>
  <c r="K2767" i="1"/>
  <c r="F4088" i="1"/>
  <c r="G4088" i="1"/>
  <c r="H4088" i="1"/>
  <c r="K4088" i="1"/>
  <c r="F4089" i="1"/>
  <c r="G4089" i="1"/>
  <c r="H4089" i="1"/>
  <c r="K4089" i="1"/>
  <c r="F4090" i="1"/>
  <c r="G4090" i="1"/>
  <c r="H4090" i="1"/>
  <c r="K4090" i="1"/>
  <c r="F4091" i="1"/>
  <c r="G4091" i="1"/>
  <c r="H4091" i="1"/>
  <c r="K4091" i="1"/>
  <c r="F4092" i="1"/>
  <c r="G4092" i="1"/>
  <c r="H4092" i="1"/>
  <c r="K4092" i="1"/>
  <c r="F1032" i="1"/>
  <c r="G1032" i="1"/>
  <c r="H1032" i="1"/>
  <c r="K1032" i="1"/>
  <c r="F1033" i="1"/>
  <c r="G1033" i="1"/>
  <c r="H1033" i="1"/>
  <c r="K1033" i="1"/>
  <c r="F1034" i="1"/>
  <c r="G1034" i="1"/>
  <c r="H1034" i="1"/>
  <c r="K1034" i="1"/>
  <c r="F1035" i="1"/>
  <c r="G1035" i="1"/>
  <c r="H1035" i="1"/>
  <c r="K1035" i="1"/>
  <c r="F1036" i="1"/>
  <c r="G1036" i="1"/>
  <c r="H1036" i="1"/>
  <c r="K1036" i="1"/>
  <c r="F4093" i="1"/>
  <c r="G4093" i="1"/>
  <c r="H4093" i="1"/>
  <c r="K4093" i="1"/>
  <c r="F1037" i="1"/>
  <c r="G1037" i="1"/>
  <c r="H1037" i="1"/>
  <c r="K1037" i="1"/>
  <c r="F1038" i="1"/>
  <c r="G1038" i="1"/>
  <c r="H1038" i="1"/>
  <c r="K1038" i="1"/>
  <c r="F1039" i="1"/>
  <c r="G1039" i="1"/>
  <c r="H1039" i="1"/>
  <c r="K1039" i="1"/>
  <c r="F1040" i="1"/>
  <c r="G1040" i="1"/>
  <c r="H1040" i="1"/>
  <c r="K1040" i="1"/>
  <c r="F5464" i="1"/>
  <c r="G5464" i="1"/>
  <c r="H5464" i="1"/>
  <c r="K5464" i="1"/>
  <c r="F1041" i="1"/>
  <c r="G1041" i="1"/>
  <c r="H1041" i="1"/>
  <c r="K1041" i="1"/>
  <c r="F4094" i="1"/>
  <c r="G4094" i="1"/>
  <c r="H4094" i="1"/>
  <c r="K4094" i="1"/>
  <c r="F6943" i="1"/>
  <c r="G6943" i="1"/>
  <c r="H6943" i="1"/>
  <c r="K6943" i="1"/>
  <c r="F1042" i="1"/>
  <c r="G1042" i="1"/>
  <c r="H1042" i="1"/>
  <c r="K1042" i="1"/>
  <c r="F1043" i="1"/>
  <c r="G1043" i="1"/>
  <c r="H1043" i="1"/>
  <c r="K1043" i="1"/>
  <c r="F2768" i="1"/>
  <c r="G2768" i="1"/>
  <c r="H2768" i="1"/>
  <c r="K2768" i="1"/>
  <c r="F2769" i="1"/>
  <c r="G2769" i="1"/>
  <c r="H2769" i="1"/>
  <c r="K2769" i="1"/>
  <c r="F6944" i="1"/>
  <c r="G6944" i="1"/>
  <c r="H6944" i="1"/>
  <c r="K6944" i="1"/>
  <c r="F6945" i="1"/>
  <c r="G6945" i="1"/>
  <c r="H6945" i="1"/>
  <c r="K6945" i="1"/>
  <c r="F5465" i="1"/>
  <c r="G5465" i="1"/>
  <c r="H5465" i="1"/>
  <c r="K5465" i="1"/>
  <c r="F5466" i="1"/>
  <c r="G5466" i="1"/>
  <c r="H5466" i="1"/>
  <c r="K5466" i="1"/>
  <c r="F4095" i="1"/>
  <c r="G4095" i="1"/>
  <c r="H4095" i="1"/>
  <c r="K4095" i="1"/>
  <c r="F4096" i="1"/>
  <c r="G4096" i="1"/>
  <c r="H4096" i="1"/>
  <c r="K4096" i="1"/>
  <c r="F6946" i="1"/>
  <c r="G6946" i="1"/>
  <c r="H6946" i="1"/>
  <c r="K6946" i="1"/>
  <c r="F1044" i="1"/>
  <c r="G1044" i="1"/>
  <c r="H1044" i="1"/>
  <c r="K1044" i="1"/>
  <c r="F5467" i="1"/>
  <c r="G5467" i="1"/>
  <c r="H5467" i="1"/>
  <c r="K5467" i="1"/>
  <c r="F2770" i="1"/>
  <c r="G2770" i="1"/>
  <c r="H2770" i="1"/>
  <c r="K2770" i="1"/>
  <c r="F5468" i="1"/>
  <c r="G5468" i="1"/>
  <c r="H5468" i="1"/>
  <c r="K5468" i="1"/>
  <c r="F5469" i="1"/>
  <c r="G5469" i="1"/>
  <c r="H5469" i="1"/>
  <c r="K5469" i="1"/>
  <c r="F5470" i="1"/>
  <c r="G5470" i="1"/>
  <c r="H5470" i="1"/>
  <c r="K5470" i="1"/>
  <c r="F5471" i="1"/>
  <c r="G5471" i="1"/>
  <c r="H5471" i="1"/>
  <c r="K5471" i="1"/>
  <c r="F1045" i="1"/>
  <c r="G1045" i="1"/>
  <c r="H1045" i="1"/>
  <c r="K1045" i="1"/>
  <c r="F4097" i="1"/>
  <c r="G4097" i="1"/>
  <c r="H4097" i="1"/>
  <c r="K4097" i="1"/>
  <c r="F4098" i="1"/>
  <c r="G4098" i="1"/>
  <c r="H4098" i="1"/>
  <c r="K4098" i="1"/>
  <c r="F2771" i="1"/>
  <c r="G2771" i="1"/>
  <c r="H2771" i="1"/>
  <c r="K2771" i="1"/>
  <c r="F2772" i="1"/>
  <c r="G2772" i="1"/>
  <c r="H2772" i="1"/>
  <c r="K2772" i="1"/>
  <c r="F2773" i="1"/>
  <c r="G2773" i="1"/>
  <c r="H2773" i="1"/>
  <c r="K2773" i="1"/>
  <c r="F5472" i="1"/>
  <c r="G5472" i="1"/>
  <c r="H5472" i="1"/>
  <c r="K5472" i="1"/>
  <c r="F5473" i="1"/>
  <c r="G5473" i="1"/>
  <c r="H5473" i="1"/>
  <c r="K5473" i="1"/>
  <c r="F6947" i="1"/>
  <c r="G6947" i="1"/>
  <c r="H6947" i="1"/>
  <c r="K6947" i="1"/>
  <c r="F6948" i="1"/>
  <c r="G6948" i="1"/>
  <c r="H6948" i="1"/>
  <c r="K6948" i="1"/>
  <c r="F4099" i="1"/>
  <c r="G4099" i="1"/>
  <c r="H4099" i="1"/>
  <c r="K4099" i="1"/>
  <c r="F6949" i="1"/>
  <c r="G6949" i="1"/>
  <c r="H6949" i="1"/>
  <c r="K6949" i="1"/>
  <c r="F5474" i="1"/>
  <c r="G5474" i="1"/>
  <c r="H5474" i="1"/>
  <c r="K5474" i="1"/>
  <c r="F1046" i="1"/>
  <c r="G1046" i="1"/>
  <c r="H1046" i="1"/>
  <c r="K1046" i="1"/>
  <c r="F5475" i="1"/>
  <c r="G5475" i="1"/>
  <c r="H5475" i="1"/>
  <c r="K5475" i="1"/>
  <c r="F4100" i="1"/>
  <c r="G4100" i="1"/>
  <c r="H4100" i="1"/>
  <c r="K4100" i="1"/>
  <c r="F6950" i="1"/>
  <c r="G6950" i="1"/>
  <c r="H6950" i="1"/>
  <c r="K6950" i="1"/>
  <c r="F6951" i="1"/>
  <c r="G6951" i="1"/>
  <c r="H6951" i="1"/>
  <c r="K6951" i="1"/>
  <c r="F4101" i="1"/>
  <c r="G4101" i="1"/>
  <c r="H4101" i="1"/>
  <c r="K4101" i="1"/>
  <c r="F5476" i="1"/>
  <c r="G5476" i="1"/>
  <c r="H5476" i="1"/>
  <c r="K5476" i="1"/>
  <c r="F6952" i="1"/>
  <c r="G6952" i="1"/>
  <c r="H6952" i="1"/>
  <c r="K6952" i="1"/>
  <c r="F2774" i="1"/>
  <c r="G2774" i="1"/>
  <c r="H2774" i="1"/>
  <c r="K2774" i="1"/>
  <c r="F1047" i="1"/>
  <c r="G1047" i="1"/>
  <c r="H1047" i="1"/>
  <c r="K1047" i="1"/>
  <c r="F6953" i="1"/>
  <c r="G6953" i="1"/>
  <c r="H6953" i="1"/>
  <c r="K6953" i="1"/>
  <c r="F6954" i="1"/>
  <c r="G6954" i="1"/>
  <c r="H6954" i="1"/>
  <c r="K6954" i="1"/>
  <c r="F4102" i="1"/>
  <c r="G4102" i="1"/>
  <c r="H4102" i="1"/>
  <c r="K4102" i="1"/>
  <c r="F1048" i="1"/>
  <c r="G1048" i="1"/>
  <c r="H1048" i="1"/>
  <c r="K1048" i="1"/>
  <c r="F1049" i="1"/>
  <c r="G1049" i="1"/>
  <c r="H1049" i="1"/>
  <c r="K1049" i="1"/>
  <c r="F5477" i="1"/>
  <c r="G5477" i="1"/>
  <c r="H5477" i="1"/>
  <c r="K5477" i="1"/>
  <c r="F6955" i="1"/>
  <c r="G6955" i="1"/>
  <c r="H6955" i="1"/>
  <c r="K6955" i="1"/>
  <c r="F6956" i="1"/>
  <c r="G6956" i="1"/>
  <c r="H6956" i="1"/>
  <c r="K6956" i="1"/>
  <c r="F6957" i="1"/>
  <c r="G6957" i="1"/>
  <c r="H6957" i="1"/>
  <c r="K6957" i="1"/>
  <c r="F2775" i="1"/>
  <c r="G2775" i="1"/>
  <c r="H2775" i="1"/>
  <c r="K2775" i="1"/>
  <c r="F6958" i="1"/>
  <c r="G6958" i="1"/>
  <c r="H6958" i="1"/>
  <c r="K6958" i="1"/>
  <c r="F2776" i="1"/>
  <c r="G2776" i="1"/>
  <c r="H2776" i="1"/>
  <c r="K2776" i="1"/>
  <c r="F1050" i="1"/>
  <c r="G1050" i="1"/>
  <c r="H1050" i="1"/>
  <c r="K1050" i="1"/>
  <c r="F4103" i="1"/>
  <c r="G4103" i="1"/>
  <c r="H4103" i="1"/>
  <c r="K4103" i="1"/>
  <c r="F4104" i="1"/>
  <c r="G4104" i="1"/>
  <c r="H4104" i="1"/>
  <c r="K4104" i="1"/>
  <c r="F1051" i="1"/>
  <c r="G1051" i="1"/>
  <c r="H1051" i="1"/>
  <c r="K1051" i="1"/>
  <c r="F5478" i="1"/>
  <c r="G5478" i="1"/>
  <c r="H5478" i="1"/>
  <c r="K5478" i="1"/>
  <c r="F5479" i="1"/>
  <c r="G5479" i="1"/>
  <c r="H5479" i="1"/>
  <c r="K5479" i="1"/>
  <c r="F6959" i="1"/>
  <c r="G6959" i="1"/>
  <c r="H6959" i="1"/>
  <c r="K6959" i="1"/>
  <c r="F6960" i="1"/>
  <c r="G6960" i="1"/>
  <c r="H6960" i="1"/>
  <c r="K6960" i="1"/>
  <c r="F4105" i="1"/>
  <c r="G4105" i="1"/>
  <c r="H4105" i="1"/>
  <c r="K4105" i="1"/>
  <c r="F1052" i="1"/>
  <c r="G1052" i="1"/>
  <c r="H1052" i="1"/>
  <c r="K1052" i="1"/>
  <c r="F5480" i="1"/>
  <c r="G5480" i="1"/>
  <c r="H5480" i="1"/>
  <c r="K5480" i="1"/>
  <c r="F1053" i="1"/>
  <c r="G1053" i="1"/>
  <c r="H1053" i="1"/>
  <c r="K1053" i="1"/>
  <c r="F6961" i="1"/>
  <c r="G6961" i="1"/>
  <c r="H6961" i="1"/>
  <c r="K6961" i="1"/>
  <c r="F6962" i="1"/>
  <c r="G6962" i="1"/>
  <c r="H6962" i="1"/>
  <c r="K6962" i="1"/>
  <c r="F6963" i="1"/>
  <c r="G6963" i="1"/>
  <c r="H6963" i="1"/>
  <c r="K6963" i="1"/>
  <c r="F6964" i="1"/>
  <c r="G6964" i="1"/>
  <c r="H6964" i="1"/>
  <c r="K6964" i="1"/>
  <c r="F6965" i="1"/>
  <c r="G6965" i="1"/>
  <c r="H6965" i="1"/>
  <c r="K6965" i="1"/>
  <c r="F6966" i="1"/>
  <c r="G6966" i="1"/>
  <c r="H6966" i="1"/>
  <c r="K6966" i="1"/>
  <c r="F6967" i="1"/>
  <c r="G6967" i="1"/>
  <c r="H6967" i="1"/>
  <c r="K6967" i="1"/>
  <c r="F5481" i="1"/>
  <c r="G5481" i="1"/>
  <c r="H5481" i="1"/>
  <c r="K5481" i="1"/>
  <c r="F5482" i="1"/>
  <c r="G5482" i="1"/>
  <c r="H5482" i="1"/>
  <c r="K5482" i="1"/>
  <c r="F4106" i="1"/>
  <c r="G4106" i="1"/>
  <c r="H4106" i="1"/>
  <c r="K4106" i="1"/>
  <c r="F2777" i="1"/>
  <c r="G2777" i="1"/>
  <c r="H2777" i="1"/>
  <c r="K2777" i="1"/>
  <c r="F2778" i="1"/>
  <c r="G2778" i="1"/>
  <c r="H2778" i="1"/>
  <c r="K2778" i="1"/>
  <c r="F4107" i="1"/>
  <c r="G4107" i="1"/>
  <c r="H4107" i="1"/>
  <c r="K4107" i="1"/>
  <c r="F5483" i="1"/>
  <c r="G5483" i="1"/>
  <c r="H5483" i="1"/>
  <c r="K5483" i="1"/>
  <c r="F6968" i="1"/>
  <c r="G6968" i="1"/>
  <c r="H6968" i="1"/>
  <c r="K6968" i="1"/>
  <c r="F5484" i="1"/>
  <c r="G5484" i="1"/>
  <c r="H5484" i="1"/>
  <c r="K5484" i="1"/>
  <c r="F4108" i="1"/>
  <c r="G4108" i="1"/>
  <c r="H4108" i="1"/>
  <c r="K4108" i="1"/>
  <c r="F4109" i="1"/>
  <c r="G4109" i="1"/>
  <c r="H4109" i="1"/>
  <c r="K4109" i="1"/>
  <c r="F5485" i="1"/>
  <c r="G5485" i="1"/>
  <c r="H5485" i="1"/>
  <c r="K5485" i="1"/>
  <c r="F5486" i="1"/>
  <c r="G5486" i="1"/>
  <c r="H5486" i="1"/>
  <c r="K5486" i="1"/>
  <c r="F4110" i="1"/>
  <c r="G4110" i="1"/>
  <c r="H4110" i="1"/>
  <c r="K4110" i="1"/>
  <c r="F4111" i="1"/>
  <c r="G4111" i="1"/>
  <c r="H4111" i="1"/>
  <c r="K4111" i="1"/>
  <c r="F4112" i="1"/>
  <c r="G4112" i="1"/>
  <c r="H4112" i="1"/>
  <c r="K4112" i="1"/>
  <c r="F5487" i="1"/>
  <c r="G5487" i="1"/>
  <c r="H5487" i="1"/>
  <c r="K5487" i="1"/>
  <c r="F4113" i="1"/>
  <c r="G4113" i="1"/>
  <c r="H4113" i="1"/>
  <c r="K4113" i="1"/>
  <c r="F6969" i="1"/>
  <c r="G6969" i="1"/>
  <c r="H6969" i="1"/>
  <c r="K6969" i="1"/>
  <c r="F6970" i="1"/>
  <c r="G6970" i="1"/>
  <c r="H6970" i="1"/>
  <c r="K6970" i="1"/>
  <c r="F6971" i="1"/>
  <c r="G6971" i="1"/>
  <c r="H6971" i="1"/>
  <c r="K6971" i="1"/>
  <c r="F1054" i="1"/>
  <c r="G1054" i="1"/>
  <c r="H1054" i="1"/>
  <c r="K1054" i="1"/>
  <c r="F2779" i="1"/>
  <c r="G2779" i="1"/>
  <c r="H2779" i="1"/>
  <c r="K2779" i="1"/>
  <c r="F5488" i="1"/>
  <c r="G5488" i="1"/>
  <c r="H5488" i="1"/>
  <c r="K5488" i="1"/>
  <c r="F4114" i="1"/>
  <c r="G4114" i="1"/>
  <c r="H4114" i="1"/>
  <c r="K4114" i="1"/>
  <c r="F2780" i="1"/>
  <c r="G2780" i="1"/>
  <c r="H2780" i="1"/>
  <c r="K2780" i="1"/>
  <c r="F1055" i="1"/>
  <c r="G1055" i="1"/>
  <c r="H1055" i="1"/>
  <c r="K1055" i="1"/>
  <c r="F6972" i="1"/>
  <c r="G6972" i="1"/>
  <c r="H6972" i="1"/>
  <c r="K6972" i="1"/>
  <c r="F6973" i="1"/>
  <c r="G6973" i="1"/>
  <c r="H6973" i="1"/>
  <c r="K6973" i="1"/>
  <c r="F6974" i="1"/>
  <c r="G6974" i="1"/>
  <c r="H6974" i="1"/>
  <c r="K6974" i="1"/>
  <c r="F5489" i="1"/>
  <c r="G5489" i="1"/>
  <c r="H5489" i="1"/>
  <c r="K5489" i="1"/>
  <c r="F6975" i="1"/>
  <c r="G6975" i="1"/>
  <c r="H6975" i="1"/>
  <c r="K6975" i="1"/>
  <c r="F1056" i="1"/>
  <c r="G1056" i="1"/>
  <c r="H1056" i="1"/>
  <c r="K1056" i="1"/>
  <c r="F5490" i="1"/>
  <c r="G5490" i="1"/>
  <c r="H5490" i="1"/>
  <c r="K5490" i="1"/>
  <c r="F1057" i="1"/>
  <c r="G1057" i="1"/>
  <c r="H1057" i="1"/>
  <c r="K1057" i="1"/>
  <c r="F4115" i="1"/>
  <c r="G4115" i="1"/>
  <c r="H4115" i="1"/>
  <c r="K4115" i="1"/>
  <c r="F2781" i="1"/>
  <c r="G2781" i="1"/>
  <c r="H2781" i="1"/>
  <c r="K2781" i="1"/>
  <c r="F1058" i="1"/>
  <c r="G1058" i="1"/>
  <c r="H1058" i="1"/>
  <c r="K1058" i="1"/>
  <c r="F1059" i="1"/>
  <c r="G1059" i="1"/>
  <c r="H1059" i="1"/>
  <c r="K1059" i="1"/>
  <c r="F6976" i="1"/>
  <c r="G6976" i="1"/>
  <c r="H6976" i="1"/>
  <c r="K6976" i="1"/>
  <c r="F1060" i="1"/>
  <c r="G1060" i="1"/>
  <c r="H1060" i="1"/>
  <c r="K1060" i="1"/>
  <c r="F5491" i="1"/>
  <c r="G5491" i="1"/>
  <c r="H5491" i="1"/>
  <c r="K5491" i="1"/>
  <c r="F4116" i="1"/>
  <c r="G4116" i="1"/>
  <c r="H4116" i="1"/>
  <c r="K4116" i="1"/>
  <c r="F4117" i="1"/>
  <c r="G4117" i="1"/>
  <c r="H4117" i="1"/>
  <c r="K4117" i="1"/>
  <c r="F5492" i="1"/>
  <c r="G5492" i="1"/>
  <c r="H5492" i="1"/>
  <c r="K5492" i="1"/>
  <c r="F6977" i="1"/>
  <c r="G6977" i="1"/>
  <c r="H6977" i="1"/>
  <c r="K6977" i="1"/>
  <c r="F6978" i="1"/>
  <c r="G6978" i="1"/>
  <c r="H6978" i="1"/>
  <c r="K6978" i="1"/>
  <c r="F6979" i="1"/>
  <c r="G6979" i="1"/>
  <c r="H6979" i="1"/>
  <c r="K6979" i="1"/>
  <c r="F5493" i="1"/>
  <c r="G5493" i="1"/>
  <c r="H5493" i="1"/>
  <c r="K5493" i="1"/>
  <c r="F2782" i="1"/>
  <c r="G2782" i="1"/>
  <c r="H2782" i="1"/>
  <c r="K2782" i="1"/>
  <c r="F1061" i="1"/>
  <c r="G1061" i="1"/>
  <c r="H1061" i="1"/>
  <c r="K1061" i="1"/>
  <c r="F5494" i="1"/>
  <c r="G5494" i="1"/>
  <c r="H5494" i="1"/>
  <c r="K5494" i="1"/>
  <c r="F2783" i="1"/>
  <c r="G2783" i="1"/>
  <c r="H2783" i="1"/>
  <c r="K2783" i="1"/>
  <c r="F5495" i="1"/>
  <c r="G5495" i="1"/>
  <c r="H5495" i="1"/>
  <c r="K5495" i="1"/>
  <c r="F4118" i="1"/>
  <c r="G4118" i="1"/>
  <c r="H4118" i="1"/>
  <c r="K4118" i="1"/>
  <c r="F2784" i="1"/>
  <c r="G2784" i="1"/>
  <c r="H2784" i="1"/>
  <c r="K2784" i="1"/>
  <c r="F2785" i="1"/>
  <c r="G2785" i="1"/>
  <c r="H2785" i="1"/>
  <c r="K2785" i="1"/>
  <c r="F2786" i="1"/>
  <c r="G2786" i="1"/>
  <c r="H2786" i="1"/>
  <c r="K2786" i="1"/>
  <c r="F2787" i="1"/>
  <c r="G2787" i="1"/>
  <c r="H2787" i="1"/>
  <c r="K2787" i="1"/>
  <c r="F5496" i="1"/>
  <c r="G5496" i="1"/>
  <c r="H5496" i="1"/>
  <c r="K5496" i="1"/>
  <c r="F5497" i="1"/>
  <c r="G5497" i="1"/>
  <c r="H5497" i="1"/>
  <c r="K5497" i="1"/>
  <c r="F4119" i="1"/>
  <c r="G4119" i="1"/>
  <c r="H4119" i="1"/>
  <c r="K4119" i="1"/>
  <c r="F1062" i="1"/>
  <c r="G1062" i="1"/>
  <c r="H1062" i="1"/>
  <c r="K1062" i="1"/>
  <c r="F1063" i="1"/>
  <c r="G1063" i="1"/>
  <c r="H1063" i="1"/>
  <c r="K1063" i="1"/>
  <c r="F1064" i="1"/>
  <c r="G1064" i="1"/>
  <c r="H1064" i="1"/>
  <c r="K1064" i="1"/>
  <c r="F5498" i="1"/>
  <c r="G5498" i="1"/>
  <c r="H5498" i="1"/>
  <c r="K5498" i="1"/>
  <c r="F1065" i="1"/>
  <c r="G1065" i="1"/>
  <c r="H1065" i="1"/>
  <c r="K1065" i="1"/>
  <c r="F2788" i="1"/>
  <c r="G2788" i="1"/>
  <c r="H2788" i="1"/>
  <c r="K2788" i="1"/>
  <c r="F1066" i="1"/>
  <c r="G1066" i="1"/>
  <c r="H1066" i="1"/>
  <c r="K1066" i="1"/>
  <c r="F2789" i="1"/>
  <c r="G2789" i="1"/>
  <c r="H2789" i="1"/>
  <c r="K2789" i="1"/>
  <c r="F2790" i="1"/>
  <c r="G2790" i="1"/>
  <c r="H2790" i="1"/>
  <c r="K2790" i="1"/>
  <c r="F1067" i="1"/>
  <c r="G1067" i="1"/>
  <c r="H1067" i="1"/>
  <c r="K1067" i="1"/>
  <c r="F1068" i="1"/>
  <c r="G1068" i="1"/>
  <c r="H1068" i="1"/>
  <c r="K1068" i="1"/>
  <c r="F4120" i="1"/>
  <c r="G4120" i="1"/>
  <c r="H4120" i="1"/>
  <c r="K4120" i="1"/>
  <c r="F1069" i="1"/>
  <c r="G1069" i="1"/>
  <c r="H1069" i="1"/>
  <c r="K1069" i="1"/>
  <c r="F4121" i="1"/>
  <c r="G4121" i="1"/>
  <c r="H4121" i="1"/>
  <c r="K4121" i="1"/>
  <c r="F1070" i="1"/>
  <c r="G1070" i="1"/>
  <c r="H1070" i="1"/>
  <c r="K1070" i="1"/>
  <c r="F1071" i="1"/>
  <c r="G1071" i="1"/>
  <c r="H1071" i="1"/>
  <c r="K1071" i="1"/>
  <c r="F6980" i="1"/>
  <c r="G6980" i="1"/>
  <c r="H6980" i="1"/>
  <c r="K6980" i="1"/>
  <c r="F2791" i="1"/>
  <c r="G2791" i="1"/>
  <c r="H2791" i="1"/>
  <c r="K2791" i="1"/>
  <c r="F4122" i="1"/>
  <c r="G4122" i="1"/>
  <c r="H4122" i="1"/>
  <c r="K4122" i="1"/>
  <c r="F6981" i="1"/>
  <c r="G6981" i="1"/>
  <c r="H6981" i="1"/>
  <c r="K6981" i="1"/>
  <c r="F1072" i="1"/>
  <c r="G1072" i="1"/>
  <c r="H1072" i="1"/>
  <c r="K1072" i="1"/>
  <c r="F1073" i="1"/>
  <c r="G1073" i="1"/>
  <c r="H1073" i="1"/>
  <c r="K1073" i="1"/>
  <c r="F5499" i="1"/>
  <c r="G5499" i="1"/>
  <c r="H5499" i="1"/>
  <c r="K5499" i="1"/>
  <c r="F6982" i="1"/>
  <c r="G6982" i="1"/>
  <c r="H6982" i="1"/>
  <c r="K6982" i="1"/>
  <c r="F5500" i="1"/>
  <c r="G5500" i="1"/>
  <c r="H5500" i="1"/>
  <c r="K5500" i="1"/>
  <c r="F4123" i="1"/>
  <c r="G4123" i="1"/>
  <c r="H4123" i="1"/>
  <c r="K4123" i="1"/>
  <c r="F1074" i="1"/>
  <c r="G1074" i="1"/>
  <c r="H1074" i="1"/>
  <c r="K1074" i="1"/>
  <c r="F6983" i="1"/>
  <c r="G6983" i="1"/>
  <c r="H6983" i="1"/>
  <c r="K6983" i="1"/>
  <c r="F6984" i="1"/>
  <c r="G6984" i="1"/>
  <c r="H6984" i="1"/>
  <c r="K6984" i="1"/>
  <c r="F1075" i="1"/>
  <c r="G1075" i="1"/>
  <c r="H1075" i="1"/>
  <c r="K1075" i="1"/>
  <c r="F6985" i="1"/>
  <c r="G6985" i="1"/>
  <c r="H6985" i="1"/>
  <c r="K6985" i="1"/>
  <c r="F4124" i="1"/>
  <c r="G4124" i="1"/>
  <c r="H4124" i="1"/>
  <c r="K4124" i="1"/>
  <c r="F6986" i="1"/>
  <c r="G6986" i="1"/>
  <c r="H6986" i="1"/>
  <c r="K6986" i="1"/>
  <c r="F4125" i="1"/>
  <c r="G4125" i="1"/>
  <c r="H4125" i="1"/>
  <c r="K4125" i="1"/>
  <c r="F4126" i="1"/>
  <c r="G4126" i="1"/>
  <c r="H4126" i="1"/>
  <c r="K4126" i="1"/>
  <c r="F6987" i="1"/>
  <c r="G6987" i="1"/>
  <c r="H6987" i="1"/>
  <c r="K6987" i="1"/>
  <c r="F4127" i="1"/>
  <c r="G4127" i="1"/>
  <c r="H4127" i="1"/>
  <c r="K4127" i="1"/>
  <c r="F4128" i="1"/>
  <c r="G4128" i="1"/>
  <c r="H4128" i="1"/>
  <c r="K4128" i="1"/>
  <c r="F1076" i="1"/>
  <c r="G1076" i="1"/>
  <c r="H1076" i="1"/>
  <c r="K1076" i="1"/>
  <c r="F6988" i="1"/>
  <c r="G6988" i="1"/>
  <c r="H6988" i="1"/>
  <c r="K6988" i="1"/>
  <c r="F6989" i="1"/>
  <c r="G6989" i="1"/>
  <c r="H6989" i="1"/>
  <c r="K6989" i="1"/>
  <c r="F6990" i="1"/>
  <c r="G6990" i="1"/>
  <c r="H6990" i="1"/>
  <c r="K6990" i="1"/>
  <c r="F6991" i="1"/>
  <c r="G6991" i="1"/>
  <c r="H6991" i="1"/>
  <c r="K6991" i="1"/>
  <c r="F1077" i="1"/>
  <c r="G1077" i="1"/>
  <c r="H1077" i="1"/>
  <c r="K1077" i="1"/>
  <c r="F1078" i="1"/>
  <c r="G1078" i="1"/>
  <c r="H1078" i="1"/>
  <c r="K1078" i="1"/>
  <c r="F2792" i="1"/>
  <c r="G2792" i="1"/>
  <c r="H2792" i="1"/>
  <c r="K2792" i="1"/>
  <c r="F1079" i="1"/>
  <c r="G1079" i="1"/>
  <c r="H1079" i="1"/>
  <c r="K1079" i="1"/>
  <c r="F1080" i="1"/>
  <c r="G1080" i="1"/>
  <c r="H1080" i="1"/>
  <c r="K1080" i="1"/>
  <c r="F4129" i="1"/>
  <c r="G4129" i="1"/>
  <c r="H4129" i="1"/>
  <c r="K4129" i="1"/>
  <c r="F4130" i="1"/>
  <c r="G4130" i="1"/>
  <c r="H4130" i="1"/>
  <c r="K4130" i="1"/>
  <c r="F4131" i="1"/>
  <c r="G4131" i="1"/>
  <c r="H4131" i="1"/>
  <c r="K4131" i="1"/>
  <c r="F6992" i="1"/>
  <c r="G6992" i="1"/>
  <c r="H6992" i="1"/>
  <c r="K6992" i="1"/>
  <c r="F1081" i="1"/>
  <c r="G1081" i="1"/>
  <c r="H1081" i="1"/>
  <c r="K1081" i="1"/>
  <c r="F6993" i="1"/>
  <c r="G6993" i="1"/>
  <c r="H6993" i="1"/>
  <c r="K6993" i="1"/>
  <c r="F4132" i="1"/>
  <c r="G4132" i="1"/>
  <c r="H4132" i="1"/>
  <c r="K4132" i="1"/>
  <c r="F6994" i="1"/>
  <c r="G6994" i="1"/>
  <c r="H6994" i="1"/>
  <c r="K6994" i="1"/>
  <c r="F6995" i="1"/>
  <c r="G6995" i="1"/>
  <c r="H6995" i="1"/>
  <c r="K6995" i="1"/>
  <c r="F4133" i="1"/>
  <c r="G4133" i="1"/>
  <c r="H4133" i="1"/>
  <c r="K4133" i="1"/>
  <c r="F4134" i="1"/>
  <c r="G4134" i="1"/>
  <c r="H4134" i="1"/>
  <c r="K4134" i="1"/>
  <c r="F1082" i="1"/>
  <c r="G1082" i="1"/>
  <c r="H1082" i="1"/>
  <c r="K1082" i="1"/>
  <c r="F4135" i="1"/>
  <c r="G4135" i="1"/>
  <c r="H4135" i="1"/>
  <c r="K4135" i="1"/>
  <c r="F1083" i="1"/>
  <c r="G1083" i="1"/>
  <c r="H1083" i="1"/>
  <c r="K1083" i="1"/>
  <c r="F1084" i="1"/>
  <c r="G1084" i="1"/>
  <c r="H1084" i="1"/>
  <c r="K1084" i="1"/>
  <c r="F1085" i="1"/>
  <c r="G1085" i="1"/>
  <c r="H1085" i="1"/>
  <c r="K1085" i="1"/>
  <c r="F1086" i="1"/>
  <c r="G1086" i="1"/>
  <c r="H1086" i="1"/>
  <c r="K1086" i="1"/>
  <c r="F1087" i="1"/>
  <c r="G1087" i="1"/>
  <c r="H1087" i="1"/>
  <c r="K1087" i="1"/>
  <c r="F1088" i="1"/>
  <c r="G1088" i="1"/>
  <c r="H1088" i="1"/>
  <c r="K1088" i="1"/>
  <c r="F1089" i="1"/>
  <c r="G1089" i="1"/>
  <c r="H1089" i="1"/>
  <c r="K1089" i="1"/>
  <c r="F2793" i="1"/>
  <c r="G2793" i="1"/>
  <c r="H2793" i="1"/>
  <c r="K2793" i="1"/>
  <c r="F2794" i="1"/>
  <c r="G2794" i="1"/>
  <c r="H2794" i="1"/>
  <c r="K2794" i="1"/>
  <c r="F4136" i="1"/>
  <c r="G4136" i="1"/>
  <c r="H4136" i="1"/>
  <c r="K4136" i="1"/>
  <c r="F2795" i="1"/>
  <c r="G2795" i="1"/>
  <c r="H2795" i="1"/>
  <c r="K2795" i="1"/>
  <c r="F5501" i="1"/>
  <c r="G5501" i="1"/>
  <c r="H5501" i="1"/>
  <c r="K5501" i="1"/>
  <c r="F1090" i="1"/>
  <c r="G1090" i="1"/>
  <c r="H1090" i="1"/>
  <c r="K1090" i="1"/>
  <c r="F4137" i="1"/>
  <c r="G4137" i="1"/>
  <c r="H4137" i="1"/>
  <c r="K4137" i="1"/>
  <c r="F4138" i="1"/>
  <c r="G4138" i="1"/>
  <c r="H4138" i="1"/>
  <c r="K4138" i="1"/>
  <c r="F6996" i="1"/>
  <c r="G6996" i="1"/>
  <c r="H6996" i="1"/>
  <c r="K6996" i="1"/>
  <c r="F4139" i="1"/>
  <c r="G4139" i="1"/>
  <c r="H4139" i="1"/>
  <c r="K4139" i="1"/>
  <c r="F1091" i="1"/>
  <c r="G1091" i="1"/>
  <c r="H1091" i="1"/>
  <c r="K1091" i="1"/>
  <c r="F1092" i="1"/>
  <c r="G1092" i="1"/>
  <c r="H1092" i="1"/>
  <c r="K1092" i="1"/>
  <c r="F6997" i="1"/>
  <c r="G6997" i="1"/>
  <c r="H6997" i="1"/>
  <c r="K6997" i="1"/>
  <c r="F2796" i="1"/>
  <c r="G2796" i="1"/>
  <c r="H2796" i="1"/>
  <c r="K2796" i="1"/>
  <c r="F2797" i="1"/>
  <c r="G2797" i="1"/>
  <c r="H2797" i="1"/>
  <c r="K2797" i="1"/>
  <c r="F2798" i="1"/>
  <c r="G2798" i="1"/>
  <c r="H2798" i="1"/>
  <c r="K2798" i="1"/>
  <c r="F4140" i="1"/>
  <c r="G4140" i="1"/>
  <c r="H4140" i="1"/>
  <c r="K4140" i="1"/>
  <c r="F4141" i="1"/>
  <c r="G4141" i="1"/>
  <c r="H4141" i="1"/>
  <c r="K4141" i="1"/>
  <c r="F5502" i="1"/>
  <c r="G5502" i="1"/>
  <c r="H5502" i="1"/>
  <c r="K5502" i="1"/>
  <c r="F2799" i="1"/>
  <c r="G2799" i="1"/>
  <c r="H2799" i="1"/>
  <c r="K2799" i="1"/>
  <c r="F5503" i="1"/>
  <c r="G5503" i="1"/>
  <c r="H5503" i="1"/>
  <c r="K5503" i="1"/>
  <c r="F1093" i="1"/>
  <c r="G1093" i="1"/>
  <c r="H1093" i="1"/>
  <c r="K1093" i="1"/>
  <c r="F6998" i="1"/>
  <c r="G6998" i="1"/>
  <c r="H6998" i="1"/>
  <c r="K6998" i="1"/>
  <c r="F5504" i="1"/>
  <c r="G5504" i="1"/>
  <c r="H5504" i="1"/>
  <c r="K5504" i="1"/>
  <c r="F1094" i="1"/>
  <c r="G1094" i="1"/>
  <c r="H1094" i="1"/>
  <c r="K1094" i="1"/>
  <c r="F1095" i="1"/>
  <c r="G1095" i="1"/>
  <c r="H1095" i="1"/>
  <c r="K1095" i="1"/>
  <c r="F1096" i="1"/>
  <c r="G1096" i="1"/>
  <c r="H1096" i="1"/>
  <c r="K1096" i="1"/>
  <c r="F1097" i="1"/>
  <c r="G1097" i="1"/>
  <c r="H1097" i="1"/>
  <c r="K1097" i="1"/>
  <c r="F6999" i="1"/>
  <c r="G6999" i="1"/>
  <c r="H6999" i="1"/>
  <c r="K6999" i="1"/>
  <c r="F7000" i="1"/>
  <c r="G7000" i="1"/>
  <c r="H7000" i="1"/>
  <c r="K7000" i="1"/>
  <c r="F7001" i="1"/>
  <c r="G7001" i="1"/>
  <c r="H7001" i="1"/>
  <c r="K7001" i="1"/>
  <c r="F1098" i="1"/>
  <c r="G1098" i="1"/>
  <c r="H1098" i="1"/>
  <c r="K1098" i="1"/>
  <c r="F5505" i="1"/>
  <c r="G5505" i="1"/>
  <c r="H5505" i="1"/>
  <c r="K5505" i="1"/>
  <c r="F5506" i="1"/>
  <c r="G5506" i="1"/>
  <c r="H5506" i="1"/>
  <c r="K5506" i="1"/>
  <c r="F7002" i="1"/>
  <c r="G7002" i="1"/>
  <c r="H7002" i="1"/>
  <c r="K7002" i="1"/>
  <c r="F1099" i="1"/>
  <c r="G1099" i="1"/>
  <c r="H1099" i="1"/>
  <c r="K1099" i="1"/>
  <c r="F2800" i="1"/>
  <c r="G2800" i="1"/>
  <c r="H2800" i="1"/>
  <c r="K2800" i="1"/>
  <c r="F7003" i="1"/>
  <c r="G7003" i="1"/>
  <c r="H7003" i="1"/>
  <c r="K7003" i="1"/>
  <c r="F1100" i="1"/>
  <c r="G1100" i="1"/>
  <c r="H1100" i="1"/>
  <c r="K1100" i="1"/>
  <c r="F1101" i="1"/>
  <c r="G1101" i="1"/>
  <c r="H1101" i="1"/>
  <c r="K1101" i="1"/>
  <c r="F5507" i="1"/>
  <c r="G5507" i="1"/>
  <c r="H5507" i="1"/>
  <c r="K5507" i="1"/>
  <c r="F2801" i="1"/>
  <c r="G2801" i="1"/>
  <c r="H2801" i="1"/>
  <c r="K2801" i="1"/>
  <c r="F7004" i="1"/>
  <c r="G7004" i="1"/>
  <c r="H7004" i="1"/>
  <c r="K7004" i="1"/>
  <c r="F4142" i="1"/>
  <c r="G4142" i="1"/>
  <c r="H4142" i="1"/>
  <c r="K4142" i="1"/>
  <c r="F2802" i="1"/>
  <c r="G2802" i="1"/>
  <c r="H2802" i="1"/>
  <c r="K2802" i="1"/>
  <c r="F1102" i="1"/>
  <c r="G1102" i="1"/>
  <c r="H1102" i="1"/>
  <c r="K1102" i="1"/>
  <c r="F4143" i="1"/>
  <c r="G4143" i="1"/>
  <c r="H4143" i="1"/>
  <c r="K4143" i="1"/>
  <c r="F7005" i="1"/>
  <c r="G7005" i="1"/>
  <c r="H7005" i="1"/>
  <c r="K7005" i="1"/>
  <c r="F7006" i="1"/>
  <c r="G7006" i="1"/>
  <c r="H7006" i="1"/>
  <c r="K7006" i="1"/>
  <c r="F7007" i="1"/>
  <c r="G7007" i="1"/>
  <c r="H7007" i="1"/>
  <c r="K7007" i="1"/>
  <c r="F1103" i="1"/>
  <c r="G1103" i="1"/>
  <c r="H1103" i="1"/>
  <c r="K1103" i="1"/>
  <c r="F1104" i="1"/>
  <c r="G1104" i="1"/>
  <c r="H1104" i="1"/>
  <c r="K1104" i="1"/>
  <c r="F5508" i="1"/>
  <c r="G5508" i="1"/>
  <c r="H5508" i="1"/>
  <c r="K5508" i="1"/>
  <c r="F5509" i="1"/>
  <c r="G5509" i="1"/>
  <c r="H5509" i="1"/>
  <c r="K5509" i="1"/>
  <c r="F1105" i="1"/>
  <c r="G1105" i="1"/>
  <c r="H1105" i="1"/>
  <c r="K1105" i="1"/>
  <c r="F1106" i="1"/>
  <c r="G1106" i="1"/>
  <c r="H1106" i="1"/>
  <c r="K1106" i="1"/>
  <c r="F5510" i="1"/>
  <c r="G5510" i="1"/>
  <c r="H5510" i="1"/>
  <c r="K5510" i="1"/>
  <c r="F1107" i="1"/>
  <c r="G1107" i="1"/>
  <c r="H1107" i="1"/>
  <c r="K1107" i="1"/>
  <c r="F2803" i="1"/>
  <c r="G2803" i="1"/>
  <c r="H2803" i="1"/>
  <c r="K2803" i="1"/>
  <c r="F4144" i="1"/>
  <c r="G4144" i="1"/>
  <c r="H4144" i="1"/>
  <c r="K4144" i="1"/>
  <c r="F5511" i="1"/>
  <c r="G5511" i="1"/>
  <c r="H5511" i="1"/>
  <c r="K5511" i="1"/>
  <c r="F5512" i="1"/>
  <c r="G5512" i="1"/>
  <c r="H5512" i="1"/>
  <c r="K5512" i="1"/>
  <c r="F1108" i="1"/>
  <c r="G1108" i="1"/>
  <c r="H1108" i="1"/>
  <c r="K1108" i="1"/>
  <c r="F7008" i="1"/>
  <c r="G7008" i="1"/>
  <c r="H7008" i="1"/>
  <c r="K7008" i="1"/>
  <c r="F1109" i="1"/>
  <c r="G1109" i="1"/>
  <c r="H1109" i="1"/>
  <c r="K1109" i="1"/>
  <c r="F1110" i="1"/>
  <c r="G1110" i="1"/>
  <c r="H1110" i="1"/>
  <c r="K1110" i="1"/>
  <c r="F4145" i="1"/>
  <c r="G4145" i="1"/>
  <c r="H4145" i="1"/>
  <c r="K4145" i="1"/>
  <c r="F5513" i="1"/>
  <c r="G5513" i="1"/>
  <c r="H5513" i="1"/>
  <c r="K5513" i="1"/>
  <c r="F5514" i="1"/>
  <c r="G5514" i="1"/>
  <c r="H5514" i="1"/>
  <c r="K5514" i="1"/>
  <c r="F7009" i="1"/>
  <c r="G7009" i="1"/>
  <c r="H7009" i="1"/>
  <c r="K7009" i="1"/>
  <c r="F5515" i="1"/>
  <c r="G5515" i="1"/>
  <c r="H5515" i="1"/>
  <c r="K5515" i="1"/>
  <c r="F5516" i="1"/>
  <c r="G5516" i="1"/>
  <c r="H5516" i="1"/>
  <c r="K5516" i="1"/>
  <c r="F1111" i="1"/>
  <c r="G1111" i="1"/>
  <c r="H1111" i="1"/>
  <c r="K1111" i="1"/>
  <c r="F7010" i="1"/>
  <c r="G7010" i="1"/>
  <c r="H7010" i="1"/>
  <c r="K7010" i="1"/>
  <c r="F7011" i="1"/>
  <c r="G7011" i="1"/>
  <c r="H7011" i="1"/>
  <c r="K7011" i="1"/>
  <c r="F1112" i="1"/>
  <c r="G1112" i="1"/>
  <c r="H1112" i="1"/>
  <c r="K1112" i="1"/>
  <c r="F1113" i="1"/>
  <c r="G1113" i="1"/>
  <c r="H1113" i="1"/>
  <c r="K1113" i="1"/>
  <c r="F2804" i="1"/>
  <c r="G2804" i="1"/>
  <c r="H2804" i="1"/>
  <c r="K2804" i="1"/>
  <c r="F7012" i="1"/>
  <c r="G7012" i="1"/>
  <c r="H7012" i="1"/>
  <c r="K7012" i="1"/>
  <c r="F7013" i="1"/>
  <c r="G7013" i="1"/>
  <c r="H7013" i="1"/>
  <c r="K7013" i="1"/>
  <c r="F2805" i="1"/>
  <c r="G2805" i="1"/>
  <c r="H2805" i="1"/>
  <c r="K2805" i="1"/>
  <c r="F4146" i="1"/>
  <c r="G4146" i="1"/>
  <c r="H4146" i="1"/>
  <c r="K4146" i="1"/>
  <c r="F1114" i="1"/>
  <c r="G1114" i="1"/>
  <c r="H1114" i="1"/>
  <c r="K1114" i="1"/>
  <c r="F5517" i="1"/>
  <c r="G5517" i="1"/>
  <c r="H5517" i="1"/>
  <c r="K5517" i="1"/>
  <c r="F7014" i="1"/>
  <c r="G7014" i="1"/>
  <c r="H7014" i="1"/>
  <c r="K7014" i="1"/>
  <c r="F4147" i="1"/>
  <c r="G4147" i="1"/>
  <c r="H4147" i="1"/>
  <c r="K4147" i="1"/>
  <c r="F4148" i="1"/>
  <c r="G4148" i="1"/>
  <c r="H4148" i="1"/>
  <c r="K4148" i="1"/>
  <c r="F5518" i="1"/>
  <c r="G5518" i="1"/>
  <c r="H5518" i="1"/>
  <c r="K5518" i="1"/>
  <c r="F5519" i="1"/>
  <c r="G5519" i="1"/>
  <c r="H5519" i="1"/>
  <c r="K5519" i="1"/>
  <c r="F5520" i="1"/>
  <c r="G5520" i="1"/>
  <c r="H5520" i="1"/>
  <c r="K5520" i="1"/>
  <c r="F4149" i="1"/>
  <c r="G4149" i="1"/>
  <c r="H4149" i="1"/>
  <c r="K4149" i="1"/>
  <c r="F1115" i="1"/>
  <c r="G1115" i="1"/>
  <c r="H1115" i="1"/>
  <c r="K1115" i="1"/>
  <c r="F1116" i="1"/>
  <c r="G1116" i="1"/>
  <c r="H1116" i="1"/>
  <c r="K1116" i="1"/>
  <c r="F7015" i="1"/>
  <c r="G7015" i="1"/>
  <c r="H7015" i="1"/>
  <c r="K7015" i="1"/>
  <c r="F1117" i="1"/>
  <c r="G1117" i="1"/>
  <c r="H1117" i="1"/>
  <c r="K1117" i="1"/>
  <c r="F7016" i="1"/>
  <c r="G7016" i="1"/>
  <c r="H7016" i="1"/>
  <c r="K7016" i="1"/>
  <c r="F7017" i="1"/>
  <c r="G7017" i="1"/>
  <c r="H7017" i="1"/>
  <c r="K7017" i="1"/>
  <c r="F2806" i="1"/>
  <c r="G2806" i="1"/>
  <c r="H2806" i="1"/>
  <c r="K2806" i="1"/>
  <c r="F2807" i="1"/>
  <c r="G2807" i="1"/>
  <c r="H2807" i="1"/>
  <c r="K2807" i="1"/>
  <c r="F2808" i="1"/>
  <c r="G2808" i="1"/>
  <c r="H2808" i="1"/>
  <c r="K2808" i="1"/>
  <c r="F4150" i="1"/>
  <c r="G4150" i="1"/>
  <c r="H4150" i="1"/>
  <c r="K4150" i="1"/>
  <c r="F1118" i="1"/>
  <c r="G1118" i="1"/>
  <c r="H1118" i="1"/>
  <c r="K1118" i="1"/>
  <c r="F7018" i="1"/>
  <c r="G7018" i="1"/>
  <c r="H7018" i="1"/>
  <c r="K7018" i="1"/>
  <c r="F1119" i="1"/>
  <c r="G1119" i="1"/>
  <c r="H1119" i="1"/>
  <c r="K1119" i="1"/>
  <c r="F5521" i="1"/>
  <c r="G5521" i="1"/>
  <c r="H5521" i="1"/>
  <c r="K5521" i="1"/>
  <c r="F4151" i="1"/>
  <c r="G4151" i="1"/>
  <c r="H4151" i="1"/>
  <c r="K4151" i="1"/>
  <c r="F2809" i="1"/>
  <c r="G2809" i="1"/>
  <c r="H2809" i="1"/>
  <c r="K2809" i="1"/>
  <c r="F2810" i="1"/>
  <c r="G2810" i="1"/>
  <c r="H2810" i="1"/>
  <c r="K2810" i="1"/>
  <c r="F5522" i="1"/>
  <c r="G5522" i="1"/>
  <c r="H5522" i="1"/>
  <c r="K5522" i="1"/>
  <c r="F5523" i="1"/>
  <c r="G5523" i="1"/>
  <c r="H5523" i="1"/>
  <c r="K5523" i="1"/>
  <c r="F1120" i="1"/>
  <c r="G1120" i="1"/>
  <c r="H1120" i="1"/>
  <c r="K1120" i="1"/>
  <c r="F5524" i="1"/>
  <c r="G5524" i="1"/>
  <c r="H5524" i="1"/>
  <c r="K5524" i="1"/>
  <c r="F4152" i="1"/>
  <c r="G4152" i="1"/>
  <c r="H4152" i="1"/>
  <c r="K4152" i="1"/>
  <c r="F7019" i="1"/>
  <c r="G7019" i="1"/>
  <c r="H7019" i="1"/>
  <c r="K7019" i="1"/>
  <c r="F7020" i="1"/>
  <c r="G7020" i="1"/>
  <c r="H7020" i="1"/>
  <c r="K7020" i="1"/>
  <c r="F4153" i="1"/>
  <c r="G4153" i="1"/>
  <c r="H4153" i="1"/>
  <c r="K4153" i="1"/>
  <c r="F5525" i="1"/>
  <c r="G5525" i="1"/>
  <c r="H5525" i="1"/>
  <c r="K5525" i="1"/>
  <c r="F1121" i="1"/>
  <c r="G1121" i="1"/>
  <c r="H1121" i="1"/>
  <c r="K1121" i="1"/>
  <c r="F7021" i="1"/>
  <c r="G7021" i="1"/>
  <c r="H7021" i="1"/>
  <c r="K7021" i="1"/>
  <c r="F7022" i="1"/>
  <c r="G7022" i="1"/>
  <c r="H7022" i="1"/>
  <c r="K7022" i="1"/>
  <c r="F5526" i="1"/>
  <c r="G5526" i="1"/>
  <c r="H5526" i="1"/>
  <c r="K5526" i="1"/>
  <c r="F4154" i="1"/>
  <c r="G4154" i="1"/>
  <c r="H4154" i="1"/>
  <c r="K4154" i="1"/>
  <c r="F2811" i="1"/>
  <c r="G2811" i="1"/>
  <c r="H2811" i="1"/>
  <c r="K2811" i="1"/>
  <c r="F4155" i="1"/>
  <c r="G4155" i="1"/>
  <c r="H4155" i="1"/>
  <c r="K4155" i="1"/>
  <c r="F7023" i="1"/>
  <c r="G7023" i="1"/>
  <c r="H7023" i="1"/>
  <c r="K7023" i="1"/>
  <c r="F1122" i="1"/>
  <c r="G1122" i="1"/>
  <c r="H1122" i="1"/>
  <c r="K1122" i="1"/>
  <c r="F1123" i="1"/>
  <c r="G1123" i="1"/>
  <c r="H1123" i="1"/>
  <c r="K1123" i="1"/>
  <c r="F5527" i="1"/>
  <c r="G5527" i="1"/>
  <c r="H5527" i="1"/>
  <c r="K5527" i="1"/>
  <c r="F2812" i="1"/>
  <c r="G2812" i="1"/>
  <c r="H2812" i="1"/>
  <c r="K2812" i="1"/>
  <c r="F1124" i="1"/>
  <c r="G1124" i="1"/>
  <c r="H1124" i="1"/>
  <c r="K1124" i="1"/>
  <c r="F7024" i="1"/>
  <c r="G7024" i="1"/>
  <c r="H7024" i="1"/>
  <c r="K7024" i="1"/>
  <c r="F1125" i="1"/>
  <c r="G1125" i="1"/>
  <c r="H1125" i="1"/>
  <c r="K1125" i="1"/>
  <c r="F4156" i="1"/>
  <c r="G4156" i="1"/>
  <c r="H4156" i="1"/>
  <c r="K4156" i="1"/>
  <c r="F5528" i="1"/>
  <c r="G5528" i="1"/>
  <c r="H5528" i="1"/>
  <c r="K5528" i="1"/>
  <c r="F1126" i="1"/>
  <c r="G1126" i="1"/>
  <c r="H1126" i="1"/>
  <c r="K1126" i="1"/>
  <c r="F4157" i="1"/>
  <c r="G4157" i="1"/>
  <c r="H4157" i="1"/>
  <c r="K4157" i="1"/>
  <c r="F4158" i="1"/>
  <c r="G4158" i="1"/>
  <c r="H4158" i="1"/>
  <c r="K4158" i="1"/>
  <c r="F4159" i="1"/>
  <c r="G4159" i="1"/>
  <c r="H4159" i="1"/>
  <c r="K4159" i="1"/>
  <c r="F4160" i="1"/>
  <c r="G4160" i="1"/>
  <c r="H4160" i="1"/>
  <c r="K4160" i="1"/>
  <c r="F4161" i="1"/>
  <c r="G4161" i="1"/>
  <c r="H4161" i="1"/>
  <c r="K4161" i="1"/>
  <c r="F4162" i="1"/>
  <c r="G4162" i="1"/>
  <c r="H4162" i="1"/>
  <c r="K4162" i="1"/>
  <c r="F4163" i="1"/>
  <c r="G4163" i="1"/>
  <c r="H4163" i="1"/>
  <c r="K4163" i="1"/>
  <c r="F1127" i="1"/>
  <c r="G1127" i="1"/>
  <c r="H1127" i="1"/>
  <c r="K1127" i="1"/>
  <c r="F7025" i="1"/>
  <c r="G7025" i="1"/>
  <c r="H7025" i="1"/>
  <c r="K7025" i="1"/>
  <c r="F7026" i="1"/>
  <c r="G7026" i="1"/>
  <c r="H7026" i="1"/>
  <c r="K7026" i="1"/>
  <c r="F5529" i="1"/>
  <c r="G5529" i="1"/>
  <c r="H5529" i="1"/>
  <c r="K5529" i="1"/>
  <c r="F4164" i="1"/>
  <c r="G4164" i="1"/>
  <c r="H4164" i="1"/>
  <c r="K4164" i="1"/>
  <c r="F5530" i="1"/>
  <c r="G5530" i="1"/>
  <c r="H5530" i="1"/>
  <c r="K5530" i="1"/>
  <c r="F1128" i="1"/>
  <c r="G1128" i="1"/>
  <c r="H1128" i="1"/>
  <c r="K1128" i="1"/>
  <c r="F7027" i="1"/>
  <c r="G7027" i="1"/>
  <c r="H7027" i="1"/>
  <c r="K7027" i="1"/>
  <c r="F7028" i="1"/>
  <c r="G7028" i="1"/>
  <c r="H7028" i="1"/>
  <c r="K7028" i="1"/>
  <c r="F2813" i="1"/>
  <c r="G2813" i="1"/>
  <c r="H2813" i="1"/>
  <c r="K2813" i="1"/>
  <c r="F5531" i="1"/>
  <c r="G5531" i="1"/>
  <c r="H5531" i="1"/>
  <c r="K5531" i="1"/>
  <c r="F1129" i="1"/>
  <c r="G1129" i="1"/>
  <c r="H1129" i="1"/>
  <c r="K1129" i="1"/>
  <c r="F2814" i="1"/>
  <c r="G2814" i="1"/>
  <c r="H2814" i="1"/>
  <c r="K2814" i="1"/>
  <c r="F2815" i="1"/>
  <c r="G2815" i="1"/>
  <c r="H2815" i="1"/>
  <c r="K2815" i="1"/>
  <c r="F1130" i="1"/>
  <c r="G1130" i="1"/>
  <c r="H1130" i="1"/>
  <c r="K1130" i="1"/>
  <c r="F5532" i="1"/>
  <c r="G5532" i="1"/>
  <c r="H5532" i="1"/>
  <c r="K5532" i="1"/>
  <c r="F7029" i="1"/>
  <c r="G7029" i="1"/>
  <c r="H7029" i="1"/>
  <c r="K7029" i="1"/>
  <c r="F7030" i="1"/>
  <c r="G7030" i="1"/>
  <c r="H7030" i="1"/>
  <c r="K7030" i="1"/>
  <c r="F7031" i="1"/>
  <c r="G7031" i="1"/>
  <c r="H7031" i="1"/>
  <c r="K7031" i="1"/>
  <c r="F7032" i="1"/>
  <c r="G7032" i="1"/>
  <c r="H7032" i="1"/>
  <c r="K7032" i="1"/>
  <c r="F7033" i="1"/>
  <c r="G7033" i="1"/>
  <c r="H7033" i="1"/>
  <c r="K7033" i="1"/>
  <c r="F4165" i="1"/>
  <c r="G4165" i="1"/>
  <c r="H4165" i="1"/>
  <c r="K4165" i="1"/>
  <c r="F1131" i="1"/>
  <c r="G1131" i="1"/>
  <c r="H1131" i="1"/>
  <c r="K1131" i="1"/>
  <c r="F4166" i="1"/>
  <c r="G4166" i="1"/>
  <c r="H4166" i="1"/>
  <c r="K4166" i="1"/>
  <c r="F5533" i="1"/>
  <c r="G5533" i="1"/>
  <c r="H5533" i="1"/>
  <c r="K5533" i="1"/>
  <c r="F5534" i="1"/>
  <c r="G5534" i="1"/>
  <c r="H5534" i="1"/>
  <c r="K5534" i="1"/>
  <c r="F5535" i="1"/>
  <c r="G5535" i="1"/>
  <c r="H5535" i="1"/>
  <c r="K5535" i="1"/>
  <c r="F7034" i="1"/>
  <c r="G7034" i="1"/>
  <c r="H7034" i="1"/>
  <c r="K7034" i="1"/>
  <c r="F1132" i="1"/>
  <c r="G1132" i="1"/>
  <c r="H1132" i="1"/>
  <c r="K1132" i="1"/>
  <c r="F5536" i="1"/>
  <c r="G5536" i="1"/>
  <c r="H5536" i="1"/>
  <c r="K5536" i="1"/>
  <c r="F2816" i="1"/>
  <c r="G2816" i="1"/>
  <c r="H2816" i="1"/>
  <c r="K2816" i="1"/>
  <c r="F7035" i="1"/>
  <c r="G7035" i="1"/>
  <c r="H7035" i="1"/>
  <c r="K7035" i="1"/>
  <c r="F2817" i="1"/>
  <c r="G2817" i="1"/>
  <c r="H2817" i="1"/>
  <c r="K2817" i="1"/>
  <c r="F7036" i="1"/>
  <c r="G7036" i="1"/>
  <c r="H7036" i="1"/>
  <c r="K7036" i="1"/>
  <c r="F7037" i="1"/>
  <c r="G7037" i="1"/>
  <c r="H7037" i="1"/>
  <c r="K7037" i="1"/>
  <c r="F7038" i="1"/>
  <c r="G7038" i="1"/>
  <c r="H7038" i="1"/>
  <c r="K7038" i="1"/>
  <c r="F7039" i="1"/>
  <c r="G7039" i="1"/>
  <c r="H7039" i="1"/>
  <c r="K7039" i="1"/>
  <c r="F7040" i="1"/>
  <c r="G7040" i="1"/>
  <c r="H7040" i="1"/>
  <c r="K7040" i="1"/>
  <c r="F7041" i="1"/>
  <c r="G7041" i="1"/>
  <c r="H7041" i="1"/>
  <c r="K7041" i="1"/>
  <c r="F7042" i="1"/>
  <c r="G7042" i="1"/>
  <c r="H7042" i="1"/>
  <c r="K7042" i="1"/>
  <c r="F7043" i="1"/>
  <c r="G7043" i="1"/>
  <c r="H7043" i="1"/>
  <c r="K7043" i="1"/>
  <c r="F7044" i="1"/>
  <c r="G7044" i="1"/>
  <c r="H7044" i="1"/>
  <c r="K7044" i="1"/>
  <c r="F1133" i="1"/>
  <c r="G1133" i="1"/>
  <c r="H1133" i="1"/>
  <c r="K1133" i="1"/>
  <c r="F7045" i="1"/>
  <c r="G7045" i="1"/>
  <c r="H7045" i="1"/>
  <c r="K7045" i="1"/>
  <c r="F1134" i="1"/>
  <c r="G1134" i="1"/>
  <c r="H1134" i="1"/>
  <c r="K1134" i="1"/>
  <c r="F7046" i="1"/>
  <c r="G7046" i="1"/>
  <c r="H7046" i="1"/>
  <c r="K7046" i="1"/>
  <c r="F2818" i="1"/>
  <c r="G2818" i="1"/>
  <c r="H2818" i="1"/>
  <c r="K2818" i="1"/>
  <c r="F5537" i="1"/>
  <c r="G5537" i="1"/>
  <c r="H5537" i="1"/>
  <c r="K5537" i="1"/>
  <c r="F4167" i="1"/>
  <c r="G4167" i="1"/>
  <c r="H4167" i="1"/>
  <c r="K4167" i="1"/>
  <c r="F7047" i="1"/>
  <c r="G7047" i="1"/>
  <c r="H7047" i="1"/>
  <c r="K7047" i="1"/>
  <c r="F1135" i="1"/>
  <c r="G1135" i="1"/>
  <c r="H1135" i="1"/>
  <c r="K1135" i="1"/>
  <c r="F7048" i="1"/>
  <c r="G7048" i="1"/>
  <c r="H7048" i="1"/>
  <c r="K7048" i="1"/>
  <c r="F4168" i="1"/>
  <c r="G4168" i="1"/>
  <c r="H4168" i="1"/>
  <c r="K4168" i="1"/>
  <c r="F5538" i="1"/>
  <c r="G5538" i="1"/>
  <c r="H5538" i="1"/>
  <c r="K5538" i="1"/>
  <c r="F4169" i="1"/>
  <c r="G4169" i="1"/>
  <c r="H4169" i="1"/>
  <c r="K4169" i="1"/>
  <c r="F5539" i="1"/>
  <c r="G5539" i="1"/>
  <c r="H5539" i="1"/>
  <c r="K5539" i="1"/>
  <c r="F7049" i="1"/>
  <c r="G7049" i="1"/>
  <c r="H7049" i="1"/>
  <c r="K7049" i="1"/>
  <c r="F5540" i="1"/>
  <c r="G5540" i="1"/>
  <c r="H5540" i="1"/>
  <c r="K5540" i="1"/>
  <c r="F1136" i="1"/>
  <c r="G1136" i="1"/>
  <c r="H1136" i="1"/>
  <c r="K1136" i="1"/>
  <c r="F4170" i="1"/>
  <c r="G4170" i="1"/>
  <c r="H4170" i="1"/>
  <c r="K4170" i="1"/>
  <c r="F1137" i="1"/>
  <c r="G1137" i="1"/>
  <c r="H1137" i="1"/>
  <c r="K1137" i="1"/>
  <c r="F7050" i="1"/>
  <c r="G7050" i="1"/>
  <c r="H7050" i="1"/>
  <c r="K7050" i="1"/>
  <c r="F7051" i="1"/>
  <c r="G7051" i="1"/>
  <c r="H7051" i="1"/>
  <c r="K7051" i="1"/>
  <c r="F1138" i="1"/>
  <c r="G1138" i="1"/>
  <c r="H1138" i="1"/>
  <c r="K1138" i="1"/>
  <c r="F7052" i="1"/>
  <c r="G7052" i="1"/>
  <c r="H7052" i="1"/>
  <c r="K7052" i="1"/>
  <c r="F1139" i="1"/>
  <c r="G1139" i="1"/>
  <c r="H1139" i="1"/>
  <c r="K1139" i="1"/>
  <c r="F2819" i="1"/>
  <c r="G2819" i="1"/>
  <c r="H2819" i="1"/>
  <c r="K2819" i="1"/>
  <c r="F7053" i="1"/>
  <c r="G7053" i="1"/>
  <c r="H7053" i="1"/>
  <c r="K7053" i="1"/>
  <c r="F7054" i="1"/>
  <c r="G7054" i="1"/>
  <c r="H7054" i="1"/>
  <c r="K7054" i="1"/>
  <c r="F4171" i="1"/>
  <c r="G4171" i="1"/>
  <c r="H4171" i="1"/>
  <c r="K4171" i="1"/>
  <c r="F2820" i="1"/>
  <c r="G2820" i="1"/>
  <c r="H2820" i="1"/>
  <c r="K2820" i="1"/>
  <c r="F2821" i="1"/>
  <c r="G2821" i="1"/>
  <c r="H2821" i="1"/>
  <c r="K2821" i="1"/>
  <c r="F7055" i="1"/>
  <c r="G7055" i="1"/>
  <c r="H7055" i="1"/>
  <c r="K7055" i="1"/>
  <c r="F7056" i="1"/>
  <c r="G7056" i="1"/>
  <c r="H7056" i="1"/>
  <c r="K7056" i="1"/>
  <c r="F1140" i="1"/>
  <c r="G1140" i="1"/>
  <c r="H1140" i="1"/>
  <c r="K1140" i="1"/>
  <c r="F7057" i="1"/>
  <c r="G7057" i="1"/>
  <c r="H7057" i="1"/>
  <c r="K7057" i="1"/>
  <c r="F1141" i="1"/>
  <c r="G1141" i="1"/>
  <c r="H1141" i="1"/>
  <c r="K1141" i="1"/>
  <c r="F1142" i="1"/>
  <c r="G1142" i="1"/>
  <c r="H1142" i="1"/>
  <c r="K1142" i="1"/>
  <c r="F7058" i="1"/>
  <c r="G7058" i="1"/>
  <c r="H7058" i="1"/>
  <c r="K7058" i="1"/>
  <c r="F4172" i="1"/>
  <c r="G4172" i="1"/>
  <c r="H4172" i="1"/>
  <c r="K4172" i="1"/>
  <c r="F1143" i="1"/>
  <c r="G1143" i="1"/>
  <c r="H1143" i="1"/>
  <c r="K1143" i="1"/>
  <c r="F1144" i="1"/>
  <c r="G1144" i="1"/>
  <c r="H1144" i="1"/>
  <c r="K1144" i="1"/>
  <c r="F1145" i="1"/>
  <c r="G1145" i="1"/>
  <c r="H1145" i="1"/>
  <c r="K1145" i="1"/>
  <c r="F1146" i="1"/>
  <c r="G1146" i="1"/>
  <c r="H1146" i="1"/>
  <c r="K1146" i="1"/>
  <c r="F2822" i="1"/>
  <c r="G2822" i="1"/>
  <c r="H2822" i="1"/>
  <c r="K2822" i="1"/>
  <c r="F1147" i="1"/>
  <c r="G1147" i="1"/>
  <c r="H1147" i="1"/>
  <c r="K1147" i="1"/>
  <c r="F1148" i="1"/>
  <c r="G1148" i="1"/>
  <c r="H1148" i="1"/>
  <c r="K1148" i="1"/>
  <c r="F1149" i="1"/>
  <c r="G1149" i="1"/>
  <c r="H1149" i="1"/>
  <c r="K1149" i="1"/>
  <c r="F1150" i="1"/>
  <c r="G1150" i="1"/>
  <c r="H1150" i="1"/>
  <c r="K1150" i="1"/>
  <c r="F1151" i="1"/>
  <c r="G1151" i="1"/>
  <c r="H1151" i="1"/>
  <c r="K1151" i="1"/>
  <c r="F1152" i="1"/>
  <c r="G1152" i="1"/>
  <c r="H1152" i="1"/>
  <c r="K1152" i="1"/>
  <c r="F1153" i="1"/>
  <c r="G1153" i="1"/>
  <c r="H1153" i="1"/>
  <c r="K1153" i="1"/>
  <c r="F1154" i="1"/>
  <c r="G1154" i="1"/>
  <c r="H1154" i="1"/>
  <c r="K1154" i="1"/>
  <c r="F2823" i="1"/>
  <c r="G2823" i="1"/>
  <c r="H2823" i="1"/>
  <c r="K2823" i="1"/>
  <c r="F1155" i="1"/>
  <c r="G1155" i="1"/>
  <c r="H1155" i="1"/>
  <c r="K1155" i="1"/>
  <c r="F7059" i="1"/>
  <c r="G7059" i="1"/>
  <c r="H7059" i="1"/>
  <c r="K7059" i="1"/>
  <c r="F7060" i="1"/>
  <c r="G7060" i="1"/>
  <c r="H7060" i="1"/>
  <c r="K7060" i="1"/>
  <c r="F1156" i="1"/>
  <c r="G1156" i="1"/>
  <c r="H1156" i="1"/>
  <c r="K1156" i="1"/>
  <c r="F4173" i="1"/>
  <c r="G4173" i="1"/>
  <c r="H4173" i="1"/>
  <c r="K4173" i="1"/>
  <c r="F4174" i="1"/>
  <c r="G4174" i="1"/>
  <c r="H4174" i="1"/>
  <c r="K4174" i="1"/>
  <c r="F1157" i="1"/>
  <c r="G1157" i="1"/>
  <c r="H1157" i="1"/>
  <c r="K1157" i="1"/>
  <c r="F4175" i="1"/>
  <c r="G4175" i="1"/>
  <c r="H4175" i="1"/>
  <c r="K4175" i="1"/>
  <c r="F1158" i="1"/>
  <c r="G1158" i="1"/>
  <c r="H1158" i="1"/>
  <c r="K1158" i="1"/>
  <c r="F4176" i="1"/>
  <c r="G4176" i="1"/>
  <c r="H4176" i="1"/>
  <c r="K4176" i="1"/>
  <c r="F2824" i="1"/>
  <c r="G2824" i="1"/>
  <c r="H2824" i="1"/>
  <c r="K2824" i="1"/>
  <c r="F4177" i="1"/>
  <c r="G4177" i="1"/>
  <c r="H4177" i="1"/>
  <c r="K4177" i="1"/>
  <c r="F1159" i="1"/>
  <c r="G1159" i="1"/>
  <c r="H1159" i="1"/>
  <c r="K1159" i="1"/>
  <c r="F1160" i="1"/>
  <c r="G1160" i="1"/>
  <c r="H1160" i="1"/>
  <c r="K1160" i="1"/>
  <c r="F1161" i="1"/>
  <c r="G1161" i="1"/>
  <c r="H1161" i="1"/>
  <c r="K1161" i="1"/>
  <c r="F5541" i="1"/>
  <c r="G5541" i="1"/>
  <c r="H5541" i="1"/>
  <c r="K5541" i="1"/>
  <c r="F1162" i="1"/>
  <c r="G1162" i="1"/>
  <c r="H1162" i="1"/>
  <c r="K1162" i="1"/>
  <c r="F4178" i="1"/>
  <c r="G4178" i="1"/>
  <c r="H4178" i="1"/>
  <c r="K4178" i="1"/>
  <c r="F1163" i="1"/>
  <c r="G1163" i="1"/>
  <c r="H1163" i="1"/>
  <c r="K1163" i="1"/>
  <c r="F4179" i="1"/>
  <c r="G4179" i="1"/>
  <c r="H4179" i="1"/>
  <c r="K4179" i="1"/>
  <c r="F1164" i="1"/>
  <c r="G1164" i="1"/>
  <c r="H1164" i="1"/>
  <c r="K1164" i="1"/>
  <c r="F4180" i="1"/>
  <c r="G4180" i="1"/>
  <c r="H4180" i="1"/>
  <c r="K4180" i="1"/>
  <c r="F4181" i="1"/>
  <c r="G4181" i="1"/>
  <c r="H4181" i="1"/>
  <c r="K4181" i="1"/>
  <c r="F1165" i="1"/>
  <c r="G1165" i="1"/>
  <c r="H1165" i="1"/>
  <c r="K1165" i="1"/>
  <c r="F4182" i="1"/>
  <c r="G4182" i="1"/>
  <c r="H4182" i="1"/>
  <c r="K4182" i="1"/>
  <c r="F1166" i="1"/>
  <c r="G1166" i="1"/>
  <c r="H1166" i="1"/>
  <c r="K1166" i="1"/>
  <c r="F5542" i="1"/>
  <c r="G5542" i="1"/>
  <c r="H5542" i="1"/>
  <c r="K5542" i="1"/>
  <c r="F7061" i="1"/>
  <c r="G7061" i="1"/>
  <c r="H7061" i="1"/>
  <c r="K7061" i="1"/>
  <c r="F1167" i="1"/>
  <c r="G1167" i="1"/>
  <c r="H1167" i="1"/>
  <c r="K1167" i="1"/>
  <c r="F4183" i="1"/>
  <c r="G4183" i="1"/>
  <c r="H4183" i="1"/>
  <c r="K4183" i="1"/>
  <c r="F4184" i="1"/>
  <c r="G4184" i="1"/>
  <c r="H4184" i="1"/>
  <c r="K4184" i="1"/>
  <c r="F4185" i="1"/>
  <c r="G4185" i="1"/>
  <c r="H4185" i="1"/>
  <c r="K4185" i="1"/>
  <c r="F1168" i="1"/>
  <c r="G1168" i="1"/>
  <c r="H1168" i="1"/>
  <c r="K1168" i="1"/>
  <c r="F1169" i="1"/>
  <c r="G1169" i="1"/>
  <c r="H1169" i="1"/>
  <c r="K1169" i="1"/>
  <c r="F1170" i="1"/>
  <c r="G1170" i="1"/>
  <c r="H1170" i="1"/>
  <c r="K1170" i="1"/>
  <c r="F7062" i="1"/>
  <c r="G7062" i="1"/>
  <c r="H7062" i="1"/>
  <c r="K7062" i="1"/>
  <c r="F4186" i="1"/>
  <c r="G4186" i="1"/>
  <c r="H4186" i="1"/>
  <c r="K4186" i="1"/>
  <c r="F1171" i="1"/>
  <c r="G1171" i="1"/>
  <c r="H1171" i="1"/>
  <c r="K1171" i="1"/>
  <c r="F7063" i="1"/>
  <c r="G7063" i="1"/>
  <c r="H7063" i="1"/>
  <c r="K7063" i="1"/>
  <c r="F5543" i="1"/>
  <c r="G5543" i="1"/>
  <c r="H5543" i="1"/>
  <c r="K5543" i="1"/>
  <c r="F7064" i="1"/>
  <c r="G7064" i="1"/>
  <c r="H7064" i="1"/>
  <c r="K7064" i="1"/>
  <c r="F1172" i="1"/>
  <c r="G1172" i="1"/>
  <c r="H1172" i="1"/>
  <c r="K1172" i="1"/>
  <c r="F2825" i="1"/>
  <c r="G2825" i="1"/>
  <c r="H2825" i="1"/>
  <c r="K2825" i="1"/>
  <c r="F2826" i="1"/>
  <c r="G2826" i="1"/>
  <c r="H2826" i="1"/>
  <c r="K2826" i="1"/>
  <c r="F5544" i="1"/>
  <c r="G5544" i="1"/>
  <c r="H5544" i="1"/>
  <c r="K5544" i="1"/>
  <c r="F5545" i="1"/>
  <c r="G5545" i="1"/>
  <c r="H5545" i="1"/>
  <c r="K5545" i="1"/>
  <c r="F5546" i="1"/>
  <c r="G5546" i="1"/>
  <c r="H5546" i="1"/>
  <c r="K5546" i="1"/>
  <c r="F7065" i="1"/>
  <c r="G7065" i="1"/>
  <c r="H7065" i="1"/>
  <c r="K7065" i="1"/>
  <c r="F1173" i="1"/>
  <c r="G1173" i="1"/>
  <c r="H1173" i="1"/>
  <c r="K1173" i="1"/>
  <c r="F7066" i="1"/>
  <c r="G7066" i="1"/>
  <c r="H7066" i="1"/>
  <c r="K7066" i="1"/>
  <c r="F4187" i="1"/>
  <c r="G4187" i="1"/>
  <c r="H4187" i="1"/>
  <c r="K4187" i="1"/>
  <c r="F5547" i="1"/>
  <c r="G5547" i="1"/>
  <c r="H5547" i="1"/>
  <c r="K5547" i="1"/>
  <c r="F1174" i="1"/>
  <c r="G1174" i="1"/>
  <c r="H1174" i="1"/>
  <c r="K1174" i="1"/>
  <c r="F1175" i="1"/>
  <c r="G1175" i="1"/>
  <c r="H1175" i="1"/>
  <c r="K1175" i="1"/>
  <c r="F1176" i="1"/>
  <c r="G1176" i="1"/>
  <c r="H1176" i="1"/>
  <c r="K1176" i="1"/>
  <c r="F7067" i="1"/>
  <c r="G7067" i="1"/>
  <c r="H7067" i="1"/>
  <c r="K7067" i="1"/>
  <c r="F5548" i="1"/>
  <c r="G5548" i="1"/>
  <c r="H5548" i="1"/>
  <c r="K5548" i="1"/>
  <c r="F1177" i="1"/>
  <c r="G1177" i="1"/>
  <c r="H1177" i="1"/>
  <c r="K1177" i="1"/>
  <c r="F4188" i="1"/>
  <c r="G4188" i="1"/>
  <c r="H4188" i="1"/>
  <c r="K4188" i="1"/>
  <c r="F2827" i="1"/>
  <c r="G2827" i="1"/>
  <c r="H2827" i="1"/>
  <c r="K2827" i="1"/>
  <c r="F1178" i="1"/>
  <c r="G1178" i="1"/>
  <c r="H1178" i="1"/>
  <c r="K1178" i="1"/>
  <c r="F5549" i="1"/>
  <c r="G5549" i="1"/>
  <c r="H5549" i="1"/>
  <c r="K5549" i="1"/>
  <c r="F2828" i="1"/>
  <c r="G2828" i="1"/>
  <c r="H2828" i="1"/>
  <c r="K2828" i="1"/>
  <c r="F7068" i="1"/>
  <c r="G7068" i="1"/>
  <c r="H7068" i="1"/>
  <c r="K7068" i="1"/>
  <c r="F1179" i="1"/>
  <c r="G1179" i="1"/>
  <c r="H1179" i="1"/>
  <c r="K1179" i="1"/>
  <c r="F5550" i="1"/>
  <c r="G5550" i="1"/>
  <c r="H5550" i="1"/>
  <c r="K5550" i="1"/>
  <c r="F7069" i="1"/>
  <c r="G7069" i="1"/>
  <c r="H7069" i="1"/>
  <c r="K7069" i="1"/>
  <c r="F5551" i="1"/>
  <c r="G5551" i="1"/>
  <c r="H5551" i="1"/>
  <c r="K5551" i="1"/>
  <c r="F1180" i="1"/>
  <c r="G1180" i="1"/>
  <c r="H1180" i="1"/>
  <c r="K1180" i="1"/>
  <c r="F2829" i="1"/>
  <c r="G2829" i="1"/>
  <c r="H2829" i="1"/>
  <c r="K2829" i="1"/>
  <c r="F2830" i="1"/>
  <c r="G2830" i="1"/>
  <c r="H2830" i="1"/>
  <c r="K2830" i="1"/>
  <c r="F5552" i="1"/>
  <c r="G5552" i="1"/>
  <c r="H5552" i="1"/>
  <c r="K5552" i="1"/>
  <c r="F7070" i="1"/>
  <c r="G7070" i="1"/>
  <c r="H7070" i="1"/>
  <c r="K7070" i="1"/>
  <c r="F7071" i="1"/>
  <c r="G7071" i="1"/>
  <c r="H7071" i="1"/>
  <c r="K7071" i="1"/>
  <c r="F7072" i="1"/>
  <c r="G7072" i="1"/>
  <c r="H7072" i="1"/>
  <c r="K7072" i="1"/>
  <c r="F1181" i="1"/>
  <c r="G1181" i="1"/>
  <c r="H1181" i="1"/>
  <c r="K1181" i="1"/>
  <c r="F4189" i="1"/>
  <c r="G4189" i="1"/>
  <c r="H4189" i="1"/>
  <c r="K4189" i="1"/>
  <c r="F7073" i="1"/>
  <c r="G7073" i="1"/>
  <c r="H7073" i="1"/>
  <c r="K7073" i="1"/>
  <c r="F4190" i="1"/>
  <c r="G4190" i="1"/>
  <c r="H4190" i="1"/>
  <c r="K4190" i="1"/>
  <c r="F4191" i="1"/>
  <c r="G4191" i="1"/>
  <c r="H4191" i="1"/>
  <c r="K4191" i="1"/>
  <c r="F2831" i="1"/>
  <c r="G2831" i="1"/>
  <c r="H2831" i="1"/>
  <c r="K2831" i="1"/>
  <c r="F2832" i="1"/>
  <c r="G2832" i="1"/>
  <c r="H2832" i="1"/>
  <c r="K2832" i="1"/>
  <c r="F5553" i="1"/>
  <c r="G5553" i="1"/>
  <c r="H5553" i="1"/>
  <c r="K5553" i="1"/>
  <c r="F2833" i="1"/>
  <c r="G2833" i="1"/>
  <c r="H2833" i="1"/>
  <c r="K2833" i="1"/>
  <c r="F7074" i="1"/>
  <c r="G7074" i="1"/>
  <c r="H7074" i="1"/>
  <c r="K7074" i="1"/>
  <c r="F4192" i="1"/>
  <c r="G4192" i="1"/>
  <c r="H4192" i="1"/>
  <c r="K4192" i="1"/>
  <c r="F5554" i="1"/>
  <c r="G5554" i="1"/>
  <c r="H5554" i="1"/>
  <c r="K5554" i="1"/>
  <c r="F1182" i="1"/>
  <c r="G1182" i="1"/>
  <c r="H1182" i="1"/>
  <c r="K1182" i="1"/>
  <c r="F2834" i="1"/>
  <c r="G2834" i="1"/>
  <c r="H2834" i="1"/>
  <c r="K2834" i="1"/>
  <c r="F1183" i="1"/>
  <c r="G1183" i="1"/>
  <c r="H1183" i="1"/>
  <c r="K1183" i="1"/>
  <c r="F1184" i="1"/>
  <c r="G1184" i="1"/>
  <c r="H1184" i="1"/>
  <c r="K1184" i="1"/>
  <c r="F7075" i="1"/>
  <c r="G7075" i="1"/>
  <c r="H7075" i="1"/>
  <c r="K7075" i="1"/>
  <c r="F5555" i="1"/>
  <c r="G5555" i="1"/>
  <c r="H5555" i="1"/>
  <c r="K5555" i="1"/>
  <c r="F5556" i="1"/>
  <c r="G5556" i="1"/>
  <c r="H5556" i="1"/>
  <c r="K5556" i="1"/>
  <c r="F7076" i="1"/>
  <c r="G7076" i="1"/>
  <c r="H7076" i="1"/>
  <c r="K7076" i="1"/>
  <c r="F7077" i="1"/>
  <c r="G7077" i="1"/>
  <c r="H7077" i="1"/>
  <c r="K7077" i="1"/>
  <c r="F7078" i="1"/>
  <c r="G7078" i="1"/>
  <c r="H7078" i="1"/>
  <c r="K7078" i="1"/>
  <c r="F7079" i="1"/>
  <c r="G7079" i="1"/>
  <c r="H7079" i="1"/>
  <c r="K7079" i="1"/>
  <c r="F1185" i="1"/>
  <c r="G1185" i="1"/>
  <c r="H1185" i="1"/>
  <c r="K1185" i="1"/>
  <c r="F1186" i="1"/>
  <c r="G1186" i="1"/>
  <c r="H1186" i="1"/>
  <c r="K1186" i="1"/>
  <c r="F4193" i="1"/>
  <c r="G4193" i="1"/>
  <c r="H4193" i="1"/>
  <c r="K4193" i="1"/>
  <c r="F4194" i="1"/>
  <c r="G4194" i="1"/>
  <c r="H4194" i="1"/>
  <c r="K4194" i="1"/>
  <c r="F1187" i="1"/>
  <c r="G1187" i="1"/>
  <c r="H1187" i="1"/>
  <c r="K1187" i="1"/>
  <c r="F1188" i="1"/>
  <c r="G1188" i="1"/>
  <c r="H1188" i="1"/>
  <c r="K1188" i="1"/>
  <c r="F2835" i="1"/>
  <c r="G2835" i="1"/>
  <c r="H2835" i="1"/>
  <c r="K2835" i="1"/>
  <c r="F4195" i="1"/>
  <c r="G4195" i="1"/>
  <c r="H4195" i="1"/>
  <c r="K4195" i="1"/>
  <c r="F4196" i="1"/>
  <c r="G4196" i="1"/>
  <c r="H4196" i="1"/>
  <c r="K4196" i="1"/>
  <c r="F4197" i="1"/>
  <c r="G4197" i="1"/>
  <c r="H4197" i="1"/>
  <c r="K4197" i="1"/>
  <c r="F4198" i="1"/>
  <c r="G4198" i="1"/>
  <c r="H4198" i="1"/>
  <c r="K4198" i="1"/>
  <c r="F5557" i="1"/>
  <c r="G5557" i="1"/>
  <c r="H5557" i="1"/>
  <c r="K5557" i="1"/>
  <c r="F5558" i="1"/>
  <c r="G5558" i="1"/>
  <c r="H5558" i="1"/>
  <c r="K5558" i="1"/>
  <c r="F5559" i="1"/>
  <c r="G5559" i="1"/>
  <c r="H5559" i="1"/>
  <c r="K5559" i="1"/>
  <c r="F5560" i="1"/>
  <c r="G5560" i="1"/>
  <c r="H5560" i="1"/>
  <c r="K5560" i="1"/>
  <c r="F5561" i="1"/>
  <c r="G5561" i="1"/>
  <c r="H5561" i="1"/>
  <c r="K5561" i="1"/>
  <c r="F4199" i="1"/>
  <c r="G4199" i="1"/>
  <c r="H4199" i="1"/>
  <c r="K4199" i="1"/>
  <c r="F7080" i="1"/>
  <c r="G7080" i="1"/>
  <c r="H7080" i="1"/>
  <c r="K7080" i="1"/>
  <c r="F7081" i="1"/>
  <c r="G7081" i="1"/>
  <c r="H7081" i="1"/>
  <c r="K7081" i="1"/>
  <c r="F7082" i="1"/>
  <c r="G7082" i="1"/>
  <c r="H7082" i="1"/>
  <c r="K7082" i="1"/>
  <c r="F1189" i="1"/>
  <c r="G1189" i="1"/>
  <c r="H1189" i="1"/>
  <c r="K1189" i="1"/>
  <c r="F7083" i="1"/>
  <c r="G7083" i="1"/>
  <c r="H7083" i="1"/>
  <c r="K7083" i="1"/>
  <c r="F5562" i="1"/>
  <c r="G5562" i="1"/>
  <c r="H5562" i="1"/>
  <c r="K5562" i="1"/>
  <c r="F4200" i="1"/>
  <c r="G4200" i="1"/>
  <c r="H4200" i="1"/>
  <c r="K4200" i="1"/>
  <c r="F5563" i="1"/>
  <c r="G5563" i="1"/>
  <c r="H5563" i="1"/>
  <c r="K5563" i="1"/>
  <c r="F1190" i="1"/>
  <c r="G1190" i="1"/>
  <c r="H1190" i="1"/>
  <c r="K1190" i="1"/>
  <c r="F7084" i="1"/>
  <c r="G7084" i="1"/>
  <c r="H7084" i="1"/>
  <c r="K7084" i="1"/>
  <c r="F4201" i="1"/>
  <c r="G4201" i="1"/>
  <c r="H4201" i="1"/>
  <c r="K4201" i="1"/>
  <c r="F5564" i="1"/>
  <c r="G5564" i="1"/>
  <c r="H5564" i="1"/>
  <c r="K5564" i="1"/>
  <c r="F4202" i="1"/>
  <c r="G4202" i="1"/>
  <c r="H4202" i="1"/>
  <c r="K4202" i="1"/>
  <c r="F4203" i="1"/>
  <c r="G4203" i="1"/>
  <c r="H4203" i="1"/>
  <c r="K4203" i="1"/>
  <c r="F5565" i="1"/>
  <c r="G5565" i="1"/>
  <c r="H5565" i="1"/>
  <c r="K5565" i="1"/>
  <c r="F5566" i="1"/>
  <c r="G5566" i="1"/>
  <c r="H5566" i="1"/>
  <c r="K5566" i="1"/>
  <c r="F7085" i="1"/>
  <c r="G7085" i="1"/>
  <c r="H7085" i="1"/>
  <c r="K7085" i="1"/>
  <c r="F7086" i="1"/>
  <c r="G7086" i="1"/>
  <c r="H7086" i="1"/>
  <c r="K7086" i="1"/>
  <c r="F4204" i="1"/>
  <c r="G4204" i="1"/>
  <c r="H4204" i="1"/>
  <c r="K4204" i="1"/>
  <c r="F2836" i="1"/>
  <c r="G2836" i="1"/>
  <c r="H2836" i="1"/>
  <c r="K2836" i="1"/>
  <c r="F7087" i="1"/>
  <c r="G7087" i="1"/>
  <c r="H7087" i="1"/>
  <c r="K7087" i="1"/>
  <c r="F2837" i="1"/>
  <c r="G2837" i="1"/>
  <c r="H2837" i="1"/>
  <c r="K2837" i="1"/>
  <c r="F5567" i="1"/>
  <c r="G5567" i="1"/>
  <c r="H5567" i="1"/>
  <c r="K5567" i="1"/>
  <c r="F4205" i="1"/>
  <c r="G4205" i="1"/>
  <c r="H4205" i="1"/>
  <c r="K4205" i="1"/>
  <c r="F1191" i="1"/>
  <c r="G1191" i="1"/>
  <c r="H1191" i="1"/>
  <c r="K1191" i="1"/>
  <c r="F2838" i="1"/>
  <c r="G2838" i="1"/>
  <c r="H2838" i="1"/>
  <c r="K2838" i="1"/>
  <c r="F4206" i="1"/>
  <c r="G4206" i="1"/>
  <c r="H4206" i="1"/>
  <c r="K4206" i="1"/>
  <c r="F5568" i="1"/>
  <c r="G5568" i="1"/>
  <c r="H5568" i="1"/>
  <c r="K5568" i="1"/>
  <c r="F7088" i="1"/>
  <c r="G7088" i="1"/>
  <c r="H7088" i="1"/>
  <c r="K7088" i="1"/>
  <c r="F4207" i="1"/>
  <c r="G4207" i="1"/>
  <c r="H4207" i="1"/>
  <c r="K4207" i="1"/>
  <c r="F7089" i="1"/>
  <c r="G7089" i="1"/>
  <c r="H7089" i="1"/>
  <c r="K7089" i="1"/>
  <c r="F1192" i="1"/>
  <c r="G1192" i="1"/>
  <c r="H1192" i="1"/>
  <c r="K1192" i="1"/>
  <c r="F7090" i="1"/>
  <c r="G7090" i="1"/>
  <c r="H7090" i="1"/>
  <c r="K7090" i="1"/>
  <c r="F5569" i="1"/>
  <c r="G5569" i="1"/>
  <c r="H5569" i="1"/>
  <c r="K5569" i="1"/>
  <c r="F2839" i="1"/>
  <c r="G2839" i="1"/>
  <c r="H2839" i="1"/>
  <c r="K2839" i="1"/>
  <c r="F2840" i="1"/>
  <c r="G2840" i="1"/>
  <c r="H2840" i="1"/>
  <c r="K2840" i="1"/>
  <c r="F7091" i="1"/>
  <c r="G7091" i="1"/>
  <c r="H7091" i="1"/>
  <c r="K7091" i="1"/>
  <c r="F5570" i="1"/>
  <c r="G5570" i="1"/>
  <c r="H5570" i="1"/>
  <c r="K5570" i="1"/>
  <c r="F5571" i="1"/>
  <c r="G5571" i="1"/>
  <c r="H5571" i="1"/>
  <c r="K5571" i="1"/>
  <c r="F7092" i="1"/>
  <c r="G7092" i="1"/>
  <c r="H7092" i="1"/>
  <c r="K7092" i="1"/>
  <c r="F7093" i="1"/>
  <c r="G7093" i="1"/>
  <c r="H7093" i="1"/>
  <c r="K7093" i="1"/>
  <c r="F7094" i="1"/>
  <c r="G7094" i="1"/>
  <c r="H7094" i="1"/>
  <c r="K7094" i="1"/>
  <c r="F5572" i="1"/>
  <c r="G5572" i="1"/>
  <c r="H5572" i="1"/>
  <c r="K5572" i="1"/>
  <c r="F1193" i="1"/>
  <c r="G1193" i="1"/>
  <c r="H1193" i="1"/>
  <c r="K1193" i="1"/>
  <c r="F1194" i="1"/>
  <c r="G1194" i="1"/>
  <c r="H1194" i="1"/>
  <c r="K1194" i="1"/>
  <c r="F1195" i="1"/>
  <c r="G1195" i="1"/>
  <c r="H1195" i="1"/>
  <c r="K1195" i="1"/>
  <c r="F7095" i="1"/>
  <c r="G7095" i="1"/>
  <c r="H7095" i="1"/>
  <c r="K7095" i="1"/>
  <c r="F7096" i="1"/>
  <c r="G7096" i="1"/>
  <c r="H7096" i="1"/>
  <c r="K7096" i="1"/>
  <c r="F1196" i="1"/>
  <c r="G1196" i="1"/>
  <c r="H1196" i="1"/>
  <c r="K1196" i="1"/>
  <c r="F4208" i="1"/>
  <c r="G4208" i="1"/>
  <c r="H4208" i="1"/>
  <c r="K4208" i="1"/>
  <c r="F4209" i="1"/>
  <c r="G4209" i="1"/>
  <c r="H4209" i="1"/>
  <c r="K4209" i="1"/>
  <c r="F7097" i="1"/>
  <c r="G7097" i="1"/>
  <c r="H7097" i="1"/>
  <c r="K7097" i="1"/>
  <c r="F5573" i="1"/>
  <c r="G5573" i="1"/>
  <c r="H5573" i="1"/>
  <c r="K5573" i="1"/>
  <c r="F2841" i="1"/>
  <c r="G2841" i="1"/>
  <c r="H2841" i="1"/>
  <c r="K2841" i="1"/>
  <c r="F1197" i="1"/>
  <c r="G1197" i="1"/>
  <c r="H1197" i="1"/>
  <c r="K1197" i="1"/>
  <c r="F5574" i="1"/>
  <c r="G5574" i="1"/>
  <c r="H5574" i="1"/>
  <c r="K5574" i="1"/>
  <c r="F5575" i="1"/>
  <c r="G5575" i="1"/>
  <c r="H5575" i="1"/>
  <c r="K5575" i="1"/>
  <c r="F4210" i="1"/>
  <c r="G4210" i="1"/>
  <c r="H4210" i="1"/>
  <c r="K4210" i="1"/>
  <c r="F4211" i="1"/>
  <c r="G4211" i="1"/>
  <c r="H4211" i="1"/>
  <c r="K4211" i="1"/>
  <c r="F1198" i="1"/>
  <c r="G1198" i="1"/>
  <c r="H1198" i="1"/>
  <c r="K1198" i="1"/>
  <c r="F1199" i="1"/>
  <c r="G1199" i="1"/>
  <c r="H1199" i="1"/>
  <c r="K1199" i="1"/>
  <c r="F1200" i="1"/>
  <c r="G1200" i="1"/>
  <c r="H1200" i="1"/>
  <c r="K1200" i="1"/>
  <c r="F2842" i="1"/>
  <c r="G2842" i="1"/>
  <c r="H2842" i="1"/>
  <c r="K2842" i="1"/>
  <c r="F1201" i="1"/>
  <c r="G1201" i="1"/>
  <c r="H1201" i="1"/>
  <c r="K1201" i="1"/>
  <c r="F5576" i="1"/>
  <c r="G5576" i="1"/>
  <c r="H5576" i="1"/>
  <c r="K5576" i="1"/>
  <c r="F5577" i="1"/>
  <c r="G5577" i="1"/>
  <c r="H5577" i="1"/>
  <c r="K5577" i="1"/>
  <c r="F5578" i="1"/>
  <c r="G5578" i="1"/>
  <c r="H5578" i="1"/>
  <c r="K5578" i="1"/>
  <c r="F2843" i="1"/>
  <c r="G2843" i="1"/>
  <c r="H2843" i="1"/>
  <c r="K2843" i="1"/>
  <c r="F1202" i="1"/>
  <c r="G1202" i="1"/>
  <c r="H1202" i="1"/>
  <c r="K1202" i="1"/>
  <c r="F5579" i="1"/>
  <c r="G5579" i="1"/>
  <c r="H5579" i="1"/>
  <c r="K5579" i="1"/>
  <c r="F5580" i="1"/>
  <c r="G5580" i="1"/>
  <c r="H5580" i="1"/>
  <c r="K5580" i="1"/>
  <c r="F5581" i="1"/>
  <c r="G5581" i="1"/>
  <c r="H5581" i="1"/>
  <c r="K5581" i="1"/>
  <c r="F5582" i="1"/>
  <c r="G5582" i="1"/>
  <c r="H5582" i="1"/>
  <c r="K5582" i="1"/>
  <c r="F5583" i="1"/>
  <c r="G5583" i="1"/>
  <c r="H5583" i="1"/>
  <c r="K5583" i="1"/>
  <c r="F1203" i="1"/>
  <c r="G1203" i="1"/>
  <c r="H1203" i="1"/>
  <c r="K1203" i="1"/>
  <c r="F5584" i="1"/>
  <c r="G5584" i="1"/>
  <c r="H5584" i="1"/>
  <c r="K5584" i="1"/>
  <c r="F5585" i="1"/>
  <c r="G5585" i="1"/>
  <c r="H5585" i="1"/>
  <c r="K5585" i="1"/>
  <c r="F5586" i="1"/>
  <c r="G5586" i="1"/>
  <c r="H5586" i="1"/>
  <c r="K5586" i="1"/>
  <c r="F7098" i="1"/>
  <c r="G7098" i="1"/>
  <c r="H7098" i="1"/>
  <c r="K7098" i="1"/>
  <c r="F1204" i="1"/>
  <c r="G1204" i="1"/>
  <c r="H1204" i="1"/>
  <c r="K1204" i="1"/>
  <c r="F2844" i="1"/>
  <c r="G2844" i="1"/>
  <c r="H2844" i="1"/>
  <c r="K2844" i="1"/>
  <c r="F1205" i="1"/>
  <c r="G1205" i="1"/>
  <c r="H1205" i="1"/>
  <c r="K1205" i="1"/>
  <c r="F1206" i="1"/>
  <c r="G1206" i="1"/>
  <c r="H1206" i="1"/>
  <c r="K1206" i="1"/>
  <c r="F7099" i="1"/>
  <c r="G7099" i="1"/>
  <c r="H7099" i="1"/>
  <c r="K7099" i="1"/>
  <c r="F5587" i="1"/>
  <c r="G5587" i="1"/>
  <c r="H5587" i="1"/>
  <c r="K5587" i="1"/>
  <c r="F1207" i="1"/>
  <c r="G1207" i="1"/>
  <c r="H1207" i="1"/>
  <c r="K1207" i="1"/>
  <c r="F2845" i="1"/>
  <c r="G2845" i="1"/>
  <c r="H2845" i="1"/>
  <c r="K2845" i="1"/>
  <c r="F7100" i="1"/>
  <c r="G7100" i="1"/>
  <c r="H7100" i="1"/>
  <c r="K7100" i="1"/>
  <c r="F4212" i="1"/>
  <c r="G4212" i="1"/>
  <c r="H4212" i="1"/>
  <c r="K4212" i="1"/>
  <c r="F1208" i="1"/>
  <c r="G1208" i="1"/>
  <c r="H1208" i="1"/>
  <c r="K1208" i="1"/>
  <c r="F2846" i="1"/>
  <c r="G2846" i="1"/>
  <c r="H2846" i="1"/>
  <c r="K2846" i="1"/>
  <c r="F7101" i="1"/>
  <c r="G7101" i="1"/>
  <c r="H7101" i="1"/>
  <c r="K7101" i="1"/>
  <c r="F7102" i="1"/>
  <c r="G7102" i="1"/>
  <c r="H7102" i="1"/>
  <c r="K7102" i="1"/>
  <c r="F4213" i="1"/>
  <c r="G4213" i="1"/>
  <c r="H4213" i="1"/>
  <c r="K4213" i="1"/>
  <c r="F4214" i="1"/>
  <c r="G4214" i="1"/>
  <c r="H4214" i="1"/>
  <c r="K4214" i="1"/>
  <c r="F1209" i="1"/>
  <c r="G1209" i="1"/>
  <c r="H1209" i="1"/>
  <c r="K1209" i="1"/>
  <c r="F1210" i="1"/>
  <c r="G1210" i="1"/>
  <c r="H1210" i="1"/>
  <c r="K1210" i="1"/>
  <c r="F1211" i="1"/>
  <c r="G1211" i="1"/>
  <c r="H1211" i="1"/>
  <c r="K1211" i="1"/>
  <c r="F7103" i="1"/>
  <c r="G7103" i="1"/>
  <c r="H7103" i="1"/>
  <c r="K7103" i="1"/>
  <c r="F5588" i="1"/>
  <c r="G5588" i="1"/>
  <c r="H5588" i="1"/>
  <c r="K5588" i="1"/>
  <c r="F2847" i="1"/>
  <c r="G2847" i="1"/>
  <c r="H2847" i="1"/>
  <c r="K2847" i="1"/>
  <c r="F4215" i="1"/>
  <c r="G4215" i="1"/>
  <c r="H4215" i="1"/>
  <c r="K4215" i="1"/>
  <c r="F5589" i="1"/>
  <c r="G5589" i="1"/>
  <c r="H5589" i="1"/>
  <c r="K5589" i="1"/>
  <c r="F5590" i="1"/>
  <c r="G5590" i="1"/>
  <c r="H5590" i="1"/>
  <c r="K5590" i="1"/>
  <c r="F4216" i="1"/>
  <c r="G4216" i="1"/>
  <c r="H4216" i="1"/>
  <c r="K4216" i="1"/>
  <c r="F1212" i="1"/>
  <c r="G1212" i="1"/>
  <c r="H1212" i="1"/>
  <c r="K1212" i="1"/>
  <c r="F5591" i="1"/>
  <c r="G5591" i="1"/>
  <c r="H5591" i="1"/>
  <c r="K5591" i="1"/>
  <c r="F5592" i="1"/>
  <c r="G5592" i="1"/>
  <c r="H5592" i="1"/>
  <c r="K5592" i="1"/>
  <c r="F1213" i="1"/>
  <c r="G1213" i="1"/>
  <c r="H1213" i="1"/>
  <c r="K1213" i="1"/>
  <c r="F1214" i="1"/>
  <c r="G1214" i="1"/>
  <c r="H1214" i="1"/>
  <c r="K1214" i="1"/>
  <c r="F4217" i="1"/>
  <c r="G4217" i="1"/>
  <c r="H4217" i="1"/>
  <c r="K4217" i="1"/>
  <c r="F2848" i="1"/>
  <c r="G2848" i="1"/>
  <c r="H2848" i="1"/>
  <c r="K2848" i="1"/>
  <c r="F4218" i="1"/>
  <c r="G4218" i="1"/>
  <c r="H4218" i="1"/>
  <c r="K4218" i="1"/>
  <c r="F1215" i="1"/>
  <c r="G1215" i="1"/>
  <c r="H1215" i="1"/>
  <c r="K1215" i="1"/>
  <c r="F4219" i="1"/>
  <c r="G4219" i="1"/>
  <c r="H4219" i="1"/>
  <c r="K4219" i="1"/>
  <c r="F4220" i="1"/>
  <c r="G4220" i="1"/>
  <c r="H4220" i="1"/>
  <c r="K4220" i="1"/>
  <c r="F1216" i="1"/>
  <c r="G1216" i="1"/>
  <c r="H1216" i="1"/>
  <c r="K1216" i="1"/>
  <c r="F2849" i="1"/>
  <c r="G2849" i="1"/>
  <c r="H2849" i="1"/>
  <c r="K2849" i="1"/>
  <c r="F1217" i="1"/>
  <c r="G1217" i="1"/>
  <c r="H1217" i="1"/>
  <c r="K1217" i="1"/>
  <c r="F5593" i="1"/>
  <c r="G5593" i="1"/>
  <c r="H5593" i="1"/>
  <c r="K5593" i="1"/>
  <c r="F2850" i="1"/>
  <c r="G2850" i="1"/>
  <c r="H2850" i="1"/>
  <c r="K2850" i="1"/>
  <c r="F7104" i="1"/>
  <c r="G7104" i="1"/>
  <c r="H7104" i="1"/>
  <c r="K7104" i="1"/>
  <c r="F5594" i="1"/>
  <c r="G5594" i="1"/>
  <c r="H5594" i="1"/>
  <c r="K5594" i="1"/>
  <c r="F4221" i="1"/>
  <c r="G4221" i="1"/>
  <c r="H4221" i="1"/>
  <c r="K4221" i="1"/>
  <c r="F1218" i="1"/>
  <c r="G1218" i="1"/>
  <c r="H1218" i="1"/>
  <c r="K1218" i="1"/>
  <c r="F1219" i="1"/>
  <c r="G1219" i="1"/>
  <c r="H1219" i="1"/>
  <c r="K1219" i="1"/>
  <c r="F4222" i="1"/>
  <c r="G4222" i="1"/>
  <c r="H4222" i="1"/>
  <c r="K4222" i="1"/>
  <c r="F4223" i="1"/>
  <c r="G4223" i="1"/>
  <c r="H4223" i="1"/>
  <c r="K4223" i="1"/>
  <c r="F4224" i="1"/>
  <c r="G4224" i="1"/>
  <c r="H4224" i="1"/>
  <c r="K4224" i="1"/>
  <c r="F4225" i="1"/>
  <c r="G4225" i="1"/>
  <c r="H4225" i="1"/>
  <c r="K4225" i="1"/>
  <c r="F4226" i="1"/>
  <c r="G4226" i="1"/>
  <c r="H4226" i="1"/>
  <c r="K4226" i="1"/>
  <c r="F4227" i="1"/>
  <c r="G4227" i="1"/>
  <c r="H4227" i="1"/>
  <c r="K4227" i="1"/>
  <c r="F4228" i="1"/>
  <c r="G4228" i="1"/>
  <c r="H4228" i="1"/>
  <c r="K4228" i="1"/>
  <c r="F4229" i="1"/>
  <c r="G4229" i="1"/>
  <c r="H4229" i="1"/>
  <c r="K4229" i="1"/>
  <c r="F4230" i="1"/>
  <c r="G4230" i="1"/>
  <c r="H4230" i="1"/>
  <c r="K4230" i="1"/>
  <c r="F4231" i="1"/>
  <c r="G4231" i="1"/>
  <c r="H4231" i="1"/>
  <c r="K4231" i="1"/>
  <c r="F5595" i="1"/>
  <c r="G5595" i="1"/>
  <c r="H5595" i="1"/>
  <c r="K5595" i="1"/>
  <c r="F5596" i="1"/>
  <c r="G5596" i="1"/>
  <c r="H5596" i="1"/>
  <c r="K5596" i="1"/>
  <c r="F5597" i="1"/>
  <c r="G5597" i="1"/>
  <c r="H5597" i="1"/>
  <c r="K5597" i="1"/>
  <c r="F5598" i="1"/>
  <c r="G5598" i="1"/>
  <c r="H5598" i="1"/>
  <c r="K5598" i="1"/>
  <c r="F5599" i="1"/>
  <c r="G5599" i="1"/>
  <c r="H5599" i="1"/>
  <c r="K5599" i="1"/>
  <c r="F5600" i="1"/>
  <c r="G5600" i="1"/>
  <c r="H5600" i="1"/>
  <c r="K5600" i="1"/>
  <c r="F5601" i="1"/>
  <c r="G5601" i="1"/>
  <c r="H5601" i="1"/>
  <c r="K5601" i="1"/>
  <c r="F5602" i="1"/>
  <c r="G5602" i="1"/>
  <c r="H5602" i="1"/>
  <c r="K5602" i="1"/>
  <c r="F5603" i="1"/>
  <c r="G5603" i="1"/>
  <c r="H5603" i="1"/>
  <c r="K5603" i="1"/>
  <c r="F5604" i="1"/>
  <c r="G5604" i="1"/>
  <c r="H5604" i="1"/>
  <c r="K5604" i="1"/>
  <c r="F5605" i="1"/>
  <c r="G5605" i="1"/>
  <c r="H5605" i="1"/>
  <c r="K5605" i="1"/>
  <c r="F5606" i="1"/>
  <c r="G5606" i="1"/>
  <c r="H5606" i="1"/>
  <c r="K5606" i="1"/>
  <c r="F5607" i="1"/>
  <c r="G5607" i="1"/>
  <c r="H5607" i="1"/>
  <c r="K5607" i="1"/>
  <c r="F5608" i="1"/>
  <c r="G5608" i="1"/>
  <c r="H5608" i="1"/>
  <c r="K5608" i="1"/>
  <c r="F5609" i="1"/>
  <c r="G5609" i="1"/>
  <c r="H5609" i="1"/>
  <c r="K5609" i="1"/>
  <c r="F5610" i="1"/>
  <c r="G5610" i="1"/>
  <c r="H5610" i="1"/>
  <c r="K5610" i="1"/>
  <c r="F5611" i="1"/>
  <c r="G5611" i="1"/>
  <c r="H5611" i="1"/>
  <c r="K5611" i="1"/>
  <c r="F5612" i="1"/>
  <c r="G5612" i="1"/>
  <c r="H5612" i="1"/>
  <c r="K5612" i="1"/>
  <c r="F5613" i="1"/>
  <c r="G5613" i="1"/>
  <c r="H5613" i="1"/>
  <c r="K5613" i="1"/>
  <c r="F5614" i="1"/>
  <c r="G5614" i="1"/>
  <c r="H5614" i="1"/>
  <c r="K5614" i="1"/>
  <c r="F5615" i="1"/>
  <c r="G5615" i="1"/>
  <c r="H5615" i="1"/>
  <c r="K5615" i="1"/>
  <c r="F5616" i="1"/>
  <c r="G5616" i="1"/>
  <c r="H5616" i="1"/>
  <c r="K5616" i="1"/>
  <c r="F5617" i="1"/>
  <c r="G5617" i="1"/>
  <c r="H5617" i="1"/>
  <c r="K5617" i="1"/>
  <c r="F5618" i="1"/>
  <c r="G5618" i="1"/>
  <c r="H5618" i="1"/>
  <c r="K5618" i="1"/>
  <c r="F4232" i="1"/>
  <c r="G4232" i="1"/>
  <c r="H4232" i="1"/>
  <c r="K4232" i="1"/>
  <c r="F5619" i="1"/>
  <c r="G5619" i="1"/>
  <c r="H5619" i="1"/>
  <c r="K5619" i="1"/>
  <c r="F2851" i="1"/>
  <c r="G2851" i="1"/>
  <c r="H2851" i="1"/>
  <c r="K2851" i="1"/>
  <c r="F4233" i="1"/>
  <c r="G4233" i="1"/>
  <c r="H4233" i="1"/>
  <c r="K4233" i="1"/>
  <c r="F1220" i="1"/>
  <c r="G1220" i="1"/>
  <c r="H1220" i="1"/>
  <c r="K1220" i="1"/>
  <c r="F7105" i="1"/>
  <c r="G7105" i="1"/>
  <c r="H7105" i="1"/>
  <c r="K7105" i="1"/>
  <c r="F5620" i="1"/>
  <c r="G5620" i="1"/>
  <c r="H5620" i="1"/>
  <c r="K5620" i="1"/>
  <c r="F5621" i="1"/>
  <c r="G5621" i="1"/>
  <c r="H5621" i="1"/>
  <c r="K5621" i="1"/>
  <c r="F1221" i="1"/>
  <c r="G1221" i="1"/>
  <c r="H1221" i="1"/>
  <c r="K1221" i="1"/>
  <c r="F1222" i="1"/>
  <c r="G1222" i="1"/>
  <c r="H1222" i="1"/>
  <c r="K1222" i="1"/>
  <c r="F1223" i="1"/>
  <c r="G1223" i="1"/>
  <c r="H1223" i="1"/>
  <c r="K1223" i="1"/>
  <c r="F4234" i="1"/>
  <c r="G4234" i="1"/>
  <c r="H4234" i="1"/>
  <c r="K4234" i="1"/>
  <c r="F1224" i="1"/>
  <c r="G1224" i="1"/>
  <c r="H1224" i="1"/>
  <c r="K1224" i="1"/>
  <c r="F1225" i="1"/>
  <c r="G1225" i="1"/>
  <c r="H1225" i="1"/>
  <c r="K1225" i="1"/>
  <c r="F1226" i="1"/>
  <c r="G1226" i="1"/>
  <c r="H1226" i="1"/>
  <c r="K1226" i="1"/>
  <c r="F1227" i="1"/>
  <c r="G1227" i="1"/>
  <c r="H1227" i="1"/>
  <c r="K1227" i="1"/>
  <c r="F1228" i="1"/>
  <c r="G1228" i="1"/>
  <c r="H1228" i="1"/>
  <c r="K1228" i="1"/>
  <c r="F4235" i="1"/>
  <c r="G4235" i="1"/>
  <c r="H4235" i="1"/>
  <c r="K4235" i="1"/>
  <c r="F4236" i="1"/>
  <c r="G4236" i="1"/>
  <c r="H4236" i="1"/>
  <c r="K4236" i="1"/>
  <c r="F4237" i="1"/>
  <c r="G4237" i="1"/>
  <c r="H4237" i="1"/>
  <c r="K4237" i="1"/>
  <c r="F4238" i="1"/>
  <c r="G4238" i="1"/>
  <c r="H4238" i="1"/>
  <c r="K4238" i="1"/>
  <c r="F4239" i="1"/>
  <c r="G4239" i="1"/>
  <c r="H4239" i="1"/>
  <c r="K4239" i="1"/>
  <c r="F4240" i="1"/>
  <c r="G4240" i="1"/>
  <c r="H4240" i="1"/>
  <c r="K4240" i="1"/>
  <c r="F4241" i="1"/>
  <c r="G4241" i="1"/>
  <c r="H4241" i="1"/>
  <c r="K4241" i="1"/>
  <c r="F2852" i="1"/>
  <c r="G2852" i="1"/>
  <c r="H2852" i="1"/>
  <c r="K2852" i="1"/>
  <c r="F2853" i="1"/>
  <c r="G2853" i="1"/>
  <c r="H2853" i="1"/>
  <c r="K2853" i="1"/>
  <c r="F2854" i="1"/>
  <c r="G2854" i="1"/>
  <c r="H2854" i="1"/>
  <c r="K2854" i="1"/>
  <c r="F2855" i="1"/>
  <c r="G2855" i="1"/>
  <c r="H2855" i="1"/>
  <c r="K2855" i="1"/>
  <c r="F2856" i="1"/>
  <c r="G2856" i="1"/>
  <c r="H2856" i="1"/>
  <c r="K2856" i="1"/>
  <c r="F2857" i="1"/>
  <c r="G2857" i="1"/>
  <c r="H2857" i="1"/>
  <c r="K2857" i="1"/>
  <c r="F1229" i="1"/>
  <c r="G1229" i="1"/>
  <c r="H1229" i="1"/>
  <c r="K1229" i="1"/>
  <c r="F5622" i="1"/>
  <c r="G5622" i="1"/>
  <c r="H5622" i="1"/>
  <c r="K5622" i="1"/>
  <c r="F2858" i="1"/>
  <c r="G2858" i="1"/>
  <c r="H2858" i="1"/>
  <c r="K2858" i="1"/>
  <c r="F5623" i="1"/>
  <c r="G5623" i="1"/>
  <c r="H5623" i="1"/>
  <c r="K5623" i="1"/>
  <c r="F1230" i="1"/>
  <c r="G1230" i="1"/>
  <c r="H1230" i="1"/>
  <c r="K1230" i="1"/>
  <c r="F7106" i="1"/>
  <c r="G7106" i="1"/>
  <c r="H7106" i="1"/>
  <c r="K7106" i="1"/>
  <c r="F7107" i="1"/>
  <c r="G7107" i="1"/>
  <c r="H7107" i="1"/>
  <c r="K7107" i="1"/>
  <c r="F4242" i="1"/>
  <c r="G4242" i="1"/>
  <c r="H4242" i="1"/>
  <c r="K4242" i="1"/>
  <c r="F5624" i="1"/>
  <c r="G5624" i="1"/>
  <c r="H5624" i="1"/>
  <c r="K5624" i="1"/>
  <c r="F7108" i="1"/>
  <c r="G7108" i="1"/>
  <c r="H7108" i="1"/>
  <c r="K7108" i="1"/>
  <c r="F5625" i="1"/>
  <c r="G5625" i="1"/>
  <c r="H5625" i="1"/>
  <c r="K5625" i="1"/>
  <c r="F2859" i="1"/>
  <c r="G2859" i="1"/>
  <c r="H2859" i="1"/>
  <c r="K2859" i="1"/>
  <c r="F2860" i="1"/>
  <c r="G2860" i="1"/>
  <c r="H2860" i="1"/>
  <c r="K2860" i="1"/>
  <c r="F1231" i="1"/>
  <c r="G1231" i="1"/>
  <c r="H1231" i="1"/>
  <c r="K1231" i="1"/>
  <c r="F1232" i="1"/>
  <c r="G1232" i="1"/>
  <c r="H1232" i="1"/>
  <c r="K1232" i="1"/>
  <c r="F4243" i="1"/>
  <c r="G4243" i="1"/>
  <c r="H4243" i="1"/>
  <c r="K4243" i="1"/>
  <c r="F4244" i="1"/>
  <c r="G4244" i="1"/>
  <c r="H4244" i="1"/>
  <c r="K4244" i="1"/>
  <c r="F5626" i="1"/>
  <c r="G5626" i="1"/>
  <c r="H5626" i="1"/>
  <c r="K5626" i="1"/>
  <c r="F1233" i="1"/>
  <c r="G1233" i="1"/>
  <c r="H1233" i="1"/>
  <c r="K1233" i="1"/>
  <c r="F1234" i="1"/>
  <c r="G1234" i="1"/>
  <c r="H1234" i="1"/>
  <c r="K1234" i="1"/>
  <c r="F5627" i="1"/>
  <c r="G5627" i="1"/>
  <c r="H5627" i="1"/>
  <c r="K5627" i="1"/>
  <c r="F5628" i="1"/>
  <c r="G5628" i="1"/>
  <c r="H5628" i="1"/>
  <c r="K5628" i="1"/>
  <c r="F7109" i="1"/>
  <c r="G7109" i="1"/>
  <c r="H7109" i="1"/>
  <c r="K7109" i="1"/>
  <c r="F5629" i="1"/>
  <c r="G5629" i="1"/>
  <c r="H5629" i="1"/>
  <c r="K5629" i="1"/>
  <c r="F1235" i="1"/>
  <c r="G1235" i="1"/>
  <c r="H1235" i="1"/>
  <c r="K1235" i="1"/>
  <c r="F2861" i="1"/>
  <c r="G2861" i="1"/>
  <c r="H2861" i="1"/>
  <c r="K2861" i="1"/>
  <c r="F1236" i="1"/>
  <c r="G1236" i="1"/>
  <c r="H1236" i="1"/>
  <c r="K1236" i="1"/>
  <c r="F5630" i="1"/>
  <c r="G5630" i="1"/>
  <c r="H5630" i="1"/>
  <c r="K5630" i="1"/>
  <c r="F4245" i="1"/>
  <c r="G4245" i="1"/>
  <c r="H4245" i="1"/>
  <c r="K4245" i="1"/>
  <c r="F7110" i="1"/>
  <c r="G7110" i="1"/>
  <c r="H7110" i="1"/>
  <c r="K7110" i="1"/>
  <c r="F5631" i="1"/>
  <c r="G5631" i="1"/>
  <c r="H5631" i="1"/>
  <c r="K5631" i="1"/>
  <c r="F1237" i="1"/>
  <c r="G1237" i="1"/>
  <c r="H1237" i="1"/>
  <c r="K1237" i="1"/>
  <c r="F1238" i="1"/>
  <c r="G1238" i="1"/>
  <c r="H1238" i="1"/>
  <c r="K1238" i="1"/>
  <c r="F7111" i="1"/>
  <c r="G7111" i="1"/>
  <c r="H7111" i="1"/>
  <c r="K7111" i="1"/>
  <c r="F7112" i="1"/>
  <c r="G7112" i="1"/>
  <c r="H7112" i="1"/>
  <c r="K7112" i="1"/>
  <c r="F7113" i="1"/>
  <c r="G7113" i="1"/>
  <c r="H7113" i="1"/>
  <c r="K7113" i="1"/>
  <c r="F2862" i="1"/>
  <c r="G2862" i="1"/>
  <c r="H2862" i="1"/>
  <c r="K2862" i="1"/>
  <c r="F7114" i="1"/>
  <c r="G7114" i="1"/>
  <c r="H7114" i="1"/>
  <c r="K7114" i="1"/>
  <c r="F2863" i="1"/>
  <c r="G2863" i="1"/>
  <c r="H2863" i="1"/>
  <c r="K2863" i="1"/>
  <c r="F4246" i="1"/>
  <c r="G4246" i="1"/>
  <c r="H4246" i="1"/>
  <c r="K4246" i="1"/>
  <c r="F7115" i="1"/>
  <c r="G7115" i="1"/>
  <c r="H7115" i="1"/>
  <c r="K7115" i="1"/>
  <c r="F5632" i="1"/>
  <c r="G5632" i="1"/>
  <c r="H5632" i="1"/>
  <c r="K5632" i="1"/>
  <c r="F7116" i="1"/>
  <c r="G7116" i="1"/>
  <c r="H7116" i="1"/>
  <c r="K7116" i="1"/>
  <c r="F1239" i="1"/>
  <c r="G1239" i="1"/>
  <c r="H1239" i="1"/>
  <c r="K1239" i="1"/>
  <c r="F2864" i="1"/>
  <c r="G2864" i="1"/>
  <c r="H2864" i="1"/>
  <c r="K2864" i="1"/>
  <c r="F2865" i="1"/>
  <c r="G2865" i="1"/>
  <c r="H2865" i="1"/>
  <c r="K2865" i="1"/>
  <c r="F5633" i="1"/>
  <c r="G5633" i="1"/>
  <c r="H5633" i="1"/>
  <c r="K5633" i="1"/>
  <c r="F2866" i="1"/>
  <c r="G2866" i="1"/>
  <c r="H2866" i="1"/>
  <c r="K2866" i="1"/>
  <c r="F1240" i="1"/>
  <c r="G1240" i="1"/>
  <c r="H1240" i="1"/>
  <c r="K1240" i="1"/>
  <c r="F2867" i="1"/>
  <c r="G2867" i="1"/>
  <c r="H2867" i="1"/>
  <c r="K2867" i="1"/>
  <c r="F5634" i="1"/>
  <c r="G5634" i="1"/>
  <c r="H5634" i="1"/>
  <c r="K5634" i="1"/>
  <c r="F2868" i="1"/>
  <c r="G2868" i="1"/>
  <c r="H2868" i="1"/>
  <c r="K2868" i="1"/>
  <c r="F1241" i="1"/>
  <c r="G1241" i="1"/>
  <c r="H1241" i="1"/>
  <c r="K1241" i="1"/>
  <c r="F1242" i="1"/>
  <c r="G1242" i="1"/>
  <c r="H1242" i="1"/>
  <c r="K1242" i="1"/>
  <c r="F1243" i="1"/>
  <c r="G1243" i="1"/>
  <c r="H1243" i="1"/>
  <c r="K1243" i="1"/>
  <c r="F1244" i="1"/>
  <c r="G1244" i="1"/>
  <c r="H1244" i="1"/>
  <c r="K1244" i="1"/>
  <c r="F5635" i="1"/>
  <c r="G5635" i="1"/>
  <c r="H5635" i="1"/>
  <c r="K5635" i="1"/>
  <c r="F4247" i="1"/>
  <c r="G4247" i="1"/>
  <c r="H4247" i="1"/>
  <c r="K4247" i="1"/>
  <c r="F7117" i="1"/>
  <c r="G7117" i="1"/>
  <c r="H7117" i="1"/>
  <c r="K7117" i="1"/>
  <c r="F5636" i="1"/>
  <c r="G5636" i="1"/>
  <c r="H5636" i="1"/>
  <c r="K5636" i="1"/>
  <c r="F2869" i="1"/>
  <c r="G2869" i="1"/>
  <c r="H2869" i="1"/>
  <c r="K2869" i="1"/>
  <c r="F1245" i="1"/>
  <c r="G1245" i="1"/>
  <c r="H1245" i="1"/>
  <c r="K1245" i="1"/>
  <c r="F5637" i="1"/>
  <c r="G5637" i="1"/>
  <c r="H5637" i="1"/>
  <c r="K5637" i="1"/>
  <c r="F5638" i="1"/>
  <c r="G5638" i="1"/>
  <c r="H5638" i="1"/>
  <c r="K5638" i="1"/>
  <c r="F7118" i="1"/>
  <c r="G7118" i="1"/>
  <c r="H7118" i="1"/>
  <c r="K7118" i="1"/>
  <c r="F1246" i="1"/>
  <c r="G1246" i="1"/>
  <c r="H1246" i="1"/>
  <c r="K1246" i="1"/>
  <c r="F1247" i="1"/>
  <c r="G1247" i="1"/>
  <c r="H1247" i="1"/>
  <c r="K1247" i="1"/>
  <c r="F1248" i="1"/>
  <c r="G1248" i="1"/>
  <c r="H1248" i="1"/>
  <c r="K1248" i="1"/>
  <c r="F1249" i="1"/>
  <c r="G1249" i="1"/>
  <c r="H1249" i="1"/>
  <c r="K1249" i="1"/>
  <c r="F2870" i="1"/>
  <c r="G2870" i="1"/>
  <c r="H2870" i="1"/>
  <c r="K2870" i="1"/>
  <c r="F5639" i="1"/>
  <c r="G5639" i="1"/>
  <c r="H5639" i="1"/>
  <c r="K5639" i="1"/>
  <c r="F7119" i="1"/>
  <c r="G7119" i="1"/>
  <c r="H7119" i="1"/>
  <c r="K7119" i="1"/>
  <c r="F4248" i="1"/>
  <c r="G4248" i="1"/>
  <c r="H4248" i="1"/>
  <c r="K4248" i="1"/>
  <c r="F7120" i="1"/>
  <c r="G7120" i="1"/>
  <c r="H7120" i="1"/>
  <c r="K7120" i="1"/>
  <c r="F7121" i="1"/>
  <c r="G7121" i="1"/>
  <c r="H7121" i="1"/>
  <c r="K7121" i="1"/>
  <c r="F7122" i="1"/>
  <c r="G7122" i="1"/>
  <c r="H7122" i="1"/>
  <c r="K7122" i="1"/>
  <c r="F2871" i="1"/>
  <c r="G2871" i="1"/>
  <c r="H2871" i="1"/>
  <c r="K2871" i="1"/>
  <c r="F4249" i="1"/>
  <c r="G4249" i="1"/>
  <c r="H4249" i="1"/>
  <c r="K4249" i="1"/>
  <c r="F2872" i="1"/>
  <c r="G2872" i="1"/>
  <c r="H2872" i="1"/>
  <c r="K2872" i="1"/>
  <c r="F1250" i="1"/>
  <c r="G1250" i="1"/>
  <c r="H1250" i="1"/>
  <c r="K1250" i="1"/>
  <c r="F2873" i="1"/>
  <c r="G2873" i="1"/>
  <c r="H2873" i="1"/>
  <c r="K2873" i="1"/>
  <c r="F5640" i="1"/>
  <c r="G5640" i="1"/>
  <c r="H5640" i="1"/>
  <c r="K5640" i="1"/>
  <c r="F7123" i="1"/>
  <c r="G7123" i="1"/>
  <c r="H7123" i="1"/>
  <c r="K7123" i="1"/>
  <c r="F1251" i="1"/>
  <c r="G1251" i="1"/>
  <c r="H1251" i="1"/>
  <c r="K1251" i="1"/>
  <c r="F1252" i="1"/>
  <c r="G1252" i="1"/>
  <c r="H1252" i="1"/>
  <c r="K1252" i="1"/>
  <c r="F1253" i="1"/>
  <c r="G1253" i="1"/>
  <c r="H1253" i="1"/>
  <c r="K1253" i="1"/>
  <c r="F7124" i="1"/>
  <c r="G7124" i="1"/>
  <c r="H7124" i="1"/>
  <c r="K7124" i="1"/>
  <c r="F7125" i="1"/>
  <c r="G7125" i="1"/>
  <c r="H7125" i="1"/>
  <c r="K7125" i="1"/>
  <c r="F7126" i="1"/>
  <c r="G7126" i="1"/>
  <c r="H7126" i="1"/>
  <c r="K7126" i="1"/>
  <c r="F7127" i="1"/>
  <c r="G7127" i="1"/>
  <c r="H7127" i="1"/>
  <c r="K7127" i="1"/>
  <c r="F5641" i="1"/>
  <c r="G5641" i="1"/>
  <c r="H5641" i="1"/>
  <c r="K5641" i="1"/>
  <c r="F1254" i="1"/>
  <c r="G1254" i="1"/>
  <c r="H1254" i="1"/>
  <c r="K1254" i="1"/>
  <c r="F5642" i="1"/>
  <c r="G5642" i="1"/>
  <c r="H5642" i="1"/>
  <c r="K5642" i="1"/>
  <c r="F7128" i="1"/>
  <c r="G7128" i="1"/>
  <c r="H7128" i="1"/>
  <c r="K7128" i="1"/>
  <c r="F7129" i="1"/>
  <c r="G7129" i="1"/>
  <c r="H7129" i="1"/>
  <c r="K7129" i="1"/>
  <c r="F5643" i="1"/>
  <c r="G5643" i="1"/>
  <c r="H5643" i="1"/>
  <c r="K5643" i="1"/>
  <c r="F7130" i="1"/>
  <c r="G7130" i="1"/>
  <c r="H7130" i="1"/>
  <c r="K7130" i="1"/>
  <c r="F2874" i="1"/>
  <c r="G2874" i="1"/>
  <c r="H2874" i="1"/>
  <c r="K2874" i="1"/>
  <c r="F1255" i="1"/>
  <c r="G1255" i="1"/>
  <c r="H1255" i="1"/>
  <c r="K1255" i="1"/>
  <c r="F1256" i="1"/>
  <c r="G1256" i="1"/>
  <c r="H1256" i="1"/>
  <c r="K1256" i="1"/>
  <c r="F1257" i="1"/>
  <c r="G1257" i="1"/>
  <c r="H1257" i="1"/>
  <c r="K1257" i="1"/>
  <c r="F2875" i="1"/>
  <c r="G2875" i="1"/>
  <c r="H2875" i="1"/>
  <c r="K2875" i="1"/>
  <c r="F2876" i="1"/>
  <c r="G2876" i="1"/>
  <c r="H2876" i="1"/>
  <c r="K2876" i="1"/>
  <c r="F4250" i="1"/>
  <c r="G4250" i="1"/>
  <c r="H4250" i="1"/>
  <c r="K4250" i="1"/>
  <c r="F4251" i="1"/>
  <c r="G4251" i="1"/>
  <c r="H4251" i="1"/>
  <c r="K4251" i="1"/>
  <c r="F7131" i="1"/>
  <c r="G7131" i="1"/>
  <c r="H7131" i="1"/>
  <c r="K7131" i="1"/>
  <c r="F7132" i="1"/>
  <c r="G7132" i="1"/>
  <c r="H7132" i="1"/>
  <c r="K7132" i="1"/>
  <c r="F4252" i="1"/>
  <c r="G4252" i="1"/>
  <c r="H4252" i="1"/>
  <c r="K4252" i="1"/>
  <c r="F2877" i="1"/>
  <c r="G2877" i="1"/>
  <c r="H2877" i="1"/>
  <c r="K2877" i="1"/>
  <c r="F2878" i="1"/>
  <c r="G2878" i="1"/>
  <c r="H2878" i="1"/>
  <c r="K2878" i="1"/>
  <c r="F4253" i="1"/>
  <c r="G4253" i="1"/>
  <c r="H4253" i="1"/>
  <c r="K4253" i="1"/>
  <c r="F7133" i="1"/>
  <c r="G7133" i="1"/>
  <c r="H7133" i="1"/>
  <c r="K7133" i="1"/>
  <c r="F2879" i="1"/>
  <c r="G2879" i="1"/>
  <c r="H2879" i="1"/>
  <c r="K2879" i="1"/>
  <c r="F4254" i="1"/>
  <c r="G4254" i="1"/>
  <c r="H4254" i="1"/>
  <c r="K4254" i="1"/>
  <c r="F7134" i="1"/>
  <c r="G7134" i="1"/>
  <c r="H7134" i="1"/>
  <c r="K7134" i="1"/>
  <c r="F7135" i="1"/>
  <c r="G7135" i="1"/>
  <c r="H7135" i="1"/>
  <c r="K7135" i="1"/>
  <c r="F1258" i="1"/>
  <c r="G1258" i="1"/>
  <c r="H1258" i="1"/>
  <c r="K1258" i="1"/>
  <c r="F1259" i="1"/>
  <c r="G1259" i="1"/>
  <c r="H1259" i="1"/>
  <c r="K1259" i="1"/>
  <c r="F5644" i="1"/>
  <c r="G5644" i="1"/>
  <c r="H5644" i="1"/>
  <c r="K5644" i="1"/>
  <c r="F1260" i="1"/>
  <c r="G1260" i="1"/>
  <c r="H1260" i="1"/>
  <c r="K1260" i="1"/>
  <c r="F4255" i="1"/>
  <c r="G4255" i="1"/>
  <c r="H4255" i="1"/>
  <c r="K4255" i="1"/>
  <c r="F1261" i="1"/>
  <c r="G1261" i="1"/>
  <c r="H1261" i="1"/>
  <c r="K1261" i="1"/>
  <c r="F1262" i="1"/>
  <c r="G1262" i="1"/>
  <c r="H1262" i="1"/>
  <c r="K1262" i="1"/>
  <c r="F4256" i="1"/>
  <c r="G4256" i="1"/>
  <c r="H4256" i="1"/>
  <c r="K4256" i="1"/>
  <c r="F4257" i="1"/>
  <c r="G4257" i="1"/>
  <c r="H4257" i="1"/>
  <c r="K4257" i="1"/>
  <c r="F7136" i="1"/>
  <c r="G7136" i="1"/>
  <c r="H7136" i="1"/>
  <c r="K7136" i="1"/>
  <c r="F5645" i="1"/>
  <c r="G5645" i="1"/>
  <c r="H5645" i="1"/>
  <c r="K5645" i="1"/>
  <c r="F1263" i="1"/>
  <c r="G1263" i="1"/>
  <c r="H1263" i="1"/>
  <c r="K1263" i="1"/>
  <c r="F4258" i="1"/>
  <c r="G4258" i="1"/>
  <c r="H4258" i="1"/>
  <c r="K4258" i="1"/>
  <c r="F5646" i="1"/>
  <c r="G5646" i="1"/>
  <c r="H5646" i="1"/>
  <c r="K5646" i="1"/>
  <c r="F1264" i="1"/>
  <c r="G1264" i="1"/>
  <c r="H1264" i="1"/>
  <c r="K1264" i="1"/>
  <c r="F4259" i="1"/>
  <c r="G4259" i="1"/>
  <c r="H4259" i="1"/>
  <c r="K4259" i="1"/>
  <c r="F4260" i="1"/>
  <c r="G4260" i="1"/>
  <c r="H4260" i="1"/>
  <c r="K4260" i="1"/>
  <c r="F4261" i="1"/>
  <c r="G4261" i="1"/>
  <c r="H4261" i="1"/>
  <c r="K4261" i="1"/>
  <c r="F5647" i="1"/>
  <c r="G5647" i="1"/>
  <c r="H5647" i="1"/>
  <c r="K5647" i="1"/>
  <c r="F5648" i="1"/>
  <c r="G5648" i="1"/>
  <c r="H5648" i="1"/>
  <c r="K5648" i="1"/>
  <c r="F1265" i="1"/>
  <c r="G1265" i="1"/>
  <c r="H1265" i="1"/>
  <c r="K1265" i="1"/>
  <c r="F7137" i="1"/>
  <c r="G7137" i="1"/>
  <c r="H7137" i="1"/>
  <c r="K7137" i="1"/>
  <c r="F7138" i="1"/>
  <c r="G7138" i="1"/>
  <c r="H7138" i="1"/>
  <c r="K7138" i="1"/>
  <c r="F7139" i="1"/>
  <c r="G7139" i="1"/>
  <c r="H7139" i="1"/>
  <c r="K7139" i="1"/>
  <c r="F1266" i="1"/>
  <c r="G1266" i="1"/>
  <c r="H1266" i="1"/>
  <c r="K1266" i="1"/>
  <c r="F7140" i="1"/>
  <c r="G7140" i="1"/>
  <c r="H7140" i="1"/>
  <c r="K7140" i="1"/>
  <c r="F7141" i="1"/>
  <c r="G7141" i="1"/>
  <c r="H7141" i="1"/>
  <c r="K7141" i="1"/>
  <c r="F4262" i="1"/>
  <c r="G4262" i="1"/>
  <c r="H4262" i="1"/>
  <c r="K4262" i="1"/>
  <c r="F4263" i="1"/>
  <c r="G4263" i="1"/>
  <c r="H4263" i="1"/>
  <c r="K4263" i="1"/>
  <c r="F1267" i="1"/>
  <c r="G1267" i="1"/>
  <c r="H1267" i="1"/>
  <c r="K1267" i="1"/>
  <c r="F2880" i="1"/>
  <c r="G2880" i="1"/>
  <c r="H2880" i="1"/>
  <c r="K2880" i="1"/>
  <c r="F4264" i="1"/>
  <c r="G4264" i="1"/>
  <c r="H4264" i="1"/>
  <c r="K4264" i="1"/>
  <c r="F7142" i="1"/>
  <c r="G7142" i="1"/>
  <c r="H7142" i="1"/>
  <c r="K7142" i="1"/>
  <c r="F2881" i="1"/>
  <c r="G2881" i="1"/>
  <c r="H2881" i="1"/>
  <c r="K2881" i="1"/>
  <c r="F7143" i="1"/>
  <c r="G7143" i="1"/>
  <c r="H7143" i="1"/>
  <c r="K7143" i="1"/>
  <c r="F7144" i="1"/>
  <c r="G7144" i="1"/>
  <c r="H7144" i="1"/>
  <c r="K7144" i="1"/>
  <c r="F4265" i="1"/>
  <c r="G4265" i="1"/>
  <c r="H4265" i="1"/>
  <c r="K4265" i="1"/>
  <c r="F7145" i="1"/>
  <c r="G7145" i="1"/>
  <c r="H7145" i="1"/>
  <c r="K7145" i="1"/>
  <c r="F7146" i="1"/>
  <c r="G7146" i="1"/>
  <c r="H7146" i="1"/>
  <c r="K7146" i="1"/>
  <c r="F7147" i="1"/>
  <c r="G7147" i="1"/>
  <c r="H7147" i="1"/>
  <c r="K7147" i="1"/>
  <c r="F7148" i="1"/>
  <c r="G7148" i="1"/>
  <c r="H7148" i="1"/>
  <c r="K7148" i="1"/>
  <c r="F5649" i="1"/>
  <c r="G5649" i="1"/>
  <c r="H5649" i="1"/>
  <c r="K5649" i="1"/>
  <c r="F1268" i="1"/>
  <c r="G1268" i="1"/>
  <c r="H1268" i="1"/>
  <c r="K1268" i="1"/>
  <c r="F7149" i="1"/>
  <c r="G7149" i="1"/>
  <c r="H7149" i="1"/>
  <c r="K7149" i="1"/>
  <c r="F4266" i="1"/>
  <c r="G4266" i="1"/>
  <c r="H4266" i="1"/>
  <c r="K4266" i="1"/>
  <c r="F4267" i="1"/>
  <c r="G4267" i="1"/>
  <c r="H4267" i="1"/>
  <c r="K4267" i="1"/>
  <c r="F2882" i="1"/>
  <c r="G2882" i="1"/>
  <c r="H2882" i="1"/>
  <c r="K2882" i="1"/>
  <c r="F2883" i="1"/>
  <c r="G2883" i="1"/>
  <c r="H2883" i="1"/>
  <c r="K2883" i="1"/>
  <c r="F4268" i="1"/>
  <c r="G4268" i="1"/>
  <c r="H4268" i="1"/>
  <c r="K4268" i="1"/>
  <c r="F7150" i="1"/>
  <c r="G7150" i="1"/>
  <c r="H7150" i="1"/>
  <c r="K7150" i="1"/>
  <c r="F1269" i="1"/>
  <c r="G1269" i="1"/>
  <c r="H1269" i="1"/>
  <c r="K1269" i="1"/>
  <c r="F7151" i="1"/>
  <c r="G7151" i="1"/>
  <c r="H7151" i="1"/>
  <c r="K7151" i="1"/>
  <c r="F2884" i="1"/>
  <c r="G2884" i="1"/>
  <c r="H2884" i="1"/>
  <c r="K2884" i="1"/>
  <c r="F7152" i="1"/>
  <c r="G7152" i="1"/>
  <c r="H7152" i="1"/>
  <c r="K7152" i="1"/>
  <c r="F7153" i="1"/>
  <c r="G7153" i="1"/>
  <c r="H7153" i="1"/>
  <c r="K7153" i="1"/>
  <c r="F1270" i="1"/>
  <c r="G1270" i="1"/>
  <c r="H1270" i="1"/>
  <c r="K1270" i="1"/>
  <c r="F2885" i="1"/>
  <c r="G2885" i="1"/>
  <c r="H2885" i="1"/>
  <c r="K2885" i="1"/>
  <c r="F7154" i="1"/>
  <c r="G7154" i="1"/>
  <c r="H7154" i="1"/>
  <c r="K7154" i="1"/>
  <c r="F4269" i="1"/>
  <c r="G4269" i="1"/>
  <c r="H4269" i="1"/>
  <c r="K4269" i="1"/>
  <c r="F4270" i="1"/>
  <c r="G4270" i="1"/>
  <c r="H4270" i="1"/>
  <c r="K4270" i="1"/>
  <c r="F5650" i="1"/>
  <c r="G5650" i="1"/>
  <c r="H5650" i="1"/>
  <c r="K5650" i="1"/>
  <c r="F7155" i="1"/>
  <c r="G7155" i="1"/>
  <c r="H7155" i="1"/>
  <c r="K7155" i="1"/>
  <c r="F2886" i="1"/>
  <c r="G2886" i="1"/>
  <c r="H2886" i="1"/>
  <c r="K2886" i="1"/>
  <c r="F2887" i="1"/>
  <c r="G2887" i="1"/>
  <c r="H2887" i="1"/>
  <c r="K2887" i="1"/>
  <c r="F5651" i="1"/>
  <c r="G5651" i="1"/>
  <c r="H5651" i="1"/>
  <c r="K5651" i="1"/>
  <c r="F7156" i="1"/>
  <c r="G7156" i="1"/>
  <c r="H7156" i="1"/>
  <c r="K7156" i="1"/>
  <c r="F7157" i="1"/>
  <c r="G7157" i="1"/>
  <c r="H7157" i="1"/>
  <c r="K7157" i="1"/>
  <c r="F7158" i="1"/>
  <c r="G7158" i="1"/>
  <c r="H7158" i="1"/>
  <c r="K7158" i="1"/>
  <c r="F7159" i="1"/>
  <c r="G7159" i="1"/>
  <c r="H7159" i="1"/>
  <c r="K7159" i="1"/>
  <c r="F2888" i="1"/>
  <c r="G2888" i="1"/>
  <c r="H2888" i="1"/>
  <c r="K2888" i="1"/>
  <c r="F1271" i="1"/>
  <c r="G1271" i="1"/>
  <c r="H1271" i="1"/>
  <c r="K1271" i="1"/>
  <c r="F1272" i="1"/>
  <c r="G1272" i="1"/>
  <c r="H1272" i="1"/>
  <c r="K1272" i="1"/>
  <c r="F7160" i="1"/>
  <c r="G7160" i="1"/>
  <c r="H7160" i="1"/>
  <c r="K7160" i="1"/>
  <c r="F7161" i="1"/>
  <c r="G7161" i="1"/>
  <c r="H7161" i="1"/>
  <c r="K7161" i="1"/>
  <c r="F1273" i="1"/>
  <c r="G1273" i="1"/>
  <c r="H1273" i="1"/>
  <c r="K1273" i="1"/>
  <c r="F1274" i="1"/>
  <c r="G1274" i="1"/>
  <c r="H1274" i="1"/>
  <c r="K1274" i="1"/>
  <c r="F1275" i="1"/>
  <c r="G1275" i="1"/>
  <c r="H1275" i="1"/>
  <c r="K1275" i="1"/>
  <c r="F4271" i="1"/>
  <c r="G4271" i="1"/>
  <c r="H4271" i="1"/>
  <c r="K4271" i="1"/>
  <c r="F2889" i="1"/>
  <c r="G2889" i="1"/>
  <c r="H2889" i="1"/>
  <c r="K2889" i="1"/>
  <c r="F2890" i="1"/>
  <c r="G2890" i="1"/>
  <c r="H2890" i="1"/>
  <c r="K2890" i="1"/>
  <c r="F2891" i="1"/>
  <c r="G2891" i="1"/>
  <c r="H2891" i="1"/>
  <c r="K2891" i="1"/>
  <c r="F4272" i="1"/>
  <c r="G4272" i="1"/>
  <c r="H4272" i="1"/>
  <c r="K4272" i="1"/>
  <c r="F4273" i="1"/>
  <c r="G4273" i="1"/>
  <c r="H4273" i="1"/>
  <c r="K4273" i="1"/>
  <c r="F5652" i="1"/>
  <c r="G5652" i="1"/>
  <c r="H5652" i="1"/>
  <c r="K5652" i="1"/>
  <c r="F4274" i="1"/>
  <c r="G4274" i="1"/>
  <c r="H4274" i="1"/>
  <c r="K4274" i="1"/>
  <c r="F7162" i="1"/>
  <c r="G7162" i="1"/>
  <c r="H7162" i="1"/>
  <c r="K7162" i="1"/>
  <c r="F4275" i="1"/>
  <c r="G4275" i="1"/>
  <c r="H4275" i="1"/>
  <c r="K4275" i="1"/>
  <c r="F2892" i="1"/>
  <c r="G2892" i="1"/>
  <c r="H2892" i="1"/>
  <c r="K2892" i="1"/>
  <c r="F4276" i="1"/>
  <c r="G4276" i="1"/>
  <c r="H4276" i="1"/>
  <c r="K4276" i="1"/>
  <c r="F4277" i="1"/>
  <c r="G4277" i="1"/>
  <c r="H4277" i="1"/>
  <c r="K4277" i="1"/>
  <c r="F4278" i="1"/>
  <c r="G4278" i="1"/>
  <c r="H4278" i="1"/>
  <c r="K4278" i="1"/>
  <c r="F1276" i="1"/>
  <c r="G1276" i="1"/>
  <c r="H1276" i="1"/>
  <c r="K1276" i="1"/>
  <c r="F1277" i="1"/>
  <c r="G1277" i="1"/>
  <c r="H1277" i="1"/>
  <c r="K1277" i="1"/>
  <c r="F1278" i="1"/>
  <c r="G1278" i="1"/>
  <c r="H1278" i="1"/>
  <c r="K1278" i="1"/>
  <c r="F1279" i="1"/>
  <c r="G1279" i="1"/>
  <c r="H1279" i="1"/>
  <c r="K1279" i="1"/>
  <c r="F4279" i="1"/>
  <c r="G4279" i="1"/>
  <c r="H4279" i="1"/>
  <c r="K4279" i="1"/>
  <c r="F1280" i="1"/>
  <c r="G1280" i="1"/>
  <c r="H1280" i="1"/>
  <c r="K1280" i="1"/>
  <c r="F5653" i="1"/>
  <c r="G5653" i="1"/>
  <c r="H5653" i="1"/>
  <c r="K5653" i="1"/>
  <c r="F2893" i="1"/>
  <c r="G2893" i="1"/>
  <c r="H2893" i="1"/>
  <c r="K2893" i="1"/>
  <c r="F1281" i="1"/>
  <c r="G1281" i="1"/>
  <c r="H1281" i="1"/>
  <c r="K1281" i="1"/>
  <c r="F1282" i="1"/>
  <c r="G1282" i="1"/>
  <c r="H1282" i="1"/>
  <c r="K1282" i="1"/>
  <c r="F1283" i="1"/>
  <c r="G1283" i="1"/>
  <c r="H1283" i="1"/>
  <c r="K1283" i="1"/>
  <c r="F1284" i="1"/>
  <c r="G1284" i="1"/>
  <c r="H1284" i="1"/>
  <c r="K1284" i="1"/>
  <c r="F7163" i="1"/>
  <c r="G7163" i="1"/>
  <c r="H7163" i="1"/>
  <c r="K7163" i="1"/>
  <c r="F1285" i="1"/>
  <c r="G1285" i="1"/>
  <c r="H1285" i="1"/>
  <c r="K1285" i="1"/>
  <c r="F5654" i="1"/>
  <c r="G5654" i="1"/>
  <c r="H5654" i="1"/>
  <c r="K5654" i="1"/>
  <c r="F2894" i="1"/>
  <c r="G2894" i="1"/>
  <c r="H2894" i="1"/>
  <c r="K2894" i="1"/>
  <c r="F4280" i="1"/>
  <c r="G4280" i="1"/>
  <c r="H4280" i="1"/>
  <c r="K4280" i="1"/>
  <c r="F1286" i="1"/>
  <c r="G1286" i="1"/>
  <c r="H1286" i="1"/>
  <c r="K1286" i="1"/>
  <c r="F4281" i="1"/>
  <c r="G4281" i="1"/>
  <c r="H4281" i="1"/>
  <c r="K4281" i="1"/>
  <c r="F7164" i="1"/>
  <c r="G7164" i="1"/>
  <c r="H7164" i="1"/>
  <c r="K7164" i="1"/>
  <c r="F1287" i="1"/>
  <c r="G1287" i="1"/>
  <c r="H1287" i="1"/>
  <c r="K1287" i="1"/>
  <c r="F5655" i="1"/>
  <c r="G5655" i="1"/>
  <c r="H5655" i="1"/>
  <c r="K5655" i="1"/>
  <c r="F5656" i="1"/>
  <c r="G5656" i="1"/>
  <c r="H5656" i="1"/>
  <c r="K5656" i="1"/>
  <c r="F7165" i="1"/>
  <c r="G7165" i="1"/>
  <c r="H7165" i="1"/>
  <c r="K7165" i="1"/>
  <c r="F1288" i="1"/>
  <c r="G1288" i="1"/>
  <c r="H1288" i="1"/>
  <c r="K1288" i="1"/>
  <c r="F7166" i="1"/>
  <c r="G7166" i="1"/>
  <c r="H7166" i="1"/>
  <c r="K7166" i="1"/>
  <c r="F1289" i="1"/>
  <c r="G1289" i="1"/>
  <c r="H1289" i="1"/>
  <c r="K1289" i="1"/>
  <c r="F5657" i="1"/>
  <c r="G5657" i="1"/>
  <c r="H5657" i="1"/>
  <c r="K5657" i="1"/>
  <c r="F4282" i="1"/>
  <c r="G4282" i="1"/>
  <c r="H4282" i="1"/>
  <c r="K4282" i="1"/>
  <c r="F5658" i="1"/>
  <c r="G5658" i="1"/>
  <c r="H5658" i="1"/>
  <c r="K5658" i="1"/>
  <c r="F1290" i="1"/>
  <c r="G1290" i="1"/>
  <c r="H1290" i="1"/>
  <c r="K1290" i="1"/>
  <c r="F1291" i="1"/>
  <c r="G1291" i="1"/>
  <c r="H1291" i="1"/>
  <c r="K1291" i="1"/>
  <c r="F2895" i="1"/>
  <c r="G2895" i="1"/>
  <c r="H2895" i="1"/>
  <c r="K2895" i="1"/>
  <c r="F2896" i="1"/>
  <c r="G2896" i="1"/>
  <c r="H2896" i="1"/>
  <c r="K2896" i="1"/>
  <c r="F1292" i="1"/>
  <c r="G1292" i="1"/>
  <c r="H1292" i="1"/>
  <c r="K1292" i="1"/>
  <c r="F5659" i="1"/>
  <c r="G5659" i="1"/>
  <c r="H5659" i="1"/>
  <c r="K5659" i="1"/>
  <c r="F5660" i="1"/>
  <c r="G5660" i="1"/>
  <c r="H5660" i="1"/>
  <c r="K5660" i="1"/>
  <c r="F2897" i="1"/>
  <c r="G2897" i="1"/>
  <c r="H2897" i="1"/>
  <c r="K2897" i="1"/>
  <c r="F4283" i="1"/>
  <c r="G4283" i="1"/>
  <c r="H4283" i="1"/>
  <c r="K4283" i="1"/>
  <c r="F1293" i="1"/>
  <c r="G1293" i="1"/>
  <c r="H1293" i="1"/>
  <c r="K1293" i="1"/>
  <c r="F5661" i="1"/>
  <c r="G5661" i="1"/>
  <c r="H5661" i="1"/>
  <c r="K5661" i="1"/>
  <c r="F5662" i="1"/>
  <c r="G5662" i="1"/>
  <c r="H5662" i="1"/>
  <c r="K5662" i="1"/>
  <c r="F2898" i="1"/>
  <c r="G2898" i="1"/>
  <c r="H2898" i="1"/>
  <c r="K2898" i="1"/>
  <c r="F1294" i="1"/>
  <c r="G1294" i="1"/>
  <c r="H1294" i="1"/>
  <c r="K1294" i="1"/>
  <c r="F5663" i="1"/>
  <c r="G5663" i="1"/>
  <c r="H5663" i="1"/>
  <c r="K5663" i="1"/>
  <c r="F2899" i="1"/>
  <c r="G2899" i="1"/>
  <c r="H2899" i="1"/>
  <c r="K2899" i="1"/>
  <c r="F7167" i="1"/>
  <c r="G7167" i="1"/>
  <c r="H7167" i="1"/>
  <c r="K7167" i="1"/>
  <c r="F5664" i="1"/>
  <c r="G5664" i="1"/>
  <c r="H5664" i="1"/>
  <c r="K5664" i="1"/>
  <c r="F5665" i="1"/>
  <c r="G5665" i="1"/>
  <c r="H5665" i="1"/>
  <c r="K5665" i="1"/>
  <c r="F1295" i="1"/>
  <c r="G1295" i="1"/>
  <c r="H1295" i="1"/>
  <c r="K1295" i="1"/>
  <c r="F4284" i="1"/>
  <c r="G4284" i="1"/>
  <c r="H4284" i="1"/>
  <c r="K4284" i="1"/>
  <c r="F7168" i="1"/>
  <c r="G7168" i="1"/>
  <c r="H7168" i="1"/>
  <c r="K7168" i="1"/>
  <c r="F7169" i="1"/>
  <c r="G7169" i="1"/>
  <c r="H7169" i="1"/>
  <c r="K7169" i="1"/>
  <c r="F7170" i="1"/>
  <c r="G7170" i="1"/>
  <c r="H7170" i="1"/>
  <c r="K7170" i="1"/>
  <c r="F7171" i="1"/>
  <c r="G7171" i="1"/>
  <c r="H7171" i="1"/>
  <c r="K7171" i="1"/>
  <c r="F5666" i="1"/>
  <c r="G5666" i="1"/>
  <c r="H5666" i="1"/>
  <c r="K5666" i="1"/>
  <c r="F7172" i="1"/>
  <c r="G7172" i="1"/>
  <c r="H7172" i="1"/>
  <c r="K7172" i="1"/>
  <c r="F2900" i="1"/>
  <c r="G2900" i="1"/>
  <c r="H2900" i="1"/>
  <c r="K2900" i="1"/>
  <c r="F2901" i="1"/>
  <c r="G2901" i="1"/>
  <c r="H2901" i="1"/>
  <c r="K2901" i="1"/>
  <c r="F5667" i="1"/>
  <c r="G5667" i="1"/>
  <c r="H5667" i="1"/>
  <c r="K5667" i="1"/>
  <c r="F1296" i="1"/>
  <c r="G1296" i="1"/>
  <c r="H1296" i="1"/>
  <c r="K1296" i="1"/>
  <c r="F7173" i="1"/>
  <c r="G7173" i="1"/>
  <c r="H7173" i="1"/>
  <c r="K7173" i="1"/>
  <c r="F1297" i="1"/>
  <c r="G1297" i="1"/>
  <c r="H1297" i="1"/>
  <c r="K1297" i="1"/>
  <c r="F1298" i="1"/>
  <c r="G1298" i="1"/>
  <c r="H1298" i="1"/>
  <c r="K1298" i="1"/>
  <c r="F5668" i="1"/>
  <c r="G5668" i="1"/>
  <c r="H5668" i="1"/>
  <c r="K5668" i="1"/>
  <c r="F5669" i="1"/>
  <c r="G5669" i="1"/>
  <c r="H5669" i="1"/>
  <c r="K5669" i="1"/>
  <c r="F4285" i="1"/>
  <c r="G4285" i="1"/>
  <c r="H4285" i="1"/>
  <c r="K4285" i="1"/>
  <c r="F4286" i="1"/>
  <c r="G4286" i="1"/>
  <c r="H4286" i="1"/>
  <c r="K4286" i="1"/>
  <c r="F2902" i="1"/>
  <c r="G2902" i="1"/>
  <c r="H2902" i="1"/>
  <c r="K2902" i="1"/>
  <c r="F5670" i="1"/>
  <c r="G5670" i="1"/>
  <c r="H5670" i="1"/>
  <c r="K5670" i="1"/>
  <c r="F5671" i="1"/>
  <c r="G5671" i="1"/>
  <c r="H5671" i="1"/>
  <c r="K5671" i="1"/>
  <c r="F5672" i="1"/>
  <c r="G5672" i="1"/>
  <c r="H5672" i="1"/>
  <c r="K5672" i="1"/>
  <c r="F4287" i="1"/>
  <c r="G4287" i="1"/>
  <c r="H4287" i="1"/>
  <c r="K4287" i="1"/>
  <c r="F1299" i="1"/>
  <c r="G1299" i="1"/>
  <c r="H1299" i="1"/>
  <c r="K1299" i="1"/>
  <c r="F2903" i="1"/>
  <c r="G2903" i="1"/>
  <c r="H2903" i="1"/>
  <c r="K2903" i="1"/>
  <c r="F5673" i="1"/>
  <c r="G5673" i="1"/>
  <c r="H5673" i="1"/>
  <c r="K5673" i="1"/>
  <c r="F5674" i="1"/>
  <c r="G5674" i="1"/>
  <c r="H5674" i="1"/>
  <c r="K5674" i="1"/>
  <c r="F2904" i="1"/>
  <c r="G2904" i="1"/>
  <c r="H2904" i="1"/>
  <c r="K2904" i="1"/>
  <c r="F2905" i="1"/>
  <c r="G2905" i="1"/>
  <c r="H2905" i="1"/>
  <c r="K2905" i="1"/>
  <c r="F5675" i="1"/>
  <c r="G5675" i="1"/>
  <c r="H5675" i="1"/>
  <c r="K5675" i="1"/>
  <c r="F2906" i="1"/>
  <c r="G2906" i="1"/>
  <c r="H2906" i="1"/>
  <c r="K2906" i="1"/>
  <c r="F7174" i="1"/>
  <c r="G7174" i="1"/>
  <c r="H7174" i="1"/>
  <c r="K7174" i="1"/>
  <c r="F7175" i="1"/>
  <c r="G7175" i="1"/>
  <c r="H7175" i="1"/>
  <c r="K7175" i="1"/>
  <c r="F2907" i="1"/>
  <c r="G2907" i="1"/>
  <c r="H2907" i="1"/>
  <c r="K2907" i="1"/>
  <c r="F5676" i="1"/>
  <c r="G5676" i="1"/>
  <c r="H5676" i="1"/>
  <c r="K5676" i="1"/>
  <c r="F1300" i="1"/>
  <c r="G1300" i="1"/>
  <c r="H1300" i="1"/>
  <c r="K1300" i="1"/>
  <c r="F7176" i="1"/>
  <c r="G7176" i="1"/>
  <c r="H7176" i="1"/>
  <c r="K7176" i="1"/>
  <c r="F7177" i="1"/>
  <c r="G7177" i="1"/>
  <c r="H7177" i="1"/>
  <c r="K7177" i="1"/>
  <c r="F7178" i="1"/>
  <c r="G7178" i="1"/>
  <c r="H7178" i="1"/>
  <c r="K7178" i="1"/>
  <c r="F4288" i="1"/>
  <c r="G4288" i="1"/>
  <c r="H4288" i="1"/>
  <c r="K4288" i="1"/>
  <c r="F4289" i="1"/>
  <c r="G4289" i="1"/>
  <c r="H4289" i="1"/>
  <c r="K4289" i="1"/>
  <c r="F7179" i="1"/>
  <c r="G7179" i="1"/>
  <c r="H7179" i="1"/>
  <c r="K7179" i="1"/>
  <c r="F7180" i="1"/>
  <c r="G7180" i="1"/>
  <c r="H7180" i="1"/>
  <c r="K7180" i="1"/>
  <c r="F7181" i="1"/>
  <c r="G7181" i="1"/>
  <c r="H7181" i="1"/>
  <c r="K7181" i="1"/>
  <c r="F4290" i="1"/>
  <c r="G4290" i="1"/>
  <c r="H4290" i="1"/>
  <c r="K4290" i="1"/>
  <c r="F5677" i="1"/>
  <c r="G5677" i="1"/>
  <c r="H5677" i="1"/>
  <c r="K5677" i="1"/>
  <c r="F7182" i="1"/>
  <c r="G7182" i="1"/>
  <c r="H7182" i="1"/>
  <c r="K7182" i="1"/>
  <c r="F2908" i="1"/>
  <c r="G2908" i="1"/>
  <c r="H2908" i="1"/>
  <c r="K2908" i="1"/>
  <c r="F5678" i="1"/>
  <c r="G5678" i="1"/>
  <c r="H5678" i="1"/>
  <c r="K5678" i="1"/>
  <c r="F1301" i="1"/>
  <c r="G1301" i="1"/>
  <c r="H1301" i="1"/>
  <c r="K1301" i="1"/>
  <c r="F5679" i="1"/>
  <c r="G5679" i="1"/>
  <c r="H5679" i="1"/>
  <c r="K5679" i="1"/>
  <c r="F5680" i="1"/>
  <c r="G5680" i="1"/>
  <c r="H5680" i="1"/>
  <c r="K5680" i="1"/>
  <c r="F1302" i="1"/>
  <c r="G1302" i="1"/>
  <c r="H1302" i="1"/>
  <c r="K1302" i="1"/>
  <c r="F5681" i="1"/>
  <c r="G5681" i="1"/>
  <c r="H5681" i="1"/>
  <c r="K5681" i="1"/>
  <c r="F5682" i="1"/>
  <c r="G5682" i="1"/>
  <c r="H5682" i="1"/>
  <c r="K5682" i="1"/>
  <c r="F1303" i="1"/>
  <c r="G1303" i="1"/>
  <c r="H1303" i="1"/>
  <c r="K1303" i="1"/>
  <c r="F4291" i="1"/>
  <c r="G4291" i="1"/>
  <c r="H4291" i="1"/>
  <c r="K4291" i="1"/>
  <c r="F7183" i="1"/>
  <c r="G7183" i="1"/>
  <c r="H7183" i="1"/>
  <c r="K7183" i="1"/>
  <c r="F7184" i="1"/>
  <c r="G7184" i="1"/>
  <c r="H7184" i="1"/>
  <c r="K7184" i="1"/>
  <c r="F5683" i="1"/>
  <c r="G5683" i="1"/>
  <c r="H5683" i="1"/>
  <c r="K5683" i="1"/>
  <c r="F7185" i="1"/>
  <c r="G7185" i="1"/>
  <c r="H7185" i="1"/>
  <c r="K7185" i="1"/>
  <c r="F1304" i="1"/>
  <c r="G1304" i="1"/>
  <c r="H1304" i="1"/>
  <c r="K1304" i="1"/>
  <c r="F1305" i="1"/>
  <c r="G1305" i="1"/>
  <c r="H1305" i="1"/>
  <c r="K1305" i="1"/>
  <c r="F1306" i="1"/>
  <c r="G1306" i="1"/>
  <c r="H1306" i="1"/>
  <c r="K1306" i="1"/>
  <c r="F2909" i="1"/>
  <c r="G2909" i="1"/>
  <c r="H2909" i="1"/>
  <c r="K2909" i="1"/>
  <c r="F4292" i="1"/>
  <c r="G4292" i="1"/>
  <c r="H4292" i="1"/>
  <c r="K4292" i="1"/>
  <c r="F4293" i="1"/>
  <c r="G4293" i="1"/>
  <c r="H4293" i="1"/>
  <c r="K4293" i="1"/>
  <c r="F1307" i="1"/>
  <c r="G1307" i="1"/>
  <c r="H1307" i="1"/>
  <c r="K1307" i="1"/>
  <c r="F4294" i="1"/>
  <c r="G4294" i="1"/>
  <c r="H4294" i="1"/>
  <c r="K4294" i="1"/>
  <c r="F1308" i="1"/>
  <c r="G1308" i="1"/>
  <c r="H1308" i="1"/>
  <c r="K1308" i="1"/>
  <c r="F4295" i="1"/>
  <c r="G4295" i="1"/>
  <c r="H4295" i="1"/>
  <c r="K4295" i="1"/>
  <c r="F4296" i="1"/>
  <c r="G4296" i="1"/>
  <c r="H4296" i="1"/>
  <c r="K4296" i="1"/>
  <c r="F2910" i="1"/>
  <c r="G2910" i="1"/>
  <c r="H2910" i="1"/>
  <c r="K2910" i="1"/>
  <c r="F5684" i="1"/>
  <c r="G5684" i="1"/>
  <c r="H5684" i="1"/>
  <c r="K5684" i="1"/>
  <c r="F4297" i="1"/>
  <c r="G4297" i="1"/>
  <c r="H4297" i="1"/>
  <c r="K4297" i="1"/>
  <c r="F1309" i="1"/>
  <c r="G1309" i="1"/>
  <c r="H1309" i="1"/>
  <c r="K1309" i="1"/>
  <c r="F2911" i="1"/>
  <c r="G2911" i="1"/>
  <c r="H2911" i="1"/>
  <c r="K2911" i="1"/>
  <c r="F5685" i="1"/>
  <c r="G5685" i="1"/>
  <c r="H5685" i="1"/>
  <c r="K5685" i="1"/>
  <c r="F4298" i="1"/>
  <c r="G4298" i="1"/>
  <c r="H4298" i="1"/>
  <c r="K4298" i="1"/>
  <c r="F1310" i="1"/>
  <c r="G1310" i="1"/>
  <c r="H1310" i="1"/>
  <c r="K1310" i="1"/>
  <c r="F4299" i="1"/>
  <c r="G4299" i="1"/>
  <c r="H4299" i="1"/>
  <c r="K4299" i="1"/>
  <c r="F2912" i="1"/>
  <c r="G2912" i="1"/>
  <c r="H2912" i="1"/>
  <c r="K2912" i="1"/>
  <c r="F7186" i="1"/>
  <c r="G7186" i="1"/>
  <c r="H7186" i="1"/>
  <c r="K7186" i="1"/>
  <c r="F1311" i="1"/>
  <c r="G1311" i="1"/>
  <c r="H1311" i="1"/>
  <c r="K1311" i="1"/>
  <c r="F5686" i="1"/>
  <c r="G5686" i="1"/>
  <c r="H5686" i="1"/>
  <c r="K5686" i="1"/>
  <c r="F5687" i="1"/>
  <c r="G5687" i="1"/>
  <c r="H5687" i="1"/>
  <c r="K5687" i="1"/>
  <c r="F5688" i="1"/>
  <c r="G5688" i="1"/>
  <c r="H5688" i="1"/>
  <c r="K5688" i="1"/>
  <c r="F5689" i="1"/>
  <c r="G5689" i="1"/>
  <c r="H5689" i="1"/>
  <c r="K5689" i="1"/>
  <c r="F7187" i="1"/>
  <c r="G7187" i="1"/>
  <c r="H7187" i="1"/>
  <c r="K7187" i="1"/>
  <c r="F1312" i="1"/>
  <c r="G1312" i="1"/>
  <c r="H1312" i="1"/>
  <c r="K1312" i="1"/>
  <c r="F1313" i="1"/>
  <c r="G1313" i="1"/>
  <c r="H1313" i="1"/>
  <c r="K1313" i="1"/>
  <c r="F5690" i="1"/>
  <c r="G5690" i="1"/>
  <c r="H5690" i="1"/>
  <c r="K5690" i="1"/>
  <c r="F4300" i="1"/>
  <c r="G4300" i="1"/>
  <c r="H4300" i="1"/>
  <c r="K4300" i="1"/>
  <c r="F4301" i="1"/>
  <c r="G4301" i="1"/>
  <c r="H4301" i="1"/>
  <c r="K4301" i="1"/>
  <c r="F2913" i="1"/>
  <c r="G2913" i="1"/>
  <c r="H2913" i="1"/>
  <c r="K2913" i="1"/>
  <c r="F2914" i="1"/>
  <c r="G2914" i="1"/>
  <c r="H2914" i="1"/>
  <c r="K2914" i="1"/>
  <c r="F1314" i="1"/>
  <c r="G1314" i="1"/>
  <c r="H1314" i="1"/>
  <c r="K1314" i="1"/>
  <c r="F2915" i="1"/>
  <c r="G2915" i="1"/>
  <c r="H2915" i="1"/>
  <c r="K2915" i="1"/>
  <c r="F7188" i="1"/>
  <c r="G7188" i="1"/>
  <c r="H7188" i="1"/>
  <c r="K7188" i="1"/>
  <c r="F1315" i="1"/>
  <c r="G1315" i="1"/>
  <c r="H1315" i="1"/>
  <c r="K1315" i="1"/>
  <c r="F7189" i="1"/>
  <c r="G7189" i="1"/>
  <c r="H7189" i="1"/>
  <c r="K7189" i="1"/>
  <c r="F7190" i="1"/>
  <c r="G7190" i="1"/>
  <c r="H7190" i="1"/>
  <c r="K7190" i="1"/>
  <c r="F7191" i="1"/>
  <c r="G7191" i="1"/>
  <c r="H7191" i="1"/>
  <c r="K7191" i="1"/>
  <c r="F1316" i="1"/>
  <c r="G1316" i="1"/>
  <c r="H1316" i="1"/>
  <c r="K1316" i="1"/>
  <c r="F5691" i="1"/>
  <c r="G5691" i="1"/>
  <c r="H5691" i="1"/>
  <c r="K5691" i="1"/>
  <c r="F7192" i="1"/>
  <c r="G7192" i="1"/>
  <c r="H7192" i="1"/>
  <c r="K7192" i="1"/>
  <c r="F1317" i="1"/>
  <c r="G1317" i="1"/>
  <c r="H1317" i="1"/>
  <c r="K1317" i="1"/>
  <c r="F1318" i="1"/>
  <c r="G1318" i="1"/>
  <c r="H1318" i="1"/>
  <c r="K1318" i="1"/>
  <c r="F7193" i="1"/>
  <c r="G7193" i="1"/>
  <c r="H7193" i="1"/>
  <c r="K7193" i="1"/>
  <c r="F1319" i="1"/>
  <c r="G1319" i="1"/>
  <c r="H1319" i="1"/>
  <c r="K1319" i="1"/>
  <c r="F1320" i="1"/>
  <c r="G1320" i="1"/>
  <c r="H1320" i="1"/>
  <c r="K1320" i="1"/>
  <c r="F1321" i="1"/>
  <c r="G1321" i="1"/>
  <c r="H1321" i="1"/>
  <c r="K1321" i="1"/>
  <c r="F1322" i="1"/>
  <c r="G1322" i="1"/>
  <c r="H1322" i="1"/>
  <c r="K1322" i="1"/>
  <c r="F7194" i="1"/>
  <c r="G7194" i="1"/>
  <c r="H7194" i="1"/>
  <c r="K7194" i="1"/>
  <c r="F1323" i="1"/>
  <c r="G1323" i="1"/>
  <c r="H1323" i="1"/>
  <c r="K1323" i="1"/>
  <c r="F7195" i="1"/>
  <c r="G7195" i="1"/>
  <c r="H7195" i="1"/>
  <c r="K7195" i="1"/>
  <c r="F1324" i="1"/>
  <c r="G1324" i="1"/>
  <c r="H1324" i="1"/>
  <c r="K1324" i="1"/>
  <c r="F5692" i="1"/>
  <c r="G5692" i="1"/>
  <c r="H5692" i="1"/>
  <c r="K5692" i="1"/>
  <c r="F7196" i="1"/>
  <c r="G7196" i="1"/>
  <c r="H7196" i="1"/>
  <c r="K7196" i="1"/>
  <c r="F5693" i="1"/>
  <c r="G5693" i="1"/>
  <c r="H5693" i="1"/>
  <c r="K5693" i="1"/>
  <c r="F2916" i="1"/>
  <c r="G2916" i="1"/>
  <c r="H2916" i="1"/>
  <c r="K2916" i="1"/>
  <c r="F2917" i="1"/>
  <c r="G2917" i="1"/>
  <c r="H2917" i="1"/>
  <c r="K2917" i="1"/>
  <c r="F1325" i="1"/>
  <c r="G1325" i="1"/>
  <c r="H1325" i="1"/>
  <c r="K1325" i="1"/>
  <c r="F4302" i="1"/>
  <c r="G4302" i="1"/>
  <c r="H4302" i="1"/>
  <c r="K4302" i="1"/>
  <c r="F5694" i="1"/>
  <c r="G5694" i="1"/>
  <c r="H5694" i="1"/>
  <c r="K5694" i="1"/>
  <c r="F4303" i="1"/>
  <c r="G4303" i="1"/>
  <c r="H4303" i="1"/>
  <c r="K4303" i="1"/>
  <c r="F7197" i="1"/>
  <c r="G7197" i="1"/>
  <c r="H7197" i="1"/>
  <c r="K7197" i="1"/>
  <c r="F7198" i="1"/>
  <c r="G7198" i="1"/>
  <c r="H7198" i="1"/>
  <c r="K7198" i="1"/>
  <c r="F7199" i="1"/>
  <c r="G7199" i="1"/>
  <c r="H7199" i="1"/>
  <c r="K7199" i="1"/>
  <c r="F5695" i="1"/>
  <c r="G5695" i="1"/>
  <c r="H5695" i="1"/>
  <c r="K5695" i="1"/>
  <c r="F5696" i="1"/>
  <c r="G5696" i="1"/>
  <c r="H5696" i="1"/>
  <c r="K5696" i="1"/>
  <c r="F5697" i="1"/>
  <c r="G5697" i="1"/>
  <c r="H5697" i="1"/>
  <c r="K5697" i="1"/>
  <c r="F5698" i="1"/>
  <c r="G5698" i="1"/>
  <c r="H5698" i="1"/>
  <c r="K5698" i="1"/>
  <c r="F1326" i="1"/>
  <c r="G1326" i="1"/>
  <c r="H1326" i="1"/>
  <c r="K1326" i="1"/>
  <c r="F4304" i="1"/>
  <c r="G4304" i="1"/>
  <c r="H4304" i="1"/>
  <c r="K4304" i="1"/>
  <c r="F5699" i="1"/>
  <c r="G5699" i="1"/>
  <c r="H5699" i="1"/>
  <c r="K5699" i="1"/>
  <c r="F5700" i="1"/>
  <c r="G5700" i="1"/>
  <c r="H5700" i="1"/>
  <c r="K5700" i="1"/>
  <c r="F5701" i="1"/>
  <c r="G5701" i="1"/>
  <c r="H5701" i="1"/>
  <c r="K5701" i="1"/>
  <c r="F7200" i="1"/>
  <c r="G7200" i="1"/>
  <c r="H7200" i="1"/>
  <c r="K7200" i="1"/>
  <c r="F7201" i="1"/>
  <c r="G7201" i="1"/>
  <c r="H7201" i="1"/>
  <c r="K7201" i="1"/>
  <c r="F2918" i="1"/>
  <c r="G2918" i="1"/>
  <c r="H2918" i="1"/>
  <c r="K2918" i="1"/>
  <c r="F1327" i="1"/>
  <c r="G1327" i="1"/>
  <c r="H1327" i="1"/>
  <c r="K1327" i="1"/>
  <c r="F7202" i="1"/>
  <c r="G7202" i="1"/>
  <c r="H7202" i="1"/>
  <c r="K7202" i="1"/>
  <c r="F4305" i="1"/>
  <c r="G4305" i="1"/>
  <c r="H4305" i="1"/>
  <c r="K4305" i="1"/>
  <c r="F5702" i="1"/>
  <c r="G5702" i="1"/>
  <c r="H5702" i="1"/>
  <c r="K5702" i="1"/>
  <c r="F1328" i="1"/>
  <c r="G1328" i="1"/>
  <c r="H1328" i="1"/>
  <c r="K1328" i="1"/>
  <c r="F2919" i="1"/>
  <c r="G2919" i="1"/>
  <c r="H2919" i="1"/>
  <c r="K2919" i="1"/>
  <c r="F7203" i="1"/>
  <c r="G7203" i="1"/>
  <c r="H7203" i="1"/>
  <c r="K7203" i="1"/>
  <c r="F1329" i="1"/>
  <c r="G1329" i="1"/>
  <c r="H1329" i="1"/>
  <c r="K1329" i="1"/>
  <c r="F7204" i="1"/>
  <c r="G7204" i="1"/>
  <c r="H7204" i="1"/>
  <c r="K7204" i="1"/>
  <c r="F7205" i="1"/>
  <c r="G7205" i="1"/>
  <c r="H7205" i="1"/>
  <c r="K7205" i="1"/>
  <c r="F7206" i="1"/>
  <c r="G7206" i="1"/>
  <c r="H7206" i="1"/>
  <c r="K7206" i="1"/>
  <c r="F2920" i="1"/>
  <c r="G2920" i="1"/>
  <c r="H2920" i="1"/>
  <c r="K2920" i="1"/>
  <c r="F1330" i="1"/>
  <c r="G1330" i="1"/>
  <c r="H1330" i="1"/>
  <c r="K1330" i="1"/>
  <c r="F4306" i="1"/>
  <c r="G4306" i="1"/>
  <c r="H4306" i="1"/>
  <c r="K4306" i="1"/>
  <c r="F4307" i="1"/>
  <c r="G4307" i="1"/>
  <c r="H4307" i="1"/>
  <c r="K4307" i="1"/>
  <c r="F1331" i="1"/>
  <c r="G1331" i="1"/>
  <c r="H1331" i="1"/>
  <c r="K1331" i="1"/>
  <c r="F4308" i="1"/>
  <c r="G4308" i="1"/>
  <c r="H4308" i="1"/>
  <c r="K4308" i="1"/>
  <c r="F1332" i="1"/>
  <c r="G1332" i="1"/>
  <c r="H1332" i="1"/>
  <c r="K1332" i="1"/>
  <c r="F2921" i="1"/>
  <c r="G2921" i="1"/>
  <c r="H2921" i="1"/>
  <c r="K2921" i="1"/>
  <c r="F5703" i="1"/>
  <c r="G5703" i="1"/>
  <c r="H5703" i="1"/>
  <c r="K5703" i="1"/>
  <c r="F2922" i="1"/>
  <c r="G2922" i="1"/>
  <c r="H2922" i="1"/>
  <c r="K2922" i="1"/>
  <c r="F4309" i="1"/>
  <c r="G4309" i="1"/>
  <c r="H4309" i="1"/>
  <c r="K4309" i="1"/>
  <c r="F1333" i="1"/>
  <c r="G1333" i="1"/>
  <c r="H1333" i="1"/>
  <c r="K1333" i="1"/>
  <c r="F1334" i="1"/>
  <c r="G1334" i="1"/>
  <c r="H1334" i="1"/>
  <c r="K1334" i="1"/>
  <c r="F1335" i="1"/>
  <c r="G1335" i="1"/>
  <c r="H1335" i="1"/>
  <c r="K1335" i="1"/>
  <c r="F1336" i="1"/>
  <c r="G1336" i="1"/>
  <c r="H1336" i="1"/>
  <c r="K1336" i="1"/>
  <c r="F1337" i="1"/>
  <c r="G1337" i="1"/>
  <c r="H1337" i="1"/>
  <c r="K1337" i="1"/>
  <c r="F7207" i="1"/>
  <c r="G7207" i="1"/>
  <c r="H7207" i="1"/>
  <c r="K7207" i="1"/>
  <c r="F1338" i="1"/>
  <c r="G1338" i="1"/>
  <c r="H1338" i="1"/>
  <c r="K1338" i="1"/>
  <c r="F4310" i="1"/>
  <c r="G4310" i="1"/>
  <c r="H4310" i="1"/>
  <c r="K4310" i="1"/>
  <c r="F5704" i="1"/>
  <c r="G5704" i="1"/>
  <c r="H5704" i="1"/>
  <c r="K5704" i="1"/>
  <c r="F5705" i="1"/>
  <c r="G5705" i="1"/>
  <c r="H5705" i="1"/>
  <c r="K5705" i="1"/>
  <c r="F4311" i="1"/>
  <c r="G4311" i="1"/>
  <c r="H4311" i="1"/>
  <c r="K4311" i="1"/>
  <c r="F1339" i="1"/>
  <c r="G1339" i="1"/>
  <c r="H1339" i="1"/>
  <c r="K1339" i="1"/>
  <c r="F4312" i="1"/>
  <c r="G4312" i="1"/>
  <c r="H4312" i="1"/>
  <c r="K4312" i="1"/>
  <c r="F7208" i="1"/>
  <c r="G7208" i="1"/>
  <c r="H7208" i="1"/>
  <c r="K7208" i="1"/>
  <c r="F1340" i="1"/>
  <c r="G1340" i="1"/>
  <c r="H1340" i="1"/>
  <c r="K1340" i="1"/>
  <c r="F5706" i="1"/>
  <c r="G5706" i="1"/>
  <c r="H5706" i="1"/>
  <c r="K5706" i="1"/>
  <c r="F4313" i="1"/>
  <c r="G4313" i="1"/>
  <c r="H4313" i="1"/>
  <c r="K4313" i="1"/>
  <c r="F1341" i="1"/>
  <c r="G1341" i="1"/>
  <c r="H1341" i="1"/>
  <c r="K1341" i="1"/>
  <c r="F5707" i="1"/>
  <c r="G5707" i="1"/>
  <c r="H5707" i="1"/>
  <c r="K5707" i="1"/>
  <c r="F1342" i="1"/>
  <c r="G1342" i="1"/>
  <c r="H1342" i="1"/>
  <c r="K1342" i="1"/>
  <c r="F4314" i="1"/>
  <c r="G4314" i="1"/>
  <c r="H4314" i="1"/>
  <c r="K4314" i="1"/>
  <c r="F1343" i="1"/>
  <c r="G1343" i="1"/>
  <c r="H1343" i="1"/>
  <c r="K1343" i="1"/>
  <c r="F2923" i="1"/>
  <c r="G2923" i="1"/>
  <c r="H2923" i="1"/>
  <c r="K2923" i="1"/>
  <c r="F1344" i="1"/>
  <c r="G1344" i="1"/>
  <c r="H1344" i="1"/>
  <c r="K1344" i="1"/>
  <c r="F5708" i="1"/>
  <c r="G5708" i="1"/>
  <c r="H5708" i="1"/>
  <c r="K5708" i="1"/>
  <c r="F5709" i="1"/>
  <c r="G5709" i="1"/>
  <c r="H5709" i="1"/>
  <c r="K5709" i="1"/>
  <c r="F4315" i="1"/>
  <c r="G4315" i="1"/>
  <c r="H4315" i="1"/>
  <c r="K4315" i="1"/>
  <c r="F4316" i="1"/>
  <c r="G4316" i="1"/>
  <c r="H4316" i="1"/>
  <c r="K4316" i="1"/>
  <c r="F4317" i="1"/>
  <c r="G4317" i="1"/>
  <c r="H4317" i="1"/>
  <c r="K4317" i="1"/>
  <c r="F1345" i="1"/>
  <c r="G1345" i="1"/>
  <c r="H1345" i="1"/>
  <c r="K1345" i="1"/>
  <c r="F1346" i="1"/>
  <c r="G1346" i="1"/>
  <c r="H1346" i="1"/>
  <c r="K1346" i="1"/>
  <c r="F1347" i="1"/>
  <c r="G1347" i="1"/>
  <c r="H1347" i="1"/>
  <c r="K1347" i="1"/>
  <c r="F2924" i="1"/>
  <c r="G2924" i="1"/>
  <c r="H2924" i="1"/>
  <c r="K2924" i="1"/>
  <c r="F2925" i="1"/>
  <c r="G2925" i="1"/>
  <c r="H2925" i="1"/>
  <c r="K2925" i="1"/>
  <c r="F1348" i="1"/>
  <c r="G1348" i="1"/>
  <c r="H1348" i="1"/>
  <c r="K1348" i="1"/>
  <c r="F4318" i="1"/>
  <c r="G4318" i="1"/>
  <c r="H4318" i="1"/>
  <c r="K4318" i="1"/>
  <c r="F4319" i="1"/>
  <c r="G4319" i="1"/>
  <c r="H4319" i="1"/>
  <c r="K4319" i="1"/>
  <c r="F1349" i="1"/>
  <c r="G1349" i="1"/>
  <c r="H1349" i="1"/>
  <c r="K1349" i="1"/>
  <c r="F5710" i="1"/>
  <c r="G5710" i="1"/>
  <c r="H5710" i="1"/>
  <c r="K5710" i="1"/>
  <c r="F5711" i="1"/>
  <c r="G5711" i="1"/>
  <c r="H5711" i="1"/>
  <c r="K5711" i="1"/>
  <c r="F4320" i="1"/>
  <c r="G4320" i="1"/>
  <c r="H4320" i="1"/>
  <c r="K4320" i="1"/>
  <c r="F5712" i="1"/>
  <c r="G5712" i="1"/>
  <c r="H5712" i="1"/>
  <c r="K5712" i="1"/>
  <c r="F4321" i="1"/>
  <c r="G4321" i="1"/>
  <c r="H4321" i="1"/>
  <c r="K4321" i="1"/>
  <c r="F4322" i="1"/>
  <c r="G4322" i="1"/>
  <c r="H4322" i="1"/>
  <c r="K4322" i="1"/>
  <c r="F4323" i="1"/>
  <c r="G4323" i="1"/>
  <c r="H4323" i="1"/>
  <c r="K4323" i="1"/>
  <c r="F2926" i="1"/>
  <c r="G2926" i="1"/>
  <c r="H2926" i="1"/>
  <c r="K2926" i="1"/>
  <c r="F2927" i="1"/>
  <c r="G2927" i="1"/>
  <c r="H2927" i="1"/>
  <c r="K2927" i="1"/>
  <c r="F2928" i="1"/>
  <c r="G2928" i="1"/>
  <c r="H2928" i="1"/>
  <c r="K2928" i="1"/>
  <c r="F4324" i="1"/>
  <c r="G4324" i="1"/>
  <c r="H4324" i="1"/>
  <c r="K4324" i="1"/>
  <c r="F1350" i="1"/>
  <c r="G1350" i="1"/>
  <c r="H1350" i="1"/>
  <c r="K1350" i="1"/>
  <c r="F5713" i="1"/>
  <c r="G5713" i="1"/>
  <c r="H5713" i="1"/>
  <c r="K5713" i="1"/>
  <c r="F1351" i="1"/>
  <c r="G1351" i="1"/>
  <c r="H1351" i="1"/>
  <c r="K1351" i="1"/>
  <c r="F7209" i="1"/>
  <c r="G7209" i="1"/>
  <c r="H7209" i="1"/>
  <c r="K7209" i="1"/>
  <c r="F4325" i="1"/>
  <c r="G4325" i="1"/>
  <c r="H4325" i="1"/>
  <c r="K4325" i="1"/>
  <c r="F5714" i="1"/>
  <c r="G5714" i="1"/>
  <c r="H5714" i="1"/>
  <c r="K5714" i="1"/>
  <c r="F5715" i="1"/>
  <c r="G5715" i="1"/>
  <c r="H5715" i="1"/>
  <c r="K5715" i="1"/>
  <c r="F1352" i="1"/>
  <c r="G1352" i="1"/>
  <c r="H1352" i="1"/>
  <c r="K1352" i="1"/>
  <c r="F7210" i="1"/>
  <c r="G7210" i="1"/>
  <c r="H7210" i="1"/>
  <c r="K7210" i="1"/>
  <c r="F1353" i="1"/>
  <c r="G1353" i="1"/>
  <c r="H1353" i="1"/>
  <c r="K1353" i="1"/>
  <c r="F1354" i="1"/>
  <c r="G1354" i="1"/>
  <c r="H1354" i="1"/>
  <c r="K1354" i="1"/>
  <c r="F4326" i="1"/>
  <c r="G4326" i="1"/>
  <c r="H4326" i="1"/>
  <c r="K4326" i="1"/>
  <c r="F1355" i="1"/>
  <c r="G1355" i="1"/>
  <c r="H1355" i="1"/>
  <c r="K1355" i="1"/>
  <c r="F1356" i="1"/>
  <c r="G1356" i="1"/>
  <c r="H1356" i="1"/>
  <c r="K1356" i="1"/>
  <c r="F1357" i="1"/>
  <c r="G1357" i="1"/>
  <c r="H1357" i="1"/>
  <c r="K1357" i="1"/>
  <c r="F4327" i="1"/>
  <c r="G4327" i="1"/>
  <c r="H4327" i="1"/>
  <c r="K4327" i="1"/>
  <c r="F5716" i="1"/>
  <c r="G5716" i="1"/>
  <c r="H5716" i="1"/>
  <c r="K5716" i="1"/>
  <c r="F1358" i="1"/>
  <c r="G1358" i="1"/>
  <c r="H1358" i="1"/>
  <c r="K1358" i="1"/>
  <c r="F7211" i="1"/>
  <c r="G7211" i="1"/>
  <c r="H7211" i="1"/>
  <c r="K7211" i="1"/>
  <c r="F5717" i="1"/>
  <c r="G5717" i="1"/>
  <c r="H5717" i="1"/>
  <c r="K5717" i="1"/>
  <c r="F7212" i="1"/>
  <c r="G7212" i="1"/>
  <c r="H7212" i="1"/>
  <c r="K7212" i="1"/>
  <c r="F7213" i="1"/>
  <c r="G7213" i="1"/>
  <c r="H7213" i="1"/>
  <c r="K7213" i="1"/>
  <c r="F7214" i="1"/>
  <c r="G7214" i="1"/>
  <c r="H7214" i="1"/>
  <c r="K7214" i="1"/>
  <c r="F2929" i="1"/>
  <c r="G2929" i="1"/>
  <c r="H2929" i="1"/>
  <c r="K2929" i="1"/>
  <c r="F7215" i="1"/>
  <c r="G7215" i="1"/>
  <c r="H7215" i="1"/>
  <c r="K7215" i="1"/>
  <c r="F5718" i="1"/>
  <c r="G5718" i="1"/>
  <c r="H5718" i="1"/>
  <c r="K5718" i="1"/>
  <c r="F5719" i="1"/>
  <c r="G5719" i="1"/>
  <c r="H5719" i="1"/>
  <c r="K5719" i="1"/>
  <c r="F5720" i="1"/>
  <c r="G5720" i="1"/>
  <c r="H5720" i="1"/>
  <c r="K5720" i="1"/>
  <c r="F5721" i="1"/>
  <c r="G5721" i="1"/>
  <c r="H5721" i="1"/>
  <c r="K5721" i="1"/>
  <c r="F5722" i="1"/>
  <c r="G5722" i="1"/>
  <c r="H5722" i="1"/>
  <c r="K5722" i="1"/>
  <c r="F7216" i="1"/>
  <c r="G7216" i="1"/>
  <c r="H7216" i="1"/>
  <c r="K7216" i="1"/>
  <c r="F2930" i="1"/>
  <c r="G2930" i="1"/>
  <c r="H2930" i="1"/>
  <c r="K2930" i="1"/>
  <c r="F5723" i="1"/>
  <c r="G5723" i="1"/>
  <c r="H5723" i="1"/>
  <c r="K5723" i="1"/>
  <c r="F5724" i="1"/>
  <c r="G5724" i="1"/>
  <c r="H5724" i="1"/>
  <c r="K5724" i="1"/>
  <c r="F1359" i="1"/>
  <c r="G1359" i="1"/>
  <c r="H1359" i="1"/>
  <c r="K1359" i="1"/>
  <c r="F5725" i="1"/>
  <c r="G5725" i="1"/>
  <c r="H5725" i="1"/>
  <c r="K5725" i="1"/>
  <c r="F4328" i="1"/>
  <c r="G4328" i="1"/>
  <c r="H4328" i="1"/>
  <c r="K4328" i="1"/>
  <c r="F7217" i="1"/>
  <c r="G7217" i="1"/>
  <c r="H7217" i="1"/>
  <c r="K7217" i="1"/>
  <c r="F5726" i="1"/>
  <c r="G5726" i="1"/>
  <c r="H5726" i="1"/>
  <c r="K5726" i="1"/>
  <c r="F4329" i="1"/>
  <c r="G4329" i="1"/>
  <c r="H4329" i="1"/>
  <c r="K4329" i="1"/>
  <c r="F1360" i="1"/>
  <c r="G1360" i="1"/>
  <c r="H1360" i="1"/>
  <c r="K1360" i="1"/>
  <c r="F1361" i="1"/>
  <c r="G1361" i="1"/>
  <c r="H1361" i="1"/>
  <c r="K1361" i="1"/>
  <c r="F4330" i="1"/>
  <c r="G4330" i="1"/>
  <c r="H4330" i="1"/>
  <c r="K4330" i="1"/>
  <c r="F1362" i="1"/>
  <c r="G1362" i="1"/>
  <c r="H1362" i="1"/>
  <c r="K1362" i="1"/>
  <c r="F4331" i="1"/>
  <c r="G4331" i="1"/>
  <c r="H4331" i="1"/>
  <c r="K4331" i="1"/>
  <c r="F2931" i="1"/>
  <c r="G2931" i="1"/>
  <c r="H2931" i="1"/>
  <c r="K2931" i="1"/>
  <c r="F7218" i="1"/>
  <c r="G7218" i="1"/>
  <c r="H7218" i="1"/>
  <c r="K7218" i="1"/>
  <c r="F2932" i="1"/>
  <c r="G2932" i="1"/>
  <c r="H2932" i="1"/>
  <c r="K2932" i="1"/>
  <c r="F1363" i="1"/>
  <c r="G1363" i="1"/>
  <c r="H1363" i="1"/>
  <c r="K1363" i="1"/>
  <c r="F2933" i="1"/>
  <c r="G2933" i="1"/>
  <c r="H2933" i="1"/>
  <c r="K2933" i="1"/>
  <c r="F1364" i="1"/>
  <c r="G1364" i="1"/>
  <c r="H1364" i="1"/>
  <c r="K1364" i="1"/>
  <c r="F7219" i="1"/>
  <c r="G7219" i="1"/>
  <c r="H7219" i="1"/>
  <c r="K7219" i="1"/>
  <c r="F1365" i="1"/>
  <c r="G1365" i="1"/>
  <c r="H1365" i="1"/>
  <c r="K1365" i="1"/>
  <c r="F1366" i="1"/>
  <c r="G1366" i="1"/>
  <c r="H1366" i="1"/>
  <c r="K1366" i="1"/>
  <c r="F1367" i="1"/>
  <c r="G1367" i="1"/>
  <c r="H1367" i="1"/>
  <c r="K1367" i="1"/>
  <c r="F4332" i="1"/>
  <c r="G4332" i="1"/>
  <c r="H4332" i="1"/>
  <c r="K4332" i="1"/>
  <c r="F7220" i="1"/>
  <c r="G7220" i="1"/>
  <c r="H7220" i="1"/>
  <c r="K7220" i="1"/>
  <c r="F4333" i="1"/>
  <c r="G4333" i="1"/>
  <c r="H4333" i="1"/>
  <c r="K4333" i="1"/>
  <c r="F4334" i="1"/>
  <c r="G4334" i="1"/>
  <c r="H4334" i="1"/>
  <c r="K4334" i="1"/>
  <c r="F4335" i="1"/>
  <c r="G4335" i="1"/>
  <c r="H4335" i="1"/>
  <c r="K4335" i="1"/>
  <c r="F4336" i="1"/>
  <c r="G4336" i="1"/>
  <c r="H4336" i="1"/>
  <c r="K4336" i="1"/>
  <c r="F2934" i="1"/>
  <c r="G2934" i="1"/>
  <c r="H2934" i="1"/>
  <c r="K2934" i="1"/>
  <c r="F5727" i="1"/>
  <c r="G5727" i="1"/>
  <c r="H5727" i="1"/>
  <c r="K5727" i="1"/>
  <c r="F1368" i="1"/>
  <c r="G1368" i="1"/>
  <c r="H1368" i="1"/>
  <c r="K1368" i="1"/>
  <c r="F5728" i="1"/>
  <c r="G5728" i="1"/>
  <c r="H5728" i="1"/>
  <c r="K5728" i="1"/>
  <c r="F1369" i="1"/>
  <c r="G1369" i="1"/>
  <c r="H1369" i="1"/>
  <c r="K1369" i="1"/>
  <c r="F2935" i="1"/>
  <c r="G2935" i="1"/>
  <c r="H2935" i="1"/>
  <c r="K2935" i="1"/>
  <c r="F4337" i="1"/>
  <c r="G4337" i="1"/>
  <c r="H4337" i="1"/>
  <c r="K4337" i="1"/>
  <c r="F4338" i="1"/>
  <c r="G4338" i="1"/>
  <c r="H4338" i="1"/>
  <c r="K4338" i="1"/>
  <c r="F4339" i="1"/>
  <c r="G4339" i="1"/>
  <c r="H4339" i="1"/>
  <c r="K4339" i="1"/>
  <c r="F2936" i="1"/>
  <c r="G2936" i="1"/>
  <c r="H2936" i="1"/>
  <c r="K2936" i="1"/>
  <c r="F1370" i="1"/>
  <c r="G1370" i="1"/>
  <c r="H1370" i="1"/>
  <c r="K1370" i="1"/>
  <c r="F2937" i="1"/>
  <c r="G2937" i="1"/>
  <c r="H2937" i="1"/>
  <c r="K2937" i="1"/>
  <c r="F2938" i="1"/>
  <c r="G2938" i="1"/>
  <c r="H2938" i="1"/>
  <c r="K2938" i="1"/>
  <c r="F1371" i="1"/>
  <c r="G1371" i="1"/>
  <c r="H1371" i="1"/>
  <c r="K1371" i="1"/>
  <c r="F5729" i="1"/>
  <c r="G5729" i="1"/>
  <c r="H5729" i="1"/>
  <c r="K5729" i="1"/>
  <c r="F1372" i="1"/>
  <c r="G1372" i="1"/>
  <c r="H1372" i="1"/>
  <c r="K1372" i="1"/>
  <c r="F5730" i="1"/>
  <c r="G5730" i="1"/>
  <c r="H5730" i="1"/>
  <c r="K5730" i="1"/>
  <c r="F7221" i="1"/>
  <c r="G7221" i="1"/>
  <c r="H7221" i="1"/>
  <c r="K7221" i="1"/>
  <c r="F7222" i="1"/>
  <c r="G7222" i="1"/>
  <c r="H7222" i="1"/>
  <c r="K7222" i="1"/>
  <c r="F7223" i="1"/>
  <c r="G7223" i="1"/>
  <c r="H7223" i="1"/>
  <c r="K7223" i="1"/>
  <c r="F1373" i="1"/>
  <c r="G1373" i="1"/>
  <c r="H1373" i="1"/>
  <c r="K1373" i="1"/>
  <c r="F7224" i="1"/>
  <c r="G7224" i="1"/>
  <c r="H7224" i="1"/>
  <c r="K7224" i="1"/>
  <c r="F7225" i="1"/>
  <c r="G7225" i="1"/>
  <c r="H7225" i="1"/>
  <c r="K7225" i="1"/>
  <c r="F5731" i="1"/>
  <c r="G5731" i="1"/>
  <c r="H5731" i="1"/>
  <c r="K5731" i="1"/>
  <c r="F7226" i="1"/>
  <c r="G7226" i="1"/>
  <c r="H7226" i="1"/>
  <c r="K7226" i="1"/>
  <c r="F7227" i="1"/>
  <c r="G7227" i="1"/>
  <c r="H7227" i="1"/>
  <c r="K7227" i="1"/>
  <c r="F7228" i="1"/>
  <c r="G7228" i="1"/>
  <c r="H7228" i="1"/>
  <c r="K7228" i="1"/>
  <c r="F2939" i="1"/>
  <c r="G2939" i="1"/>
  <c r="H2939" i="1"/>
  <c r="K2939" i="1"/>
  <c r="F2940" i="1"/>
  <c r="G2940" i="1"/>
  <c r="H2940" i="1"/>
  <c r="K2940" i="1"/>
  <c r="F5732" i="1"/>
  <c r="G5732" i="1"/>
  <c r="H5732" i="1"/>
  <c r="K5732" i="1"/>
  <c r="F4340" i="1"/>
  <c r="G4340" i="1"/>
  <c r="H4340" i="1"/>
  <c r="K4340" i="1"/>
  <c r="F5733" i="1"/>
  <c r="G5733" i="1"/>
  <c r="H5733" i="1"/>
  <c r="K5733" i="1"/>
  <c r="F5734" i="1"/>
  <c r="G5734" i="1"/>
  <c r="H5734" i="1"/>
  <c r="K5734" i="1"/>
  <c r="F5735" i="1"/>
  <c r="G5735" i="1"/>
  <c r="H5735" i="1"/>
  <c r="K5735" i="1"/>
  <c r="F5736" i="1"/>
  <c r="G5736" i="1"/>
  <c r="H5736" i="1"/>
  <c r="K5736" i="1"/>
  <c r="F1374" i="1"/>
  <c r="G1374" i="1"/>
  <c r="H1374" i="1"/>
  <c r="K1374" i="1"/>
  <c r="F7229" i="1"/>
  <c r="G7229" i="1"/>
  <c r="H7229" i="1"/>
  <c r="K7229" i="1"/>
  <c r="F1375" i="1"/>
  <c r="G1375" i="1"/>
  <c r="H1375" i="1"/>
  <c r="K1375" i="1"/>
  <c r="F7230" i="1"/>
  <c r="G7230" i="1"/>
  <c r="H7230" i="1"/>
  <c r="K7230" i="1"/>
  <c r="F4341" i="1"/>
  <c r="G4341" i="1"/>
  <c r="H4341" i="1"/>
  <c r="K4341" i="1"/>
  <c r="F4342" i="1"/>
  <c r="G4342" i="1"/>
  <c r="H4342" i="1"/>
  <c r="K4342" i="1"/>
  <c r="F7231" i="1"/>
  <c r="G7231" i="1"/>
  <c r="H7231" i="1"/>
  <c r="K7231" i="1"/>
  <c r="F7232" i="1"/>
  <c r="G7232" i="1"/>
  <c r="H7232" i="1"/>
  <c r="K7232" i="1"/>
  <c r="F2941" i="1"/>
  <c r="G2941" i="1"/>
  <c r="H2941" i="1"/>
  <c r="K2941" i="1"/>
  <c r="F5737" i="1"/>
  <c r="G5737" i="1"/>
  <c r="H5737" i="1"/>
  <c r="K5737" i="1"/>
  <c r="F5738" i="1"/>
  <c r="G5738" i="1"/>
  <c r="H5738" i="1"/>
  <c r="K5738" i="1"/>
  <c r="F5739" i="1"/>
  <c r="G5739" i="1"/>
  <c r="H5739" i="1"/>
  <c r="K5739" i="1"/>
  <c r="F4343" i="1"/>
  <c r="G4343" i="1"/>
  <c r="H4343" i="1"/>
  <c r="K4343" i="1"/>
  <c r="F2942" i="1"/>
  <c r="G2942" i="1"/>
  <c r="H2942" i="1"/>
  <c r="K2942" i="1"/>
  <c r="F2943" i="1"/>
  <c r="G2943" i="1"/>
  <c r="H2943" i="1"/>
  <c r="K2943" i="1"/>
  <c r="F4344" i="1"/>
  <c r="G4344" i="1"/>
  <c r="H4344" i="1"/>
  <c r="K4344" i="1"/>
  <c r="F5740" i="1"/>
  <c r="G5740" i="1"/>
  <c r="H5740" i="1"/>
  <c r="K5740" i="1"/>
  <c r="F2944" i="1"/>
  <c r="G2944" i="1"/>
  <c r="H2944" i="1"/>
  <c r="K2944" i="1"/>
  <c r="F7233" i="1"/>
  <c r="G7233" i="1"/>
  <c r="H7233" i="1"/>
  <c r="K7233" i="1"/>
  <c r="F4345" i="1"/>
  <c r="G4345" i="1"/>
  <c r="H4345" i="1"/>
  <c r="K4345" i="1"/>
  <c r="F1376" i="1"/>
  <c r="G1376" i="1"/>
  <c r="H1376" i="1"/>
  <c r="K1376" i="1"/>
  <c r="F1377" i="1"/>
  <c r="G1377" i="1"/>
  <c r="H1377" i="1"/>
  <c r="K1377" i="1"/>
  <c r="F7234" i="1"/>
  <c r="G7234" i="1"/>
  <c r="H7234" i="1"/>
  <c r="K7234" i="1"/>
  <c r="F7235" i="1"/>
  <c r="G7235" i="1"/>
  <c r="H7235" i="1"/>
  <c r="K7235" i="1"/>
  <c r="F7236" i="1"/>
  <c r="G7236" i="1"/>
  <c r="H7236" i="1"/>
  <c r="K7236" i="1"/>
  <c r="F7237" i="1"/>
  <c r="G7237" i="1"/>
  <c r="H7237" i="1"/>
  <c r="K7237" i="1"/>
  <c r="F2945" i="1"/>
  <c r="G2945" i="1"/>
  <c r="H2945" i="1"/>
  <c r="K2945" i="1"/>
  <c r="F5741" i="1"/>
  <c r="G5741" i="1"/>
  <c r="H5741" i="1"/>
  <c r="K5741" i="1"/>
  <c r="F4346" i="1"/>
  <c r="G4346" i="1"/>
  <c r="H4346" i="1"/>
  <c r="K4346" i="1"/>
  <c r="F7238" i="1"/>
  <c r="G7238" i="1"/>
  <c r="H7238" i="1"/>
  <c r="K7238" i="1"/>
  <c r="F4347" i="1"/>
  <c r="G4347" i="1"/>
  <c r="H4347" i="1"/>
  <c r="K4347" i="1"/>
  <c r="F4348" i="1"/>
  <c r="G4348" i="1"/>
  <c r="H4348" i="1"/>
  <c r="K4348" i="1"/>
  <c r="F5742" i="1"/>
  <c r="G5742" i="1"/>
  <c r="H5742" i="1"/>
  <c r="K5742" i="1"/>
  <c r="F5743" i="1"/>
  <c r="G5743" i="1"/>
  <c r="H5743" i="1"/>
  <c r="K5743" i="1"/>
  <c r="F1378" i="1"/>
  <c r="G1378" i="1"/>
  <c r="H1378" i="1"/>
  <c r="K1378" i="1"/>
  <c r="F4349" i="1"/>
  <c r="G4349" i="1"/>
  <c r="H4349" i="1"/>
  <c r="K4349" i="1"/>
  <c r="F5744" i="1"/>
  <c r="G5744" i="1"/>
  <c r="H5744" i="1"/>
  <c r="K5744" i="1"/>
  <c r="F1379" i="1"/>
  <c r="G1379" i="1"/>
  <c r="H1379" i="1"/>
  <c r="K1379" i="1"/>
  <c r="F5745" i="1"/>
  <c r="G5745" i="1"/>
  <c r="H5745" i="1"/>
  <c r="K5745" i="1"/>
  <c r="F7239" i="1"/>
  <c r="G7239" i="1"/>
  <c r="H7239" i="1"/>
  <c r="K7239" i="1"/>
  <c r="F1380" i="1"/>
  <c r="G1380" i="1"/>
  <c r="H1380" i="1"/>
  <c r="K1380" i="1"/>
  <c r="F4350" i="1"/>
  <c r="G4350" i="1"/>
  <c r="H4350" i="1"/>
  <c r="K4350" i="1"/>
  <c r="F4351" i="1"/>
  <c r="G4351" i="1"/>
  <c r="H4351" i="1"/>
  <c r="K4351" i="1"/>
  <c r="F7240" i="1"/>
  <c r="G7240" i="1"/>
  <c r="H7240" i="1"/>
  <c r="K7240" i="1"/>
  <c r="F7241" i="1"/>
  <c r="G7241" i="1"/>
  <c r="H7241" i="1"/>
  <c r="K7241" i="1"/>
  <c r="F1381" i="1"/>
  <c r="G1381" i="1"/>
  <c r="H1381" i="1"/>
  <c r="K1381" i="1"/>
  <c r="F5746" i="1"/>
  <c r="G5746" i="1"/>
  <c r="H5746" i="1"/>
  <c r="K5746" i="1"/>
  <c r="F2946" i="1"/>
  <c r="G2946" i="1"/>
  <c r="H2946" i="1"/>
  <c r="K2946" i="1"/>
  <c r="F4352" i="1"/>
  <c r="G4352" i="1"/>
  <c r="H4352" i="1"/>
  <c r="K4352" i="1"/>
  <c r="F7242" i="1"/>
  <c r="G7242" i="1"/>
  <c r="H7242" i="1"/>
  <c r="K7242" i="1"/>
  <c r="F7243" i="1"/>
  <c r="G7243" i="1"/>
  <c r="H7243" i="1"/>
  <c r="K7243" i="1"/>
  <c r="F5747" i="1"/>
  <c r="G5747" i="1"/>
  <c r="H5747" i="1"/>
  <c r="K5747" i="1"/>
  <c r="F2947" i="1"/>
  <c r="G2947" i="1"/>
  <c r="H2947" i="1"/>
  <c r="K2947" i="1"/>
  <c r="F5748" i="1"/>
  <c r="G5748" i="1"/>
  <c r="H5748" i="1"/>
  <c r="K5748" i="1"/>
  <c r="F4353" i="1"/>
  <c r="G4353" i="1"/>
  <c r="H4353" i="1"/>
  <c r="K4353" i="1"/>
  <c r="F5749" i="1"/>
  <c r="G5749" i="1"/>
  <c r="H5749" i="1"/>
  <c r="K5749" i="1"/>
  <c r="F2948" i="1"/>
  <c r="G2948" i="1"/>
  <c r="H2948" i="1"/>
  <c r="K2948" i="1"/>
  <c r="F7244" i="1"/>
  <c r="G7244" i="1"/>
  <c r="H7244" i="1"/>
  <c r="K7244" i="1"/>
  <c r="F1382" i="1"/>
  <c r="G1382" i="1"/>
  <c r="H1382" i="1"/>
  <c r="K1382" i="1"/>
  <c r="F5750" i="1"/>
  <c r="G5750" i="1"/>
  <c r="H5750" i="1"/>
  <c r="K5750" i="1"/>
  <c r="F5751" i="1"/>
  <c r="G5751" i="1"/>
  <c r="H5751" i="1"/>
  <c r="K5751" i="1"/>
  <c r="F1383" i="1"/>
  <c r="G1383" i="1"/>
  <c r="H1383" i="1"/>
  <c r="K1383" i="1"/>
  <c r="F2949" i="1"/>
  <c r="G2949" i="1"/>
  <c r="H2949" i="1"/>
  <c r="K2949" i="1"/>
  <c r="F4354" i="1"/>
  <c r="G4354" i="1"/>
  <c r="H4354" i="1"/>
  <c r="K4354" i="1"/>
  <c r="F7245" i="1"/>
  <c r="G7245" i="1"/>
  <c r="H7245" i="1"/>
  <c r="K7245" i="1"/>
  <c r="F7246" i="1"/>
  <c r="G7246" i="1"/>
  <c r="H7246" i="1"/>
  <c r="K7246" i="1"/>
  <c r="F7247" i="1"/>
  <c r="G7247" i="1"/>
  <c r="H7247" i="1"/>
  <c r="K7247" i="1"/>
  <c r="F7248" i="1"/>
  <c r="G7248" i="1"/>
  <c r="H7248" i="1"/>
  <c r="K7248" i="1"/>
  <c r="F2950" i="1"/>
  <c r="G2950" i="1"/>
  <c r="H2950" i="1"/>
  <c r="K2950" i="1"/>
  <c r="F1384" i="1"/>
  <c r="G1384" i="1"/>
  <c r="H1384" i="1"/>
  <c r="K1384" i="1"/>
  <c r="F1385" i="1"/>
  <c r="G1385" i="1"/>
  <c r="H1385" i="1"/>
  <c r="K1385" i="1"/>
  <c r="F1386" i="1"/>
  <c r="G1386" i="1"/>
  <c r="H1386" i="1"/>
  <c r="K1386" i="1"/>
  <c r="F1387" i="1"/>
  <c r="G1387" i="1"/>
  <c r="H1387" i="1"/>
  <c r="K1387" i="1"/>
  <c r="F1388" i="1"/>
  <c r="G1388" i="1"/>
  <c r="H1388" i="1"/>
  <c r="K1388" i="1"/>
  <c r="F1389" i="1"/>
  <c r="G1389" i="1"/>
  <c r="H1389" i="1"/>
  <c r="K1389" i="1"/>
  <c r="F1390" i="1"/>
  <c r="G1390" i="1"/>
  <c r="H1390" i="1"/>
  <c r="K1390" i="1"/>
  <c r="F1391" i="1"/>
  <c r="G1391" i="1"/>
  <c r="H1391" i="1"/>
  <c r="K1391" i="1"/>
  <c r="F1392" i="1"/>
  <c r="G1392" i="1"/>
  <c r="H1392" i="1"/>
  <c r="K1392" i="1"/>
  <c r="F1393" i="1"/>
  <c r="G1393" i="1"/>
  <c r="H1393" i="1"/>
  <c r="K1393" i="1"/>
  <c r="F1394" i="1"/>
  <c r="G1394" i="1"/>
  <c r="H1394" i="1"/>
  <c r="K1394" i="1"/>
  <c r="F5752" i="1"/>
  <c r="G5752" i="1"/>
  <c r="H5752" i="1"/>
  <c r="K5752" i="1"/>
  <c r="F2951" i="1"/>
  <c r="G2951" i="1"/>
  <c r="H2951" i="1"/>
  <c r="K2951" i="1"/>
  <c r="F2952" i="1"/>
  <c r="G2952" i="1"/>
  <c r="H2952" i="1"/>
  <c r="K2952" i="1"/>
  <c r="F5753" i="1"/>
  <c r="G5753" i="1"/>
  <c r="H5753" i="1"/>
  <c r="K5753" i="1"/>
  <c r="F1395" i="1"/>
  <c r="G1395" i="1"/>
  <c r="H1395" i="1"/>
  <c r="K1395" i="1"/>
  <c r="F7249" i="1"/>
  <c r="G7249" i="1"/>
  <c r="H7249" i="1"/>
  <c r="K7249" i="1"/>
  <c r="F7250" i="1"/>
  <c r="G7250" i="1"/>
  <c r="H7250" i="1"/>
  <c r="K7250" i="1"/>
  <c r="F2953" i="1"/>
  <c r="G2953" i="1"/>
  <c r="H2953" i="1"/>
  <c r="K2953" i="1"/>
  <c r="F7251" i="1"/>
  <c r="G7251" i="1"/>
  <c r="H7251" i="1"/>
  <c r="K7251" i="1"/>
  <c r="F7252" i="1"/>
  <c r="G7252" i="1"/>
  <c r="H7252" i="1"/>
  <c r="K7252" i="1"/>
  <c r="F7253" i="1"/>
  <c r="G7253" i="1"/>
  <c r="H7253" i="1"/>
  <c r="K7253" i="1"/>
  <c r="F5754" i="1"/>
  <c r="G5754" i="1"/>
  <c r="H5754" i="1"/>
  <c r="K5754" i="1"/>
  <c r="F5755" i="1"/>
  <c r="G5755" i="1"/>
  <c r="H5755" i="1"/>
  <c r="K5755" i="1"/>
  <c r="F1396" i="1"/>
  <c r="G1396" i="1"/>
  <c r="H1396" i="1"/>
  <c r="K1396" i="1"/>
  <c r="F1397" i="1"/>
  <c r="G1397" i="1"/>
  <c r="H1397" i="1"/>
  <c r="K1397" i="1"/>
  <c r="F4355" i="1"/>
  <c r="G4355" i="1"/>
  <c r="H4355" i="1"/>
  <c r="K4355" i="1"/>
  <c r="F1398" i="1"/>
  <c r="G1398" i="1"/>
  <c r="H1398" i="1"/>
  <c r="K1398" i="1"/>
  <c r="F7254" i="1"/>
  <c r="G7254" i="1"/>
  <c r="H7254" i="1"/>
  <c r="K7254" i="1"/>
  <c r="F7255" i="1"/>
  <c r="G7255" i="1"/>
  <c r="H7255" i="1"/>
  <c r="K7255" i="1"/>
  <c r="F7256" i="1"/>
  <c r="G7256" i="1"/>
  <c r="H7256" i="1"/>
  <c r="K7256" i="1"/>
  <c r="F2954" i="1"/>
  <c r="G2954" i="1"/>
  <c r="H2954" i="1"/>
  <c r="K2954" i="1"/>
  <c r="F4356" i="1"/>
  <c r="G4356" i="1"/>
  <c r="H4356" i="1"/>
  <c r="K4356" i="1"/>
  <c r="F1399" i="1"/>
  <c r="G1399" i="1"/>
  <c r="H1399" i="1"/>
  <c r="K1399" i="1"/>
  <c r="F1400" i="1"/>
  <c r="G1400" i="1"/>
  <c r="H1400" i="1"/>
  <c r="K1400" i="1"/>
  <c r="F1401" i="1"/>
  <c r="G1401" i="1"/>
  <c r="H1401" i="1"/>
  <c r="K1401" i="1"/>
  <c r="F1402" i="1"/>
  <c r="G1402" i="1"/>
  <c r="H1402" i="1"/>
  <c r="K1402" i="1"/>
  <c r="F1403" i="1"/>
  <c r="G1403" i="1"/>
  <c r="H1403" i="1"/>
  <c r="K1403" i="1"/>
  <c r="F1404" i="1"/>
  <c r="G1404" i="1"/>
  <c r="H1404" i="1"/>
  <c r="K1404" i="1"/>
  <c r="F1405" i="1"/>
  <c r="G1405" i="1"/>
  <c r="H1405" i="1"/>
  <c r="K1405" i="1"/>
  <c r="F5756" i="1"/>
  <c r="G5756" i="1"/>
  <c r="H5756" i="1"/>
  <c r="K5756" i="1"/>
  <c r="F4357" i="1"/>
  <c r="G4357" i="1"/>
  <c r="H4357" i="1"/>
  <c r="K4357" i="1"/>
  <c r="F1406" i="1"/>
  <c r="G1406" i="1"/>
  <c r="H1406" i="1"/>
  <c r="K1406" i="1"/>
  <c r="F1407" i="1"/>
  <c r="G1407" i="1"/>
  <c r="H1407" i="1"/>
  <c r="K1407" i="1"/>
  <c r="F1408" i="1"/>
  <c r="G1408" i="1"/>
  <c r="H1408" i="1"/>
  <c r="K1408" i="1"/>
  <c r="F7257" i="1"/>
  <c r="G7257" i="1"/>
  <c r="H7257" i="1"/>
  <c r="K7257" i="1"/>
  <c r="F7258" i="1"/>
  <c r="G7258" i="1"/>
  <c r="H7258" i="1"/>
  <c r="K7258" i="1"/>
  <c r="F1409" i="1"/>
  <c r="G1409" i="1"/>
  <c r="H1409" i="1"/>
  <c r="K1409" i="1"/>
  <c r="F1410" i="1"/>
  <c r="G1410" i="1"/>
  <c r="H1410" i="1"/>
  <c r="K1410" i="1"/>
  <c r="F4358" i="1"/>
  <c r="G4358" i="1"/>
  <c r="H4358" i="1"/>
  <c r="K4358" i="1"/>
  <c r="F1411" i="1"/>
  <c r="G1411" i="1"/>
  <c r="H1411" i="1"/>
  <c r="K1411" i="1"/>
  <c r="F5757" i="1"/>
  <c r="G5757" i="1"/>
  <c r="H5757" i="1"/>
  <c r="K5757" i="1"/>
  <c r="F4359" i="1"/>
  <c r="G4359" i="1"/>
  <c r="H4359" i="1"/>
  <c r="K4359" i="1"/>
  <c r="F1412" i="1"/>
  <c r="G1412" i="1"/>
  <c r="H1412" i="1"/>
  <c r="K1412" i="1"/>
  <c r="F5758" i="1"/>
  <c r="G5758" i="1"/>
  <c r="H5758" i="1"/>
  <c r="K5758" i="1"/>
  <c r="F1413" i="1"/>
  <c r="G1413" i="1"/>
  <c r="H1413" i="1"/>
  <c r="K1413" i="1"/>
  <c r="F5759" i="1"/>
  <c r="G5759" i="1"/>
  <c r="H5759" i="1"/>
  <c r="K5759" i="1"/>
  <c r="F7259" i="1"/>
  <c r="G7259" i="1"/>
  <c r="H7259" i="1"/>
  <c r="K7259" i="1"/>
  <c r="F7260" i="1"/>
  <c r="G7260" i="1"/>
  <c r="H7260" i="1"/>
  <c r="K7260" i="1"/>
  <c r="F5760" i="1"/>
  <c r="G5760" i="1"/>
  <c r="H5760" i="1"/>
  <c r="K5760" i="1"/>
  <c r="F5761" i="1"/>
  <c r="G5761" i="1"/>
  <c r="H5761" i="1"/>
  <c r="K5761" i="1"/>
  <c r="F7261" i="1"/>
  <c r="G7261" i="1"/>
  <c r="H7261" i="1"/>
  <c r="K7261" i="1"/>
  <c r="F5762" i="1"/>
  <c r="G5762" i="1"/>
  <c r="H5762" i="1"/>
  <c r="K5762" i="1"/>
  <c r="F1414" i="1"/>
  <c r="G1414" i="1"/>
  <c r="H1414" i="1"/>
  <c r="K1414" i="1"/>
  <c r="F1415" i="1"/>
  <c r="G1415" i="1"/>
  <c r="H1415" i="1"/>
  <c r="K1415" i="1"/>
  <c r="F5763" i="1"/>
  <c r="G5763" i="1"/>
  <c r="H5763" i="1"/>
  <c r="K5763" i="1"/>
  <c r="F7262" i="1"/>
  <c r="G7262" i="1"/>
  <c r="H7262" i="1"/>
  <c r="K7262" i="1"/>
  <c r="F4360" i="1"/>
  <c r="G4360" i="1"/>
  <c r="H4360" i="1"/>
  <c r="K4360" i="1"/>
  <c r="F5764" i="1"/>
  <c r="G5764" i="1"/>
  <c r="H5764" i="1"/>
  <c r="K5764" i="1"/>
  <c r="F1416" i="1"/>
  <c r="G1416" i="1"/>
  <c r="H1416" i="1"/>
  <c r="K1416" i="1"/>
  <c r="F4361" i="1"/>
  <c r="G4361" i="1"/>
  <c r="H4361" i="1"/>
  <c r="K4361" i="1"/>
  <c r="F4362" i="1"/>
  <c r="G4362" i="1"/>
  <c r="H4362" i="1"/>
  <c r="K4362" i="1"/>
  <c r="F7263" i="1"/>
  <c r="G7263" i="1"/>
  <c r="H7263" i="1"/>
  <c r="K7263" i="1"/>
  <c r="F1417" i="1"/>
  <c r="G1417" i="1"/>
  <c r="H1417" i="1"/>
  <c r="K1417" i="1"/>
  <c r="F2955" i="1"/>
  <c r="G2955" i="1"/>
  <c r="H2955" i="1"/>
  <c r="K2955" i="1"/>
  <c r="F7264" i="1"/>
  <c r="G7264" i="1"/>
  <c r="H7264" i="1"/>
  <c r="K7264" i="1"/>
  <c r="F5765" i="1"/>
  <c r="G5765" i="1"/>
  <c r="H5765" i="1"/>
  <c r="K5765" i="1"/>
  <c r="F5766" i="1"/>
  <c r="G5766" i="1"/>
  <c r="H5766" i="1"/>
  <c r="K5766" i="1"/>
  <c r="F1418" i="1"/>
  <c r="G1418" i="1"/>
  <c r="H1418" i="1"/>
  <c r="K1418" i="1"/>
  <c r="F2956" i="1"/>
  <c r="G2956" i="1"/>
  <c r="H2956" i="1"/>
  <c r="K2956" i="1"/>
  <c r="F1419" i="1"/>
  <c r="G1419" i="1"/>
  <c r="H1419" i="1"/>
  <c r="K1419" i="1"/>
  <c r="F1420" i="1"/>
  <c r="G1420" i="1"/>
  <c r="H1420" i="1"/>
  <c r="K1420" i="1"/>
  <c r="F2957" i="1"/>
  <c r="G2957" i="1"/>
  <c r="H2957" i="1"/>
  <c r="K2957" i="1"/>
  <c r="F4363" i="1"/>
  <c r="G4363" i="1"/>
  <c r="H4363" i="1"/>
  <c r="K4363" i="1"/>
  <c r="F2958" i="1"/>
  <c r="G2958" i="1"/>
  <c r="H2958" i="1"/>
  <c r="K2958" i="1"/>
  <c r="F2959" i="1"/>
  <c r="G2959" i="1"/>
  <c r="H2959" i="1"/>
  <c r="K2959" i="1"/>
  <c r="F7265" i="1"/>
  <c r="G7265" i="1"/>
  <c r="H7265" i="1"/>
  <c r="K7265" i="1"/>
  <c r="F5767" i="1"/>
  <c r="G5767" i="1"/>
  <c r="H5767" i="1"/>
  <c r="K5767" i="1"/>
  <c r="F7266" i="1"/>
  <c r="G7266" i="1"/>
  <c r="H7266" i="1"/>
  <c r="K7266" i="1"/>
  <c r="F2960" i="1"/>
  <c r="G2960" i="1"/>
  <c r="H2960" i="1"/>
  <c r="K2960" i="1"/>
  <c r="F2961" i="1"/>
  <c r="G2961" i="1"/>
  <c r="H2961" i="1"/>
  <c r="K2961" i="1"/>
  <c r="F4364" i="1"/>
  <c r="G4364" i="1"/>
  <c r="H4364" i="1"/>
  <c r="K4364" i="1"/>
  <c r="F4365" i="1"/>
  <c r="G4365" i="1"/>
  <c r="H4365" i="1"/>
  <c r="K4365" i="1"/>
  <c r="F4366" i="1"/>
  <c r="G4366" i="1"/>
  <c r="H4366" i="1"/>
  <c r="K4366" i="1"/>
  <c r="F4367" i="1"/>
  <c r="G4367" i="1"/>
  <c r="H4367" i="1"/>
  <c r="K4367" i="1"/>
  <c r="F1421" i="1"/>
  <c r="G1421" i="1"/>
  <c r="H1421" i="1"/>
  <c r="K1421" i="1"/>
  <c r="F1422" i="1"/>
  <c r="G1422" i="1"/>
  <c r="H1422" i="1"/>
  <c r="K1422" i="1"/>
  <c r="F5768" i="1"/>
  <c r="G5768" i="1"/>
  <c r="H5768" i="1"/>
  <c r="K5768" i="1"/>
  <c r="F5769" i="1"/>
  <c r="G5769" i="1"/>
  <c r="H5769" i="1"/>
  <c r="K5769" i="1"/>
  <c r="F4368" i="1"/>
  <c r="G4368" i="1"/>
  <c r="H4368" i="1"/>
  <c r="K4368" i="1"/>
  <c r="F2962" i="1"/>
  <c r="G2962" i="1"/>
  <c r="H2962" i="1"/>
  <c r="K2962" i="1"/>
  <c r="F1423" i="1"/>
  <c r="G1423" i="1"/>
  <c r="H1423" i="1"/>
  <c r="K1423" i="1"/>
  <c r="F5770" i="1"/>
  <c r="G5770" i="1"/>
  <c r="H5770" i="1"/>
  <c r="K5770" i="1"/>
  <c r="F7267" i="1"/>
  <c r="G7267" i="1"/>
  <c r="H7267" i="1"/>
  <c r="K7267" i="1"/>
  <c r="F1424" i="1"/>
  <c r="G1424" i="1"/>
  <c r="H1424" i="1"/>
  <c r="K1424" i="1"/>
  <c r="F4369" i="1"/>
  <c r="G4369" i="1"/>
  <c r="H4369" i="1"/>
  <c r="K4369" i="1"/>
  <c r="F4370" i="1"/>
  <c r="G4370" i="1"/>
  <c r="H4370" i="1"/>
  <c r="K4370" i="1"/>
  <c r="F4371" i="1"/>
  <c r="G4371" i="1"/>
  <c r="H4371" i="1"/>
  <c r="K4371" i="1"/>
  <c r="F2963" i="1"/>
  <c r="G2963" i="1"/>
  <c r="H2963" i="1"/>
  <c r="K2963" i="1"/>
  <c r="F2964" i="1"/>
  <c r="G2964" i="1"/>
  <c r="H2964" i="1"/>
  <c r="K2964" i="1"/>
  <c r="F2965" i="1"/>
  <c r="G2965" i="1"/>
  <c r="H2965" i="1"/>
  <c r="K2965" i="1"/>
  <c r="F1425" i="1"/>
  <c r="G1425" i="1"/>
  <c r="H1425" i="1"/>
  <c r="K1425" i="1"/>
  <c r="F2966" i="1"/>
  <c r="G2966" i="1"/>
  <c r="H2966" i="1"/>
  <c r="K2966" i="1"/>
  <c r="F4372" i="1"/>
  <c r="G4372" i="1"/>
  <c r="H4372" i="1"/>
  <c r="K4372" i="1"/>
  <c r="F1426" i="1"/>
  <c r="G1426" i="1"/>
  <c r="H1426" i="1"/>
  <c r="K1426" i="1"/>
  <c r="F7268" i="1"/>
  <c r="G7268" i="1"/>
  <c r="H7268" i="1"/>
  <c r="K7268" i="1"/>
  <c r="F1427" i="1"/>
  <c r="G1427" i="1"/>
  <c r="H1427" i="1"/>
  <c r="K1427" i="1"/>
  <c r="F2967" i="1"/>
  <c r="G2967" i="1"/>
  <c r="H2967" i="1"/>
  <c r="K2967" i="1"/>
  <c r="F1428" i="1"/>
  <c r="G1428" i="1"/>
  <c r="H1428" i="1"/>
  <c r="K1428" i="1"/>
  <c r="F1429" i="1"/>
  <c r="G1429" i="1"/>
  <c r="H1429" i="1"/>
  <c r="K1429" i="1"/>
  <c r="F1430" i="1"/>
  <c r="G1430" i="1"/>
  <c r="H1430" i="1"/>
  <c r="K1430" i="1"/>
  <c r="F1431" i="1"/>
  <c r="G1431" i="1"/>
  <c r="H1431" i="1"/>
  <c r="K1431" i="1"/>
  <c r="F4373" i="1"/>
  <c r="G4373" i="1"/>
  <c r="H4373" i="1"/>
  <c r="K4373" i="1"/>
  <c r="F2968" i="1"/>
  <c r="G2968" i="1"/>
  <c r="H2968" i="1"/>
  <c r="K2968" i="1"/>
  <c r="F4374" i="1"/>
  <c r="G4374" i="1"/>
  <c r="H4374" i="1"/>
  <c r="K4374" i="1"/>
  <c r="F5771" i="1"/>
  <c r="G5771" i="1"/>
  <c r="H5771" i="1"/>
  <c r="K5771" i="1"/>
  <c r="F2969" i="1"/>
  <c r="G2969" i="1"/>
  <c r="H2969" i="1"/>
  <c r="K2969" i="1"/>
  <c r="F1432" i="1"/>
  <c r="G1432" i="1"/>
  <c r="H1432" i="1"/>
  <c r="K1432" i="1"/>
  <c r="F2970" i="1"/>
  <c r="G2970" i="1"/>
  <c r="H2970" i="1"/>
  <c r="K2970" i="1"/>
  <c r="F2971" i="1"/>
  <c r="G2971" i="1"/>
  <c r="H2971" i="1"/>
  <c r="K2971" i="1"/>
  <c r="F7269" i="1"/>
  <c r="G7269" i="1"/>
  <c r="H7269" i="1"/>
  <c r="K7269" i="1"/>
  <c r="F1433" i="1"/>
  <c r="G1433" i="1"/>
  <c r="H1433" i="1"/>
  <c r="K1433" i="1"/>
  <c r="F1434" i="1"/>
  <c r="G1434" i="1"/>
  <c r="H1434" i="1"/>
  <c r="K1434" i="1"/>
  <c r="F1435" i="1"/>
  <c r="G1435" i="1"/>
  <c r="H1435" i="1"/>
  <c r="K1435" i="1"/>
  <c r="F4375" i="1"/>
  <c r="G4375" i="1"/>
  <c r="H4375" i="1"/>
  <c r="K4375" i="1"/>
  <c r="F1436" i="1"/>
  <c r="G1436" i="1"/>
  <c r="H1436" i="1"/>
  <c r="K1436" i="1"/>
  <c r="F4376" i="1"/>
  <c r="G4376" i="1"/>
  <c r="H4376" i="1"/>
  <c r="K4376" i="1"/>
  <c r="F1437" i="1"/>
  <c r="G1437" i="1"/>
  <c r="H1437" i="1"/>
  <c r="K1437" i="1"/>
  <c r="F2972" i="1"/>
  <c r="G2972" i="1"/>
  <c r="H2972" i="1"/>
  <c r="K2972" i="1"/>
  <c r="F5772" i="1"/>
  <c r="G5772" i="1"/>
  <c r="H5772" i="1"/>
  <c r="K5772" i="1"/>
  <c r="F4377" i="1"/>
  <c r="G4377" i="1"/>
  <c r="H4377" i="1"/>
  <c r="K4377" i="1"/>
  <c r="F5773" i="1"/>
  <c r="G5773" i="1"/>
  <c r="H5773" i="1"/>
  <c r="K5773" i="1"/>
  <c r="F1438" i="1"/>
  <c r="G1438" i="1"/>
  <c r="H1438" i="1"/>
  <c r="K1438" i="1"/>
  <c r="F5774" i="1"/>
  <c r="G5774" i="1"/>
  <c r="H5774" i="1"/>
  <c r="K5774" i="1"/>
  <c r="F4378" i="1"/>
  <c r="G4378" i="1"/>
  <c r="H4378" i="1"/>
  <c r="K4378" i="1"/>
  <c r="F7270" i="1"/>
  <c r="G7270" i="1"/>
  <c r="H7270" i="1"/>
  <c r="K7270" i="1"/>
  <c r="F7271" i="1"/>
  <c r="G7271" i="1"/>
  <c r="H7271" i="1"/>
  <c r="K7271" i="1"/>
  <c r="F2973" i="1"/>
  <c r="G2973" i="1"/>
  <c r="H2973" i="1"/>
  <c r="K2973" i="1"/>
  <c r="F1439" i="1"/>
  <c r="G1439" i="1"/>
  <c r="H1439" i="1"/>
  <c r="K1439" i="1"/>
  <c r="F7272" i="1"/>
  <c r="G7272" i="1"/>
  <c r="H7272" i="1"/>
  <c r="K7272" i="1"/>
  <c r="F1440" i="1"/>
  <c r="G1440" i="1"/>
  <c r="H1440" i="1"/>
  <c r="K1440" i="1"/>
  <c r="F5775" i="1"/>
  <c r="G5775" i="1"/>
  <c r="H5775" i="1"/>
  <c r="K5775" i="1"/>
  <c r="F1441" i="1"/>
  <c r="G1441" i="1"/>
  <c r="H1441" i="1"/>
  <c r="K1441" i="1"/>
  <c r="F7273" i="1"/>
  <c r="G7273" i="1"/>
  <c r="H7273" i="1"/>
  <c r="K7273" i="1"/>
  <c r="F7274" i="1"/>
  <c r="G7274" i="1"/>
  <c r="H7274" i="1"/>
  <c r="K7274" i="1"/>
  <c r="F5776" i="1"/>
  <c r="G5776" i="1"/>
  <c r="H5776" i="1"/>
  <c r="K5776" i="1"/>
  <c r="F1442" i="1"/>
  <c r="G1442" i="1"/>
  <c r="H1442" i="1"/>
  <c r="K1442" i="1"/>
  <c r="F1443" i="1"/>
  <c r="G1443" i="1"/>
  <c r="H1443" i="1"/>
  <c r="K1443" i="1"/>
  <c r="F1444" i="1"/>
  <c r="G1444" i="1"/>
  <c r="H1444" i="1"/>
  <c r="K1444" i="1"/>
  <c r="F2974" i="1"/>
  <c r="G2974" i="1"/>
  <c r="H2974" i="1"/>
  <c r="K2974" i="1"/>
  <c r="F7275" i="1"/>
  <c r="G7275" i="1"/>
  <c r="H7275" i="1"/>
  <c r="K7275" i="1"/>
  <c r="F1445" i="1"/>
  <c r="G1445" i="1"/>
  <c r="H1445" i="1"/>
  <c r="K1445" i="1"/>
  <c r="F7276" i="1"/>
  <c r="G7276" i="1"/>
  <c r="H7276" i="1"/>
  <c r="K7276" i="1"/>
  <c r="F5777" i="1"/>
  <c r="G5777" i="1"/>
  <c r="H5777" i="1"/>
  <c r="K5777" i="1"/>
  <c r="F2975" i="1"/>
  <c r="G2975" i="1"/>
  <c r="H2975" i="1"/>
  <c r="K2975" i="1"/>
  <c r="F4379" i="1"/>
  <c r="G4379" i="1"/>
  <c r="H4379" i="1"/>
  <c r="K4379" i="1"/>
  <c r="F1446" i="1"/>
  <c r="G1446" i="1"/>
  <c r="H1446" i="1"/>
  <c r="K1446" i="1"/>
  <c r="F1447" i="1"/>
  <c r="G1447" i="1"/>
  <c r="H1447" i="1"/>
  <c r="K1447" i="1"/>
  <c r="F5778" i="1"/>
  <c r="G5778" i="1"/>
  <c r="H5778" i="1"/>
  <c r="K5778" i="1"/>
  <c r="F7277" i="1"/>
  <c r="G7277" i="1"/>
  <c r="H7277" i="1"/>
  <c r="K7277" i="1"/>
  <c r="F5779" i="1"/>
  <c r="G5779" i="1"/>
  <c r="H5779" i="1"/>
  <c r="K5779" i="1"/>
  <c r="F1448" i="1"/>
  <c r="G1448" i="1"/>
  <c r="H1448" i="1"/>
  <c r="K1448" i="1"/>
  <c r="F4380" i="1"/>
  <c r="G4380" i="1"/>
  <c r="H4380" i="1"/>
  <c r="K4380" i="1"/>
  <c r="F4381" i="1"/>
  <c r="G4381" i="1"/>
  <c r="H4381" i="1"/>
  <c r="K4381" i="1"/>
  <c r="F7278" i="1"/>
  <c r="G7278" i="1"/>
  <c r="H7278" i="1"/>
  <c r="K7278" i="1"/>
  <c r="F7279" i="1"/>
  <c r="G7279" i="1"/>
  <c r="H7279" i="1"/>
  <c r="K7279" i="1"/>
  <c r="F7280" i="1"/>
  <c r="G7280" i="1"/>
  <c r="H7280" i="1"/>
  <c r="K7280" i="1"/>
  <c r="F7281" i="1"/>
  <c r="G7281" i="1"/>
  <c r="H7281" i="1"/>
  <c r="K7281" i="1"/>
  <c r="F7282" i="1"/>
  <c r="G7282" i="1"/>
  <c r="H7282" i="1"/>
  <c r="K7282" i="1"/>
  <c r="F2976" i="1"/>
  <c r="G2976" i="1"/>
  <c r="H2976" i="1"/>
  <c r="K2976" i="1"/>
  <c r="F7283" i="1"/>
  <c r="G7283" i="1"/>
  <c r="H7283" i="1"/>
  <c r="K7283" i="1"/>
  <c r="F7284" i="1"/>
  <c r="G7284" i="1"/>
  <c r="H7284" i="1"/>
  <c r="K7284" i="1"/>
  <c r="F7285" i="1"/>
  <c r="G7285" i="1"/>
  <c r="H7285" i="1"/>
  <c r="K7285" i="1"/>
  <c r="F1449" i="1"/>
  <c r="G1449" i="1"/>
  <c r="H1449" i="1"/>
  <c r="K1449" i="1"/>
  <c r="F1450" i="1"/>
  <c r="G1450" i="1"/>
  <c r="H1450" i="1"/>
  <c r="K1450" i="1"/>
  <c r="F1451" i="1"/>
  <c r="G1451" i="1"/>
  <c r="H1451" i="1"/>
  <c r="K1451" i="1"/>
  <c r="F7286" i="1"/>
  <c r="G7286" i="1"/>
  <c r="H7286" i="1"/>
  <c r="K7286" i="1"/>
  <c r="F4382" i="1"/>
  <c r="G4382" i="1"/>
  <c r="H4382" i="1"/>
  <c r="K4382" i="1"/>
  <c r="F4383" i="1"/>
  <c r="G4383" i="1"/>
  <c r="H4383" i="1"/>
  <c r="K4383" i="1"/>
  <c r="F4384" i="1"/>
  <c r="G4384" i="1"/>
  <c r="H4384" i="1"/>
  <c r="K4384" i="1"/>
  <c r="F4385" i="1"/>
  <c r="G4385" i="1"/>
  <c r="H4385" i="1"/>
  <c r="K4385" i="1"/>
  <c r="F5780" i="1"/>
  <c r="G5780" i="1"/>
  <c r="H5780" i="1"/>
  <c r="K5780" i="1"/>
  <c r="F5781" i="1"/>
  <c r="G5781" i="1"/>
  <c r="H5781" i="1"/>
  <c r="K5781" i="1"/>
  <c r="F2977" i="1"/>
  <c r="G2977" i="1"/>
  <c r="H2977" i="1"/>
  <c r="K2977" i="1"/>
  <c r="F5782" i="1"/>
  <c r="G5782" i="1"/>
  <c r="H5782" i="1"/>
  <c r="K5782" i="1"/>
  <c r="F7287" i="1"/>
  <c r="G7287" i="1"/>
  <c r="H7287" i="1"/>
  <c r="K7287" i="1"/>
  <c r="F4386" i="1"/>
  <c r="G4386" i="1"/>
  <c r="H4386" i="1"/>
  <c r="K4386" i="1"/>
  <c r="F1452" i="1"/>
  <c r="G1452" i="1"/>
  <c r="H1452" i="1"/>
  <c r="K1452" i="1"/>
  <c r="F4387" i="1"/>
  <c r="G4387" i="1"/>
  <c r="H4387" i="1"/>
  <c r="K4387" i="1"/>
  <c r="F4388" i="1"/>
  <c r="G4388" i="1"/>
  <c r="H4388" i="1"/>
  <c r="K4388" i="1"/>
  <c r="F4389" i="1"/>
  <c r="G4389" i="1"/>
  <c r="H4389" i="1"/>
  <c r="K4389" i="1"/>
  <c r="F4390" i="1"/>
  <c r="G4390" i="1"/>
  <c r="H4390" i="1"/>
  <c r="K4390" i="1"/>
  <c r="F7288" i="1"/>
  <c r="G7288" i="1"/>
  <c r="H7288" i="1"/>
  <c r="K7288" i="1"/>
  <c r="F1453" i="1"/>
  <c r="G1453" i="1"/>
  <c r="H1453" i="1"/>
  <c r="K1453" i="1"/>
  <c r="F7289" i="1"/>
  <c r="G7289" i="1"/>
  <c r="H7289" i="1"/>
  <c r="K7289" i="1"/>
  <c r="F5783" i="1"/>
  <c r="G5783" i="1"/>
  <c r="H5783" i="1"/>
  <c r="K5783" i="1"/>
  <c r="F5784" i="1"/>
  <c r="G5784" i="1"/>
  <c r="H5784" i="1"/>
  <c r="K5784" i="1"/>
  <c r="F5785" i="1"/>
  <c r="G5785" i="1"/>
  <c r="H5785" i="1"/>
  <c r="K5785" i="1"/>
  <c r="F5786" i="1"/>
  <c r="G5786" i="1"/>
  <c r="H5786" i="1"/>
  <c r="K5786" i="1"/>
  <c r="F7290" i="1"/>
  <c r="G7290" i="1"/>
  <c r="H7290" i="1"/>
  <c r="K7290" i="1"/>
  <c r="F1454" i="1"/>
  <c r="G1454" i="1"/>
  <c r="H1454" i="1"/>
  <c r="K1454" i="1"/>
  <c r="F1455" i="1"/>
  <c r="G1455" i="1"/>
  <c r="H1455" i="1"/>
  <c r="K1455" i="1"/>
  <c r="F5787" i="1"/>
  <c r="G5787" i="1"/>
  <c r="H5787" i="1"/>
  <c r="K5787" i="1"/>
  <c r="F7291" i="1"/>
  <c r="G7291" i="1"/>
  <c r="H7291" i="1"/>
  <c r="K7291" i="1"/>
  <c r="F2978" i="1"/>
  <c r="G2978" i="1"/>
  <c r="H2978" i="1"/>
  <c r="K2978" i="1"/>
  <c r="F5788" i="1"/>
  <c r="G5788" i="1"/>
  <c r="H5788" i="1"/>
  <c r="K5788" i="1"/>
  <c r="F7292" i="1"/>
  <c r="G7292" i="1"/>
  <c r="H7292" i="1"/>
  <c r="K7292" i="1"/>
  <c r="F2979" i="1"/>
  <c r="G2979" i="1"/>
  <c r="H2979" i="1"/>
  <c r="K2979" i="1"/>
  <c r="F5789" i="1"/>
  <c r="G5789" i="1"/>
  <c r="H5789" i="1"/>
  <c r="K5789" i="1"/>
  <c r="F1456" i="1"/>
  <c r="G1456" i="1"/>
  <c r="H1456" i="1"/>
  <c r="K1456" i="1"/>
  <c r="F1457" i="1"/>
  <c r="G1457" i="1"/>
  <c r="H1457" i="1"/>
  <c r="K1457" i="1"/>
  <c r="F7293" i="1"/>
  <c r="G7293" i="1"/>
  <c r="H7293" i="1"/>
  <c r="K7293" i="1"/>
  <c r="F1458" i="1"/>
  <c r="G1458" i="1"/>
  <c r="H1458" i="1"/>
  <c r="K1458" i="1"/>
  <c r="F1459" i="1"/>
  <c r="G1459" i="1"/>
  <c r="H1459" i="1"/>
  <c r="K1459" i="1"/>
  <c r="F2980" i="1"/>
  <c r="G2980" i="1"/>
  <c r="H2980" i="1"/>
  <c r="K2980" i="1"/>
  <c r="F4391" i="1"/>
  <c r="G4391" i="1"/>
  <c r="H4391" i="1"/>
  <c r="K4391" i="1"/>
  <c r="F1460" i="1"/>
  <c r="G1460" i="1"/>
  <c r="H1460" i="1"/>
  <c r="K1460" i="1"/>
  <c r="F1461" i="1"/>
  <c r="G1461" i="1"/>
  <c r="H1461" i="1"/>
  <c r="K1461" i="1"/>
  <c r="F2981" i="1"/>
  <c r="G2981" i="1"/>
  <c r="H2981" i="1"/>
  <c r="K2981" i="1"/>
  <c r="F5790" i="1"/>
  <c r="G5790" i="1"/>
  <c r="H5790" i="1"/>
  <c r="K5790" i="1"/>
  <c r="F1462" i="1"/>
  <c r="G1462" i="1"/>
  <c r="H1462" i="1"/>
  <c r="K1462" i="1"/>
  <c r="F2982" i="1"/>
  <c r="G2982" i="1"/>
  <c r="H2982" i="1"/>
  <c r="K2982" i="1"/>
  <c r="F2983" i="1"/>
  <c r="G2983" i="1"/>
  <c r="H2983" i="1"/>
  <c r="K2983" i="1"/>
  <c r="F2984" i="1"/>
  <c r="G2984" i="1"/>
  <c r="H2984" i="1"/>
  <c r="K2984" i="1"/>
  <c r="F7294" i="1"/>
  <c r="G7294" i="1"/>
  <c r="H7294" i="1"/>
  <c r="K7294" i="1"/>
  <c r="F2985" i="1"/>
  <c r="G2985" i="1"/>
  <c r="H2985" i="1"/>
  <c r="K2985" i="1"/>
  <c r="F2986" i="1"/>
  <c r="G2986" i="1"/>
  <c r="H2986" i="1"/>
  <c r="K2986" i="1"/>
  <c r="F1463" i="1"/>
  <c r="G1463" i="1"/>
  <c r="H1463" i="1"/>
  <c r="K1463" i="1"/>
  <c r="F1464" i="1"/>
  <c r="G1464" i="1"/>
  <c r="H1464" i="1"/>
  <c r="K1464" i="1"/>
  <c r="F1465" i="1"/>
  <c r="G1465" i="1"/>
  <c r="H1465" i="1"/>
  <c r="K1465" i="1"/>
  <c r="F7295" i="1"/>
  <c r="G7295" i="1"/>
  <c r="H7295" i="1"/>
  <c r="K7295" i="1"/>
  <c r="F2987" i="1"/>
  <c r="G2987" i="1"/>
  <c r="H2987" i="1"/>
  <c r="K2987" i="1"/>
  <c r="F4392" i="1"/>
  <c r="G4392" i="1"/>
  <c r="H4392" i="1"/>
  <c r="K4392" i="1"/>
  <c r="F5791" i="1"/>
  <c r="G5791" i="1"/>
  <c r="H5791" i="1"/>
  <c r="K5791" i="1"/>
  <c r="F1466" i="1"/>
  <c r="G1466" i="1"/>
  <c r="H1466" i="1"/>
  <c r="K1466" i="1"/>
  <c r="F7296" i="1"/>
  <c r="G7296" i="1"/>
  <c r="H7296" i="1"/>
  <c r="K7296" i="1"/>
  <c r="F5792" i="1"/>
  <c r="G5792" i="1"/>
  <c r="H5792" i="1"/>
  <c r="K5792" i="1"/>
  <c r="F1467" i="1"/>
  <c r="G1467" i="1"/>
  <c r="H1467" i="1"/>
  <c r="K1467" i="1"/>
  <c r="F7297" i="1"/>
  <c r="G7297" i="1"/>
  <c r="H7297" i="1"/>
  <c r="K7297" i="1"/>
  <c r="F1468" i="1"/>
  <c r="G1468" i="1"/>
  <c r="H1468" i="1"/>
  <c r="K1468" i="1"/>
  <c r="F1469" i="1"/>
  <c r="G1469" i="1"/>
  <c r="H1469" i="1"/>
  <c r="K1469" i="1"/>
  <c r="F1470" i="1"/>
  <c r="G1470" i="1"/>
  <c r="H1470" i="1"/>
  <c r="K1470" i="1"/>
  <c r="F2988" i="1"/>
  <c r="G2988" i="1"/>
  <c r="H2988" i="1"/>
  <c r="K2988" i="1"/>
  <c r="F7298" i="1"/>
  <c r="G7298" i="1"/>
  <c r="H7298" i="1"/>
  <c r="K7298" i="1"/>
  <c r="F7299" i="1"/>
  <c r="G7299" i="1"/>
  <c r="H7299" i="1"/>
  <c r="K7299" i="1"/>
  <c r="F4393" i="1"/>
  <c r="G4393" i="1"/>
  <c r="H4393" i="1"/>
  <c r="K4393" i="1"/>
  <c r="F2989" i="1"/>
  <c r="G2989" i="1"/>
  <c r="H2989" i="1"/>
  <c r="K2989" i="1"/>
  <c r="F7300" i="1"/>
  <c r="G7300" i="1"/>
  <c r="H7300" i="1"/>
  <c r="K7300" i="1"/>
  <c r="F5793" i="1"/>
  <c r="G5793" i="1"/>
  <c r="H5793" i="1"/>
  <c r="K5793" i="1"/>
  <c r="F1471" i="1"/>
  <c r="G1471" i="1"/>
  <c r="H1471" i="1"/>
  <c r="K1471" i="1"/>
  <c r="F7301" i="1"/>
  <c r="G7301" i="1"/>
  <c r="H7301" i="1"/>
  <c r="K7301" i="1"/>
  <c r="F1472" i="1"/>
  <c r="G1472" i="1"/>
  <c r="H1472" i="1"/>
  <c r="K1472" i="1"/>
  <c r="F2990" i="1"/>
  <c r="G2990" i="1"/>
  <c r="H2990" i="1"/>
  <c r="K2990" i="1"/>
  <c r="F1473" i="1"/>
  <c r="G1473" i="1"/>
  <c r="H1473" i="1"/>
  <c r="K1473" i="1"/>
  <c r="F5794" i="1"/>
  <c r="G5794" i="1"/>
  <c r="H5794" i="1"/>
  <c r="K5794" i="1"/>
  <c r="F1474" i="1"/>
  <c r="G1474" i="1"/>
  <c r="H1474" i="1"/>
  <c r="K1474" i="1"/>
  <c r="F1475" i="1"/>
  <c r="G1475" i="1"/>
  <c r="H1475" i="1"/>
  <c r="K1475" i="1"/>
  <c r="F4394" i="1"/>
  <c r="G4394" i="1"/>
  <c r="H4394" i="1"/>
  <c r="K4394" i="1"/>
  <c r="F1476" i="1"/>
  <c r="G1476" i="1"/>
  <c r="H1476" i="1"/>
  <c r="K1476" i="1"/>
  <c r="F7302" i="1"/>
  <c r="G7302" i="1"/>
  <c r="H7302" i="1"/>
  <c r="K7302" i="1"/>
  <c r="F1477" i="1"/>
  <c r="G1477" i="1"/>
  <c r="H1477" i="1"/>
  <c r="K1477" i="1"/>
  <c r="F5795" i="1"/>
  <c r="G5795" i="1"/>
  <c r="H5795" i="1"/>
  <c r="K5795" i="1"/>
  <c r="F1478" i="1"/>
  <c r="G1478" i="1"/>
  <c r="H1478" i="1"/>
  <c r="K1478" i="1"/>
  <c r="F1479" i="1"/>
  <c r="G1479" i="1"/>
  <c r="H1479" i="1"/>
  <c r="K1479" i="1"/>
  <c r="F2991" i="1"/>
  <c r="G2991" i="1"/>
  <c r="H2991" i="1"/>
  <c r="K2991" i="1"/>
  <c r="F2992" i="1"/>
  <c r="G2992" i="1"/>
  <c r="H2992" i="1"/>
  <c r="K2992" i="1"/>
  <c r="F4395" i="1"/>
  <c r="G4395" i="1"/>
  <c r="H4395" i="1"/>
  <c r="K4395" i="1"/>
  <c r="F1480" i="1"/>
  <c r="G1480" i="1"/>
  <c r="H1480" i="1"/>
  <c r="K1480" i="1"/>
  <c r="F1481" i="1"/>
  <c r="G1481" i="1"/>
  <c r="H1481" i="1"/>
  <c r="K1481" i="1"/>
  <c r="F2993" i="1"/>
  <c r="G2993" i="1"/>
  <c r="H2993" i="1"/>
  <c r="K2993" i="1"/>
  <c r="F1482" i="1"/>
  <c r="G1482" i="1"/>
  <c r="H1482" i="1"/>
  <c r="K1482" i="1"/>
  <c r="F1483" i="1"/>
  <c r="G1483" i="1"/>
  <c r="H1483" i="1"/>
  <c r="K1483" i="1"/>
  <c r="F1484" i="1"/>
  <c r="G1484" i="1"/>
  <c r="H1484" i="1"/>
  <c r="K1484" i="1"/>
  <c r="F4396" i="1"/>
  <c r="G4396" i="1"/>
  <c r="H4396" i="1"/>
  <c r="K4396" i="1"/>
  <c r="F4397" i="1"/>
  <c r="G4397" i="1"/>
  <c r="H4397" i="1"/>
  <c r="K4397" i="1"/>
  <c r="F4398" i="1"/>
  <c r="G4398" i="1"/>
  <c r="H4398" i="1"/>
  <c r="K4398" i="1"/>
  <c r="F1485" i="1"/>
  <c r="G1485" i="1"/>
  <c r="H1485" i="1"/>
  <c r="K1485" i="1"/>
  <c r="F1486" i="1"/>
  <c r="G1486" i="1"/>
  <c r="H1486" i="1"/>
  <c r="K1486" i="1"/>
  <c r="F4399" i="1"/>
  <c r="G4399" i="1"/>
  <c r="H4399" i="1"/>
  <c r="K4399" i="1"/>
  <c r="F4400" i="1"/>
  <c r="G4400" i="1"/>
  <c r="H4400" i="1"/>
  <c r="K4400" i="1"/>
  <c r="F4401" i="1"/>
  <c r="G4401" i="1"/>
  <c r="H4401" i="1"/>
  <c r="K4401" i="1"/>
  <c r="F7303" i="1"/>
  <c r="G7303" i="1"/>
  <c r="H7303" i="1"/>
  <c r="K7303" i="1"/>
  <c r="F5796" i="1"/>
  <c r="G5796" i="1"/>
  <c r="H5796" i="1"/>
  <c r="K5796" i="1"/>
  <c r="F2994" i="1"/>
  <c r="G2994" i="1"/>
  <c r="H2994" i="1"/>
  <c r="K2994" i="1"/>
  <c r="F1487" i="1"/>
  <c r="G1487" i="1"/>
  <c r="H1487" i="1"/>
  <c r="K1487" i="1"/>
  <c r="F7304" i="1"/>
  <c r="G7304" i="1"/>
  <c r="H7304" i="1"/>
  <c r="K7304" i="1"/>
  <c r="F4402" i="1"/>
  <c r="G4402" i="1"/>
  <c r="H4402" i="1"/>
  <c r="K4402" i="1"/>
  <c r="F4403" i="1"/>
  <c r="G4403" i="1"/>
  <c r="H4403" i="1"/>
  <c r="K4403" i="1"/>
  <c r="F7305" i="1"/>
  <c r="G7305" i="1"/>
  <c r="H7305" i="1"/>
  <c r="K7305" i="1"/>
  <c r="F1488" i="1"/>
  <c r="G1488" i="1"/>
  <c r="H1488" i="1"/>
  <c r="K1488" i="1"/>
  <c r="F1489" i="1"/>
  <c r="G1489" i="1"/>
  <c r="H1489" i="1"/>
  <c r="K1489" i="1"/>
  <c r="F4404" i="1"/>
  <c r="G4404" i="1"/>
  <c r="H4404" i="1"/>
  <c r="K4404" i="1"/>
  <c r="F4405" i="1"/>
  <c r="G4405" i="1"/>
  <c r="H4405" i="1"/>
  <c r="K4405" i="1"/>
  <c r="F4406" i="1"/>
  <c r="G4406" i="1"/>
  <c r="H4406" i="1"/>
  <c r="K4406" i="1"/>
  <c r="F1490" i="1"/>
  <c r="G1490" i="1"/>
  <c r="H1490" i="1"/>
  <c r="K1490" i="1"/>
  <c r="F4407" i="1"/>
  <c r="G4407" i="1"/>
  <c r="H4407" i="1"/>
  <c r="K4407" i="1"/>
  <c r="F4408" i="1"/>
  <c r="G4408" i="1"/>
  <c r="H4408" i="1"/>
  <c r="K4408" i="1"/>
  <c r="F2995" i="1"/>
  <c r="G2995" i="1"/>
  <c r="H2995" i="1"/>
  <c r="K2995" i="1"/>
  <c r="F1491" i="1"/>
  <c r="G1491" i="1"/>
  <c r="H1491" i="1"/>
  <c r="K1491" i="1"/>
  <c r="F4409" i="1"/>
  <c r="G4409" i="1"/>
  <c r="H4409" i="1"/>
  <c r="K4409" i="1"/>
  <c r="F4410" i="1"/>
  <c r="G4410" i="1"/>
  <c r="H4410" i="1"/>
  <c r="K4410" i="1"/>
  <c r="F4411" i="1"/>
  <c r="G4411" i="1"/>
  <c r="H4411" i="1"/>
  <c r="K4411" i="1"/>
  <c r="F4412" i="1"/>
  <c r="G4412" i="1"/>
  <c r="H4412" i="1"/>
  <c r="K4412" i="1"/>
  <c r="F4413" i="1"/>
  <c r="G4413" i="1"/>
  <c r="H4413" i="1"/>
  <c r="K4413" i="1"/>
  <c r="F4414" i="1"/>
  <c r="G4414" i="1"/>
  <c r="H4414" i="1"/>
  <c r="K4414" i="1"/>
  <c r="F2996" i="1"/>
  <c r="G2996" i="1"/>
  <c r="H2996" i="1"/>
  <c r="K2996" i="1"/>
  <c r="F1492" i="1"/>
  <c r="G1492" i="1"/>
  <c r="H1492" i="1"/>
  <c r="K1492" i="1"/>
  <c r="F1493" i="1"/>
  <c r="G1493" i="1"/>
  <c r="H1493" i="1"/>
  <c r="K1493" i="1"/>
  <c r="F1494" i="1"/>
  <c r="G1494" i="1"/>
  <c r="H1494" i="1"/>
  <c r="K1494" i="1"/>
  <c r="F4415" i="1"/>
  <c r="G4415" i="1"/>
  <c r="H4415" i="1"/>
  <c r="K4415" i="1"/>
  <c r="F1495" i="1"/>
  <c r="G1495" i="1"/>
  <c r="H1495" i="1"/>
  <c r="K1495" i="1"/>
  <c r="F2997" i="1"/>
  <c r="G2997" i="1"/>
  <c r="H2997" i="1"/>
  <c r="K2997" i="1"/>
  <c r="F1496" i="1"/>
  <c r="G1496" i="1"/>
  <c r="H1496" i="1"/>
  <c r="K1496" i="1"/>
  <c r="F4416" i="1"/>
  <c r="G4416" i="1"/>
  <c r="H4416" i="1"/>
  <c r="K4416" i="1"/>
  <c r="F4417" i="1"/>
  <c r="G4417" i="1"/>
  <c r="H4417" i="1"/>
  <c r="K4417" i="1"/>
  <c r="F4418" i="1"/>
  <c r="G4418" i="1"/>
  <c r="H4418" i="1"/>
  <c r="K4418" i="1"/>
  <c r="F2998" i="1"/>
  <c r="G2998" i="1"/>
  <c r="H2998" i="1"/>
  <c r="K2998" i="1"/>
  <c r="F4419" i="1"/>
  <c r="G4419" i="1"/>
  <c r="H4419" i="1"/>
  <c r="K4419" i="1"/>
  <c r="F1497" i="1"/>
  <c r="G1497" i="1"/>
  <c r="H1497" i="1"/>
  <c r="K1497" i="1"/>
  <c r="F2999" i="1"/>
  <c r="G2999" i="1"/>
  <c r="H2999" i="1"/>
  <c r="K2999" i="1"/>
  <c r="F4420" i="1"/>
  <c r="G4420" i="1"/>
  <c r="H4420" i="1"/>
  <c r="K4420" i="1"/>
  <c r="F1498" i="1"/>
  <c r="G1498" i="1"/>
  <c r="H1498" i="1"/>
  <c r="K1498" i="1"/>
  <c r="F4421" i="1"/>
  <c r="G4421" i="1"/>
  <c r="H4421" i="1"/>
  <c r="K4421" i="1"/>
  <c r="F1499" i="1"/>
  <c r="G1499" i="1"/>
  <c r="H1499" i="1"/>
  <c r="K1499" i="1"/>
  <c r="F4422" i="1"/>
  <c r="G4422" i="1"/>
  <c r="H4422" i="1"/>
  <c r="K4422" i="1"/>
  <c r="F4423" i="1"/>
  <c r="G4423" i="1"/>
  <c r="H4423" i="1"/>
  <c r="K4423" i="1"/>
  <c r="F1500" i="1"/>
  <c r="G1500" i="1"/>
  <c r="H1500" i="1"/>
  <c r="K1500" i="1"/>
  <c r="F5797" i="1"/>
  <c r="G5797" i="1"/>
  <c r="H5797" i="1"/>
  <c r="K5797" i="1"/>
  <c r="F4424" i="1"/>
  <c r="G4424" i="1"/>
  <c r="H4424" i="1"/>
  <c r="K4424" i="1"/>
  <c r="F5798" i="1"/>
  <c r="G5798" i="1"/>
  <c r="H5798" i="1"/>
  <c r="K5798" i="1"/>
  <c r="F5799" i="1"/>
  <c r="G5799" i="1"/>
  <c r="H5799" i="1"/>
  <c r="K5799" i="1"/>
  <c r="F7306" i="1"/>
  <c r="G7306" i="1"/>
  <c r="H7306" i="1"/>
  <c r="K7306" i="1"/>
  <c r="F1501" i="1"/>
  <c r="G1501" i="1"/>
  <c r="H1501" i="1"/>
  <c r="K1501" i="1"/>
  <c r="F4425" i="1"/>
  <c r="G4425" i="1"/>
  <c r="H4425" i="1"/>
  <c r="K4425" i="1"/>
  <c r="F3000" i="1"/>
  <c r="G3000" i="1"/>
  <c r="H3000" i="1"/>
  <c r="K3000" i="1"/>
  <c r="F3001" i="1"/>
  <c r="G3001" i="1"/>
  <c r="H3001" i="1"/>
  <c r="K3001" i="1"/>
  <c r="F4426" i="1"/>
  <c r="G4426" i="1"/>
  <c r="H4426" i="1"/>
  <c r="K4426" i="1"/>
  <c r="F5800" i="1"/>
  <c r="G5800" i="1"/>
  <c r="H5800" i="1"/>
  <c r="K5800" i="1"/>
  <c r="F5801" i="1"/>
  <c r="G5801" i="1"/>
  <c r="H5801" i="1"/>
  <c r="K5801" i="1"/>
  <c r="F5802" i="1"/>
  <c r="G5802" i="1"/>
  <c r="H5802" i="1"/>
  <c r="K5802" i="1"/>
  <c r="F7307" i="1"/>
  <c r="G7307" i="1"/>
  <c r="H7307" i="1"/>
  <c r="K7307" i="1"/>
  <c r="F5803" i="1"/>
  <c r="G5803" i="1"/>
  <c r="H5803" i="1"/>
  <c r="K5803" i="1"/>
  <c r="F5804" i="1"/>
  <c r="G5804" i="1"/>
  <c r="H5804" i="1"/>
  <c r="K5804" i="1"/>
  <c r="F4427" i="1"/>
  <c r="G4427" i="1"/>
  <c r="H4427" i="1"/>
  <c r="K4427" i="1"/>
  <c r="F4428" i="1"/>
  <c r="G4428" i="1"/>
  <c r="H4428" i="1"/>
  <c r="K4428" i="1"/>
  <c r="F4429" i="1"/>
  <c r="G4429" i="1"/>
  <c r="H4429" i="1"/>
  <c r="K4429" i="1"/>
  <c r="F5805" i="1"/>
  <c r="G5805" i="1"/>
  <c r="H5805" i="1"/>
  <c r="K5805" i="1"/>
  <c r="F5806" i="1"/>
  <c r="G5806" i="1"/>
  <c r="H5806" i="1"/>
  <c r="K5806" i="1"/>
  <c r="F4430" i="1"/>
  <c r="G4430" i="1"/>
  <c r="H4430" i="1"/>
  <c r="K4430" i="1"/>
  <c r="F1502" i="1"/>
  <c r="G1502" i="1"/>
  <c r="H1502" i="1"/>
  <c r="K1502" i="1"/>
  <c r="F1503" i="1"/>
  <c r="G1503" i="1"/>
  <c r="H1503" i="1"/>
  <c r="K1503" i="1"/>
  <c r="F5807" i="1"/>
  <c r="G5807" i="1"/>
  <c r="H5807" i="1"/>
  <c r="K5807" i="1"/>
  <c r="F3002" i="1"/>
  <c r="G3002" i="1"/>
  <c r="H3002" i="1"/>
  <c r="K3002" i="1"/>
  <c r="F5808" i="1"/>
  <c r="G5808" i="1"/>
  <c r="H5808" i="1"/>
  <c r="K5808" i="1"/>
  <c r="F3003" i="1"/>
  <c r="G3003" i="1"/>
  <c r="H3003" i="1"/>
  <c r="K3003" i="1"/>
  <c r="F1504" i="1"/>
  <c r="G1504" i="1"/>
  <c r="H1504" i="1"/>
  <c r="K1504" i="1"/>
  <c r="F4431" i="1"/>
  <c r="G4431" i="1"/>
  <c r="H4431" i="1"/>
  <c r="K4431" i="1"/>
  <c r="F1505" i="1"/>
  <c r="G1505" i="1"/>
  <c r="H1505" i="1"/>
  <c r="K1505" i="1"/>
  <c r="F1506" i="1"/>
  <c r="G1506" i="1"/>
  <c r="H1506" i="1"/>
  <c r="K1506" i="1"/>
  <c r="F7308" i="1"/>
  <c r="G7308" i="1"/>
  <c r="H7308" i="1"/>
  <c r="K7308" i="1"/>
  <c r="F1507" i="1"/>
  <c r="G1507" i="1"/>
  <c r="H1507" i="1"/>
  <c r="K1507" i="1"/>
  <c r="F4432" i="1"/>
  <c r="G4432" i="1"/>
  <c r="H4432" i="1"/>
  <c r="K4432" i="1"/>
  <c r="F1508" i="1"/>
  <c r="G1508" i="1"/>
  <c r="H1508" i="1"/>
  <c r="K1508" i="1"/>
  <c r="F1509" i="1"/>
  <c r="G1509" i="1"/>
  <c r="H1509" i="1"/>
  <c r="K1509" i="1"/>
  <c r="F1510" i="1"/>
  <c r="G1510" i="1"/>
  <c r="H1510" i="1"/>
  <c r="K1510" i="1"/>
  <c r="F4433" i="1"/>
  <c r="G4433" i="1"/>
  <c r="H4433" i="1"/>
  <c r="K4433" i="1"/>
  <c r="F4434" i="1"/>
  <c r="G4434" i="1"/>
  <c r="H4434" i="1"/>
  <c r="K4434" i="1"/>
  <c r="F3004" i="1"/>
  <c r="G3004" i="1"/>
  <c r="H3004" i="1"/>
  <c r="K3004" i="1"/>
  <c r="F3005" i="1"/>
  <c r="G3005" i="1"/>
  <c r="H3005" i="1"/>
  <c r="K3005" i="1"/>
  <c r="F3006" i="1"/>
  <c r="G3006" i="1"/>
  <c r="H3006" i="1"/>
  <c r="K3006" i="1"/>
  <c r="F5809" i="1"/>
  <c r="G5809" i="1"/>
  <c r="H5809" i="1"/>
  <c r="K5809" i="1"/>
  <c r="F1511" i="1"/>
  <c r="G1511" i="1"/>
  <c r="H1511" i="1"/>
  <c r="K1511" i="1"/>
  <c r="F3007" i="1"/>
  <c r="G3007" i="1"/>
  <c r="H3007" i="1"/>
  <c r="K3007" i="1"/>
  <c r="F1512" i="1"/>
  <c r="G1512" i="1"/>
  <c r="H1512" i="1"/>
  <c r="K1512" i="1"/>
  <c r="F3008" i="1"/>
  <c r="G3008" i="1"/>
  <c r="H3008" i="1"/>
  <c r="K3008" i="1"/>
  <c r="F5810" i="1"/>
  <c r="G5810" i="1"/>
  <c r="H5810" i="1"/>
  <c r="K5810" i="1"/>
  <c r="F5811" i="1"/>
  <c r="G5811" i="1"/>
  <c r="H5811" i="1"/>
  <c r="K5811" i="1"/>
  <c r="F1513" i="1"/>
  <c r="G1513" i="1"/>
  <c r="H1513" i="1"/>
  <c r="K1513" i="1"/>
  <c r="F5812" i="1"/>
  <c r="G5812" i="1"/>
  <c r="H5812" i="1"/>
  <c r="K5812" i="1"/>
  <c r="F7309" i="1"/>
  <c r="G7309" i="1"/>
  <c r="H7309" i="1"/>
  <c r="K7309" i="1"/>
  <c r="F7310" i="1"/>
  <c r="G7310" i="1"/>
  <c r="H7310" i="1"/>
  <c r="K7310" i="1"/>
  <c r="F7311" i="1"/>
  <c r="G7311" i="1"/>
  <c r="H7311" i="1"/>
  <c r="K7311" i="1"/>
  <c r="F7312" i="1"/>
  <c r="G7312" i="1"/>
  <c r="H7312" i="1"/>
  <c r="K7312" i="1"/>
  <c r="F1514" i="1"/>
  <c r="G1514" i="1"/>
  <c r="H1514" i="1"/>
  <c r="K1514" i="1"/>
  <c r="F5813" i="1"/>
  <c r="G5813" i="1"/>
  <c r="H5813" i="1"/>
  <c r="K5813" i="1"/>
  <c r="F5814" i="1"/>
  <c r="G5814" i="1"/>
  <c r="H5814" i="1"/>
  <c r="K5814" i="1"/>
  <c r="F3009" i="1"/>
  <c r="G3009" i="1"/>
  <c r="H3009" i="1"/>
  <c r="K3009" i="1"/>
  <c r="F4435" i="1"/>
  <c r="G4435" i="1"/>
  <c r="H4435" i="1"/>
  <c r="K4435" i="1"/>
  <c r="F3010" i="1"/>
  <c r="G3010" i="1"/>
  <c r="H3010" i="1"/>
  <c r="K3010" i="1"/>
  <c r="F3011" i="1"/>
  <c r="G3011" i="1"/>
  <c r="H3011" i="1"/>
  <c r="K3011" i="1"/>
  <c r="F1515" i="1"/>
  <c r="G1515" i="1"/>
  <c r="H1515" i="1"/>
  <c r="K1515" i="1"/>
  <c r="F1516" i="1"/>
  <c r="G1516" i="1"/>
  <c r="H1516" i="1"/>
  <c r="K1516" i="1"/>
  <c r="F1517" i="1"/>
  <c r="G1517" i="1"/>
  <c r="H1517" i="1"/>
  <c r="K1517" i="1"/>
  <c r="F1518" i="1"/>
  <c r="G1518" i="1"/>
  <c r="H1518" i="1"/>
  <c r="K1518" i="1"/>
  <c r="F1519" i="1"/>
  <c r="G1519" i="1"/>
  <c r="H1519" i="1"/>
  <c r="K1519" i="1"/>
  <c r="F1520" i="1"/>
  <c r="G1520" i="1"/>
  <c r="H1520" i="1"/>
  <c r="K1520" i="1"/>
  <c r="F1521" i="1"/>
  <c r="G1521" i="1"/>
  <c r="H1521" i="1"/>
  <c r="K1521" i="1"/>
  <c r="F1522" i="1"/>
  <c r="G1522" i="1"/>
  <c r="H1522" i="1"/>
  <c r="K1522" i="1"/>
  <c r="F1523" i="1"/>
  <c r="G1523" i="1"/>
  <c r="H1523" i="1"/>
  <c r="K1523" i="1"/>
  <c r="F1524" i="1"/>
  <c r="G1524" i="1"/>
  <c r="H1524" i="1"/>
  <c r="K1524" i="1"/>
  <c r="F1525" i="1"/>
  <c r="G1525" i="1"/>
  <c r="H1525" i="1"/>
  <c r="K1525" i="1"/>
  <c r="F1526" i="1"/>
  <c r="G1526" i="1"/>
  <c r="H1526" i="1"/>
  <c r="K1526" i="1"/>
  <c r="F1527" i="1"/>
  <c r="G1527" i="1"/>
  <c r="H1527" i="1"/>
  <c r="K1527" i="1"/>
  <c r="F1528" i="1"/>
  <c r="G1528" i="1"/>
  <c r="H1528" i="1"/>
  <c r="K1528" i="1"/>
  <c r="F4436" i="1"/>
  <c r="G4436" i="1"/>
  <c r="H4436" i="1"/>
  <c r="K4436" i="1"/>
  <c r="F1529" i="1"/>
  <c r="G1529" i="1"/>
  <c r="H1529" i="1"/>
  <c r="K1529" i="1"/>
  <c r="F7313" i="1"/>
  <c r="G7313" i="1"/>
  <c r="H7313" i="1"/>
  <c r="K7313" i="1"/>
  <c r="F4437" i="1"/>
  <c r="G4437" i="1"/>
  <c r="H4437" i="1"/>
  <c r="K4437" i="1"/>
  <c r="F5815" i="1"/>
  <c r="G5815" i="1"/>
  <c r="H5815" i="1"/>
  <c r="K5815" i="1"/>
  <c r="F1530" i="1"/>
  <c r="G1530" i="1"/>
  <c r="H1530" i="1"/>
  <c r="K1530" i="1"/>
  <c r="F4438" i="1"/>
  <c r="G4438" i="1"/>
  <c r="H4438" i="1"/>
  <c r="K4438" i="1"/>
  <c r="F3012" i="1"/>
  <c r="G3012" i="1"/>
  <c r="H3012" i="1"/>
  <c r="K3012" i="1"/>
  <c r="F1531" i="1"/>
  <c r="G1531" i="1"/>
  <c r="H1531" i="1"/>
  <c r="K1531" i="1"/>
  <c r="F5816" i="1"/>
  <c r="G5816" i="1"/>
  <c r="H5816" i="1"/>
  <c r="K5816" i="1"/>
  <c r="F4439" i="1"/>
  <c r="G4439" i="1"/>
  <c r="H4439" i="1"/>
  <c r="K4439" i="1"/>
  <c r="F3013" i="1"/>
  <c r="G3013" i="1"/>
  <c r="H3013" i="1"/>
  <c r="K3013" i="1"/>
  <c r="F1532" i="1"/>
  <c r="G1532" i="1"/>
  <c r="H1532" i="1"/>
  <c r="K1532" i="1"/>
  <c r="F3014" i="1"/>
  <c r="G3014" i="1"/>
  <c r="H3014" i="1"/>
  <c r="K3014" i="1"/>
  <c r="F3015" i="1"/>
  <c r="G3015" i="1"/>
  <c r="H3015" i="1"/>
  <c r="K3015" i="1"/>
  <c r="F5817" i="1"/>
  <c r="G5817" i="1"/>
  <c r="H5817" i="1"/>
  <c r="K5817" i="1"/>
  <c r="F5818" i="1"/>
  <c r="G5818" i="1"/>
  <c r="H5818" i="1"/>
  <c r="K5818" i="1"/>
  <c r="F3016" i="1"/>
  <c r="G3016" i="1"/>
  <c r="H3016" i="1"/>
  <c r="K3016" i="1"/>
  <c r="F3017" i="1"/>
  <c r="G3017" i="1"/>
  <c r="H3017" i="1"/>
  <c r="K3017" i="1"/>
  <c r="F4440" i="1"/>
  <c r="G4440" i="1"/>
  <c r="H4440" i="1"/>
  <c r="K4440" i="1"/>
  <c r="F5819" i="1"/>
  <c r="G5819" i="1"/>
  <c r="H5819" i="1"/>
  <c r="K5819" i="1"/>
  <c r="F4441" i="1"/>
  <c r="G4441" i="1"/>
  <c r="H4441" i="1"/>
  <c r="K4441" i="1"/>
  <c r="F3018" i="1"/>
  <c r="G3018" i="1"/>
  <c r="H3018" i="1"/>
  <c r="K3018" i="1"/>
  <c r="F7314" i="1"/>
  <c r="G7314" i="1"/>
  <c r="H7314" i="1"/>
  <c r="K7314" i="1"/>
  <c r="F3019" i="1"/>
  <c r="G3019" i="1"/>
  <c r="H3019" i="1"/>
  <c r="K3019" i="1"/>
  <c r="F7315" i="1"/>
  <c r="G7315" i="1"/>
  <c r="H7315" i="1"/>
  <c r="K7315" i="1"/>
  <c r="F7316" i="1"/>
  <c r="G7316" i="1"/>
  <c r="H7316" i="1"/>
  <c r="K7316" i="1"/>
  <c r="F1533" i="1"/>
  <c r="G1533" i="1"/>
  <c r="H1533" i="1"/>
  <c r="K1533" i="1"/>
  <c r="F4442" i="1"/>
  <c r="G4442" i="1"/>
  <c r="H4442" i="1"/>
  <c r="K4442" i="1"/>
  <c r="F3020" i="1"/>
  <c r="G3020" i="1"/>
  <c r="H3020" i="1"/>
  <c r="K3020" i="1"/>
  <c r="F1534" i="1"/>
  <c r="G1534" i="1"/>
  <c r="H1534" i="1"/>
  <c r="K1534" i="1"/>
  <c r="F7317" i="1"/>
  <c r="G7317" i="1"/>
  <c r="H7317" i="1"/>
  <c r="K7317" i="1"/>
  <c r="F3021" i="1"/>
  <c r="G3021" i="1"/>
  <c r="H3021" i="1"/>
  <c r="K3021" i="1"/>
  <c r="F4443" i="1"/>
  <c r="G4443" i="1"/>
  <c r="H4443" i="1"/>
  <c r="K4443" i="1"/>
  <c r="F3022" i="1"/>
  <c r="G3022" i="1"/>
  <c r="H3022" i="1"/>
  <c r="K3022" i="1"/>
  <c r="F3023" i="1"/>
  <c r="G3023" i="1"/>
  <c r="H3023" i="1"/>
  <c r="K3023" i="1"/>
  <c r="F5820" i="1"/>
  <c r="G5820" i="1"/>
  <c r="H5820" i="1"/>
  <c r="K5820" i="1"/>
  <c r="F5821" i="1"/>
  <c r="G5821" i="1"/>
  <c r="H5821" i="1"/>
  <c r="K5821" i="1"/>
  <c r="F1535" i="1"/>
  <c r="G1535" i="1"/>
  <c r="H1535" i="1"/>
  <c r="K1535" i="1"/>
  <c r="F1536" i="1"/>
  <c r="G1536" i="1"/>
  <c r="H1536" i="1"/>
  <c r="K1536" i="1"/>
  <c r="F7318" i="1"/>
  <c r="G7318" i="1"/>
  <c r="H7318" i="1"/>
  <c r="K7318" i="1"/>
  <c r="F1537" i="1"/>
  <c r="G1537" i="1"/>
  <c r="H1537" i="1"/>
  <c r="K1537" i="1"/>
  <c r="F1538" i="1"/>
  <c r="G1538" i="1"/>
  <c r="H1538" i="1"/>
  <c r="K1538" i="1"/>
  <c r="F1539" i="1"/>
  <c r="G1539" i="1"/>
  <c r="H1539" i="1"/>
  <c r="K1539" i="1"/>
  <c r="F1540" i="1"/>
  <c r="G1540" i="1"/>
  <c r="H1540" i="1"/>
  <c r="K1540" i="1"/>
  <c r="F1541" i="1"/>
  <c r="G1541" i="1"/>
  <c r="H1541" i="1"/>
  <c r="K1541" i="1"/>
  <c r="F1542" i="1"/>
  <c r="G1542" i="1"/>
  <c r="H1542" i="1"/>
  <c r="K1542" i="1"/>
  <c r="F3024" i="1"/>
  <c r="G3024" i="1"/>
  <c r="H3024" i="1"/>
  <c r="K3024" i="1"/>
  <c r="F3025" i="1"/>
  <c r="G3025" i="1"/>
  <c r="H3025" i="1"/>
  <c r="K3025" i="1"/>
  <c r="F3026" i="1"/>
  <c r="G3026" i="1"/>
  <c r="H3026" i="1"/>
  <c r="K3026" i="1"/>
  <c r="F3027" i="1"/>
  <c r="G3027" i="1"/>
  <c r="H3027" i="1"/>
  <c r="K3027" i="1"/>
  <c r="F3028" i="1"/>
  <c r="G3028" i="1"/>
  <c r="H3028" i="1"/>
  <c r="K3028" i="1"/>
  <c r="F3029" i="1"/>
  <c r="G3029" i="1"/>
  <c r="H3029" i="1"/>
  <c r="K3029" i="1"/>
  <c r="F4444" i="1"/>
  <c r="G4444" i="1"/>
  <c r="H4444" i="1"/>
  <c r="K4444" i="1"/>
  <c r="F4445" i="1"/>
  <c r="G4445" i="1"/>
  <c r="H4445" i="1"/>
  <c r="K4445" i="1"/>
  <c r="F4446" i="1"/>
  <c r="G4446" i="1"/>
  <c r="H4446" i="1"/>
  <c r="K4446" i="1"/>
  <c r="F4447" i="1"/>
  <c r="G4447" i="1"/>
  <c r="H4447" i="1"/>
  <c r="K4447" i="1"/>
  <c r="F4448" i="1"/>
  <c r="G4448" i="1"/>
  <c r="H4448" i="1"/>
  <c r="K4448" i="1"/>
  <c r="F4449" i="1"/>
  <c r="G4449" i="1"/>
  <c r="H4449" i="1"/>
  <c r="K4449" i="1"/>
  <c r="F4450" i="1"/>
  <c r="G4450" i="1"/>
  <c r="H4450" i="1"/>
  <c r="K4450" i="1"/>
  <c r="F7319" i="1"/>
  <c r="G7319" i="1"/>
  <c r="H7319" i="1"/>
  <c r="K7319" i="1"/>
  <c r="F4451" i="1"/>
  <c r="G4451" i="1"/>
  <c r="H4451" i="1"/>
  <c r="K4451" i="1"/>
  <c r="F1543" i="1"/>
  <c r="G1543" i="1"/>
  <c r="H1543" i="1"/>
  <c r="K1543" i="1"/>
  <c r="F3030" i="1"/>
  <c r="G3030" i="1"/>
  <c r="H3030" i="1"/>
  <c r="K3030" i="1"/>
  <c r="F3031" i="1"/>
  <c r="G3031" i="1"/>
  <c r="H3031" i="1"/>
  <c r="K3031" i="1"/>
  <c r="F4452" i="1"/>
  <c r="G4452" i="1"/>
  <c r="H4452" i="1"/>
  <c r="K4452" i="1"/>
  <c r="F7320" i="1"/>
  <c r="G7320" i="1"/>
  <c r="H7320" i="1"/>
  <c r="K7320" i="1"/>
  <c r="F4453" i="1"/>
  <c r="G4453" i="1"/>
  <c r="H4453" i="1"/>
  <c r="K4453" i="1"/>
  <c r="F5822" i="1"/>
  <c r="G5822" i="1"/>
  <c r="H5822" i="1"/>
  <c r="K5822" i="1"/>
  <c r="F5823" i="1"/>
  <c r="G5823" i="1"/>
  <c r="H5823" i="1"/>
  <c r="K5823" i="1"/>
  <c r="F5824" i="1"/>
  <c r="G5824" i="1"/>
  <c r="H5824" i="1"/>
  <c r="K5824" i="1"/>
  <c r="F5825" i="1"/>
  <c r="G5825" i="1"/>
  <c r="H5825" i="1"/>
  <c r="K5825" i="1"/>
  <c r="F7321" i="1"/>
  <c r="G7321" i="1"/>
  <c r="H7321" i="1"/>
  <c r="K7321" i="1"/>
  <c r="F4454" i="1"/>
  <c r="G4454" i="1"/>
  <c r="H4454" i="1"/>
  <c r="K4454" i="1"/>
  <c r="F3032" i="1"/>
  <c r="G3032" i="1"/>
  <c r="H3032" i="1"/>
  <c r="K3032" i="1"/>
  <c r="F4455" i="1"/>
  <c r="G4455" i="1"/>
  <c r="H4455" i="1"/>
  <c r="K4455" i="1"/>
  <c r="F4456" i="1"/>
  <c r="G4456" i="1"/>
  <c r="H4456" i="1"/>
  <c r="K4456" i="1"/>
  <c r="F4457" i="1"/>
  <c r="G4457" i="1"/>
  <c r="H4457" i="1"/>
  <c r="K4457" i="1"/>
  <c r="F5826" i="1"/>
  <c r="G5826" i="1"/>
  <c r="H5826" i="1"/>
  <c r="K5826" i="1"/>
  <c r="F5827" i="1"/>
  <c r="G5827" i="1"/>
  <c r="H5827" i="1"/>
  <c r="K5827" i="1"/>
  <c r="F7322" i="1"/>
  <c r="G7322" i="1"/>
  <c r="H7322" i="1"/>
  <c r="K7322" i="1"/>
  <c r="F7323" i="1"/>
  <c r="G7323" i="1"/>
  <c r="H7323" i="1"/>
  <c r="K7323" i="1"/>
  <c r="F7324" i="1"/>
  <c r="G7324" i="1"/>
  <c r="H7324" i="1"/>
  <c r="K7324" i="1"/>
  <c r="F1544" i="1"/>
  <c r="G1544" i="1"/>
  <c r="H1544" i="1"/>
  <c r="K1544" i="1"/>
  <c r="F7325" i="1"/>
  <c r="G7325" i="1"/>
  <c r="H7325" i="1"/>
  <c r="K7325" i="1"/>
  <c r="F7326" i="1"/>
  <c r="G7326" i="1"/>
  <c r="H7326" i="1"/>
  <c r="K7326" i="1"/>
  <c r="F3033" i="1"/>
  <c r="G3033" i="1"/>
  <c r="H3033" i="1"/>
  <c r="K3033" i="1"/>
  <c r="F7327" i="1"/>
  <c r="G7327" i="1"/>
  <c r="H7327" i="1"/>
  <c r="K7327" i="1"/>
  <c r="F5828" i="1"/>
  <c r="G5828" i="1"/>
  <c r="H5828" i="1"/>
  <c r="K5828" i="1"/>
  <c r="F5829" i="1"/>
  <c r="G5829" i="1"/>
  <c r="H5829" i="1"/>
  <c r="K5829" i="1"/>
  <c r="F7328" i="1"/>
  <c r="G7328" i="1"/>
  <c r="H7328" i="1"/>
  <c r="K7328" i="1"/>
  <c r="F7329" i="1"/>
  <c r="G7329" i="1"/>
  <c r="H7329" i="1"/>
  <c r="K7329" i="1"/>
  <c r="F4458" i="1"/>
  <c r="G4458" i="1"/>
  <c r="H4458" i="1"/>
  <c r="K4458" i="1"/>
  <c r="F7330" i="1"/>
  <c r="G7330" i="1"/>
  <c r="H7330" i="1"/>
  <c r="K7330" i="1"/>
  <c r="F1545" i="1"/>
  <c r="G1545" i="1"/>
  <c r="H1545" i="1"/>
  <c r="K1545" i="1"/>
  <c r="F3034" i="1"/>
  <c r="G3034" i="1"/>
  <c r="H3034" i="1"/>
  <c r="K3034" i="1"/>
  <c r="F4459" i="1"/>
  <c r="G4459" i="1"/>
  <c r="H4459" i="1"/>
  <c r="K4459" i="1"/>
  <c r="F1546" i="1"/>
  <c r="G1546" i="1"/>
  <c r="H1546" i="1"/>
  <c r="K1546" i="1"/>
  <c r="F1547" i="1"/>
  <c r="G1547" i="1"/>
  <c r="H1547" i="1"/>
  <c r="K1547" i="1"/>
  <c r="F3035" i="1"/>
  <c r="G3035" i="1"/>
  <c r="H3035" i="1"/>
  <c r="K3035" i="1"/>
  <c r="F3036" i="1"/>
  <c r="G3036" i="1"/>
  <c r="H3036" i="1"/>
  <c r="K3036" i="1"/>
  <c r="F3037" i="1"/>
  <c r="G3037" i="1"/>
  <c r="H3037" i="1"/>
  <c r="K3037" i="1"/>
  <c r="F3038" i="1"/>
  <c r="G3038" i="1"/>
  <c r="H3038" i="1"/>
  <c r="K3038" i="1"/>
  <c r="F3039" i="1"/>
  <c r="G3039" i="1"/>
  <c r="H3039" i="1"/>
  <c r="K3039" i="1"/>
  <c r="F3040" i="1"/>
  <c r="G3040" i="1"/>
  <c r="H3040" i="1"/>
  <c r="K3040" i="1"/>
  <c r="F3041" i="1"/>
  <c r="G3041" i="1"/>
  <c r="H3041" i="1"/>
  <c r="K3041" i="1"/>
  <c r="F3042" i="1"/>
  <c r="G3042" i="1"/>
  <c r="H3042" i="1"/>
  <c r="K3042" i="1"/>
  <c r="F3043" i="1"/>
  <c r="G3043" i="1"/>
  <c r="H3043" i="1"/>
  <c r="K3043" i="1"/>
  <c r="F4460" i="1"/>
  <c r="G4460" i="1"/>
  <c r="H4460" i="1"/>
  <c r="K4460" i="1"/>
  <c r="F4461" i="1"/>
  <c r="G4461" i="1"/>
  <c r="H4461" i="1"/>
  <c r="K4461" i="1"/>
  <c r="F4462" i="1"/>
  <c r="G4462" i="1"/>
  <c r="H4462" i="1"/>
  <c r="K4462" i="1"/>
  <c r="F4463" i="1"/>
  <c r="G4463" i="1"/>
  <c r="H4463" i="1"/>
  <c r="K4463" i="1"/>
  <c r="F4464" i="1"/>
  <c r="G4464" i="1"/>
  <c r="H4464" i="1"/>
  <c r="K4464" i="1"/>
  <c r="F4465" i="1"/>
  <c r="G4465" i="1"/>
  <c r="H4465" i="1"/>
  <c r="K4465" i="1"/>
  <c r="F4466" i="1"/>
  <c r="G4466" i="1"/>
  <c r="H4466" i="1"/>
  <c r="K4466" i="1"/>
  <c r="F1548" i="1"/>
  <c r="G1548" i="1"/>
  <c r="H1548" i="1"/>
  <c r="K1548" i="1"/>
  <c r="F1549" i="1"/>
  <c r="G1549" i="1"/>
  <c r="H1549" i="1"/>
  <c r="K1549" i="1"/>
  <c r="F1550" i="1"/>
  <c r="G1550" i="1"/>
  <c r="H1550" i="1"/>
  <c r="K1550" i="1"/>
  <c r="F1551" i="1"/>
  <c r="G1551" i="1"/>
  <c r="H1551" i="1"/>
  <c r="K1551" i="1"/>
  <c r="F1552" i="1"/>
  <c r="G1552" i="1"/>
  <c r="H1552" i="1"/>
  <c r="K1552" i="1"/>
  <c r="F1553" i="1"/>
  <c r="G1553" i="1"/>
  <c r="H1553" i="1"/>
  <c r="K1553" i="1"/>
  <c r="F7331" i="1"/>
  <c r="G7331" i="1"/>
  <c r="H7331" i="1"/>
  <c r="K7331" i="1"/>
  <c r="F4467" i="1"/>
  <c r="G4467" i="1"/>
  <c r="H4467" i="1"/>
  <c r="K4467" i="1"/>
  <c r="F7332" i="1"/>
  <c r="G7332" i="1"/>
  <c r="H7332" i="1"/>
  <c r="K7332" i="1"/>
  <c r="F3044" i="1"/>
  <c r="G3044" i="1"/>
  <c r="H3044" i="1"/>
  <c r="K3044" i="1"/>
  <c r="F1554" i="1"/>
  <c r="G1554" i="1"/>
  <c r="H1554" i="1"/>
  <c r="K1554" i="1"/>
  <c r="F4468" i="1"/>
  <c r="G4468" i="1"/>
  <c r="H4468" i="1"/>
  <c r="K4468" i="1"/>
  <c r="F5830" i="1"/>
  <c r="G5830" i="1"/>
  <c r="H5830" i="1"/>
  <c r="K5830" i="1"/>
  <c r="F5831" i="1"/>
  <c r="G5831" i="1"/>
  <c r="H5831" i="1"/>
  <c r="K5831" i="1"/>
  <c r="F1555" i="1"/>
  <c r="G1555" i="1"/>
  <c r="H1555" i="1"/>
  <c r="K1555" i="1"/>
  <c r="F4469" i="1"/>
  <c r="G4469" i="1"/>
  <c r="H4469" i="1"/>
  <c r="K4469" i="1"/>
  <c r="F3045" i="1"/>
  <c r="G3045" i="1"/>
  <c r="H3045" i="1"/>
  <c r="K3045" i="1"/>
  <c r="F3046" i="1"/>
  <c r="G3046" i="1"/>
  <c r="H3046" i="1"/>
  <c r="K3046" i="1"/>
  <c r="F1556" i="1"/>
  <c r="G1556" i="1"/>
  <c r="H1556" i="1"/>
  <c r="K1556" i="1"/>
  <c r="F3047" i="1"/>
  <c r="G3047" i="1"/>
  <c r="H3047" i="1"/>
  <c r="K3047" i="1"/>
  <c r="F4470" i="1"/>
  <c r="G4470" i="1"/>
  <c r="H4470" i="1"/>
  <c r="K4470" i="1"/>
  <c r="F7333" i="1"/>
  <c r="G7333" i="1"/>
  <c r="H7333" i="1"/>
  <c r="K7333" i="1"/>
  <c r="F7334" i="1"/>
  <c r="G7334" i="1"/>
  <c r="H7334" i="1"/>
  <c r="K7334" i="1"/>
  <c r="F1557" i="1"/>
  <c r="G1557" i="1"/>
  <c r="H1557" i="1"/>
  <c r="K1557" i="1"/>
  <c r="F1558" i="1"/>
  <c r="G1558" i="1"/>
  <c r="H1558" i="1"/>
  <c r="K1558" i="1"/>
  <c r="F1559" i="1"/>
  <c r="G1559" i="1"/>
  <c r="H1559" i="1"/>
  <c r="K1559" i="1"/>
  <c r="F3048" i="1"/>
  <c r="G3048" i="1"/>
  <c r="H3048" i="1"/>
  <c r="K3048" i="1"/>
  <c r="F5832" i="1"/>
  <c r="G5832" i="1"/>
  <c r="H5832" i="1"/>
  <c r="K5832" i="1"/>
  <c r="F1560" i="1"/>
  <c r="G1560" i="1"/>
  <c r="H1560" i="1"/>
  <c r="K1560" i="1"/>
  <c r="F1561" i="1"/>
  <c r="G1561" i="1"/>
  <c r="H1561" i="1"/>
  <c r="K1561" i="1"/>
  <c r="F1562" i="1"/>
  <c r="G1562" i="1"/>
  <c r="H1562" i="1"/>
  <c r="K1562" i="1"/>
  <c r="F1563" i="1"/>
  <c r="G1563" i="1"/>
  <c r="H1563" i="1"/>
  <c r="K1563" i="1"/>
  <c r="F4471" i="1"/>
  <c r="G4471" i="1"/>
  <c r="H4471" i="1"/>
  <c r="K4471" i="1"/>
  <c r="F7335" i="1"/>
  <c r="G7335" i="1"/>
  <c r="H7335" i="1"/>
  <c r="K7335" i="1"/>
  <c r="F4472" i="1"/>
  <c r="G4472" i="1"/>
  <c r="H4472" i="1"/>
  <c r="K4472" i="1"/>
  <c r="F4473" i="1"/>
  <c r="G4473" i="1"/>
  <c r="H4473" i="1"/>
  <c r="K4473" i="1"/>
  <c r="F3049" i="1"/>
  <c r="G3049" i="1"/>
  <c r="H3049" i="1"/>
  <c r="K3049" i="1"/>
  <c r="F5833" i="1"/>
  <c r="G5833" i="1"/>
  <c r="H5833" i="1"/>
  <c r="K5833" i="1"/>
  <c r="F5834" i="1"/>
  <c r="G5834" i="1"/>
  <c r="H5834" i="1"/>
  <c r="K5834" i="1"/>
  <c r="F3050" i="1"/>
  <c r="G3050" i="1"/>
  <c r="H3050" i="1"/>
  <c r="K3050" i="1"/>
  <c r="F3051" i="1"/>
  <c r="G3051" i="1"/>
  <c r="H3051" i="1"/>
  <c r="K3051" i="1"/>
  <c r="F4474" i="1"/>
  <c r="G4474" i="1"/>
  <c r="H4474" i="1"/>
  <c r="K4474" i="1"/>
  <c r="F5835" i="1"/>
  <c r="G5835" i="1"/>
  <c r="H5835" i="1"/>
  <c r="K5835" i="1"/>
  <c r="F7336" i="1"/>
  <c r="G7336" i="1"/>
  <c r="H7336" i="1"/>
  <c r="K7336" i="1"/>
  <c r="F7337" i="1"/>
  <c r="G7337" i="1"/>
  <c r="H7337" i="1"/>
  <c r="K7337" i="1"/>
  <c r="F1564" i="1"/>
  <c r="G1564" i="1"/>
  <c r="H1564" i="1"/>
  <c r="K1564" i="1"/>
  <c r="F1565" i="1"/>
  <c r="G1565" i="1"/>
  <c r="H1565" i="1"/>
  <c r="K1565" i="1"/>
  <c r="F1566" i="1"/>
  <c r="G1566" i="1"/>
  <c r="H1566" i="1"/>
  <c r="K1566" i="1"/>
  <c r="F4475" i="1"/>
  <c r="G4475" i="1"/>
  <c r="H4475" i="1"/>
  <c r="K4475" i="1"/>
  <c r="F4476" i="1"/>
  <c r="G4476" i="1"/>
  <c r="H4476" i="1"/>
  <c r="K4476" i="1"/>
  <c r="F7338" i="1"/>
  <c r="G7338" i="1"/>
  <c r="H7338" i="1"/>
  <c r="K7338" i="1"/>
  <c r="F7339" i="1"/>
  <c r="G7339" i="1"/>
  <c r="H7339" i="1"/>
  <c r="K7339" i="1"/>
  <c r="F4477" i="1"/>
  <c r="G4477" i="1"/>
  <c r="H4477" i="1"/>
  <c r="K4477" i="1"/>
  <c r="F1567" i="1"/>
  <c r="G1567" i="1"/>
  <c r="H1567" i="1"/>
  <c r="K1567" i="1"/>
  <c r="F3052" i="1"/>
  <c r="G3052" i="1"/>
  <c r="H3052" i="1"/>
  <c r="K3052" i="1"/>
  <c r="F1568" i="1"/>
  <c r="G1568" i="1"/>
  <c r="H1568" i="1"/>
  <c r="K1568" i="1"/>
  <c r="F4478" i="1"/>
  <c r="G4478" i="1"/>
  <c r="H4478" i="1"/>
  <c r="K4478" i="1"/>
  <c r="F7340" i="1"/>
  <c r="G7340" i="1"/>
  <c r="H7340" i="1"/>
  <c r="K7340" i="1"/>
  <c r="F4479" i="1"/>
  <c r="G4479" i="1"/>
  <c r="H4479" i="1"/>
  <c r="K4479" i="1"/>
  <c r="F3053" i="1"/>
  <c r="G3053" i="1"/>
  <c r="H3053" i="1"/>
  <c r="K3053" i="1"/>
  <c r="F4480" i="1"/>
  <c r="G4480" i="1"/>
  <c r="H4480" i="1"/>
  <c r="K4480" i="1"/>
  <c r="F1569" i="1"/>
  <c r="G1569" i="1"/>
  <c r="H1569" i="1"/>
  <c r="K1569" i="1"/>
  <c r="F7341" i="1"/>
  <c r="G7341" i="1"/>
  <c r="H7341" i="1"/>
  <c r="K7341" i="1"/>
  <c r="F7342" i="1"/>
  <c r="G7342" i="1"/>
  <c r="H7342" i="1"/>
  <c r="K7342" i="1"/>
  <c r="F5836" i="1"/>
  <c r="G5836" i="1"/>
  <c r="H5836" i="1"/>
  <c r="K5836" i="1"/>
  <c r="F1570" i="1"/>
  <c r="G1570" i="1"/>
  <c r="H1570" i="1"/>
  <c r="K1570" i="1"/>
  <c r="F1571" i="1"/>
  <c r="G1571" i="1"/>
  <c r="H1571" i="1"/>
  <c r="K1571" i="1"/>
  <c r="F1572" i="1"/>
  <c r="G1572" i="1"/>
  <c r="H1572" i="1"/>
  <c r="K1572" i="1"/>
  <c r="F1573" i="1"/>
  <c r="G1573" i="1"/>
  <c r="H1573" i="1"/>
  <c r="K1573" i="1"/>
  <c r="F3054" i="1"/>
  <c r="G3054" i="1"/>
  <c r="H3054" i="1"/>
  <c r="K3054" i="1"/>
  <c r="F5837" i="1"/>
  <c r="G5837" i="1"/>
  <c r="H5837" i="1"/>
  <c r="K5837" i="1"/>
  <c r="F1574" i="1"/>
  <c r="G1574" i="1"/>
  <c r="H1574" i="1"/>
  <c r="K1574" i="1"/>
  <c r="F1575" i="1"/>
  <c r="G1575" i="1"/>
  <c r="H1575" i="1"/>
  <c r="K1575" i="1"/>
  <c r="F1576" i="1"/>
  <c r="G1576" i="1"/>
  <c r="H1576" i="1"/>
  <c r="K1576" i="1"/>
  <c r="F1577" i="1"/>
  <c r="G1577" i="1"/>
  <c r="H1577" i="1"/>
  <c r="K1577" i="1"/>
  <c r="F1578" i="1"/>
  <c r="G1578" i="1"/>
  <c r="H1578" i="1"/>
  <c r="K1578" i="1"/>
  <c r="F1579" i="1"/>
  <c r="G1579" i="1"/>
  <c r="H1579" i="1"/>
  <c r="K1579" i="1"/>
  <c r="F3055" i="1"/>
  <c r="G3055" i="1"/>
  <c r="H3055" i="1"/>
  <c r="K3055" i="1"/>
  <c r="F3056" i="1"/>
  <c r="G3056" i="1"/>
  <c r="H3056" i="1"/>
  <c r="K3056" i="1"/>
  <c r="F7343" i="1"/>
  <c r="G7343" i="1"/>
  <c r="H7343" i="1"/>
  <c r="K7343" i="1"/>
  <c r="F4481" i="1"/>
  <c r="G4481" i="1"/>
  <c r="H4481" i="1"/>
  <c r="K4481" i="1"/>
  <c r="F1580" i="1"/>
  <c r="G1580" i="1"/>
  <c r="H1580" i="1"/>
  <c r="K1580" i="1"/>
  <c r="F1581" i="1"/>
  <c r="G1581" i="1"/>
  <c r="H1581" i="1"/>
  <c r="K1581" i="1"/>
  <c r="F1582" i="1"/>
  <c r="G1582" i="1"/>
  <c r="H1582" i="1"/>
  <c r="K1582" i="1"/>
  <c r="F7344" i="1"/>
  <c r="G7344" i="1"/>
  <c r="H7344" i="1"/>
  <c r="K7344" i="1"/>
  <c r="F1583" i="1"/>
  <c r="G1583" i="1"/>
  <c r="H1583" i="1"/>
  <c r="K1583" i="1"/>
  <c r="F1584" i="1"/>
  <c r="G1584" i="1"/>
  <c r="H1584" i="1"/>
  <c r="K1584" i="1"/>
  <c r="F1585" i="1"/>
  <c r="G1585" i="1"/>
  <c r="H1585" i="1"/>
  <c r="K1585" i="1"/>
  <c r="F4482" i="1"/>
  <c r="G4482" i="1"/>
  <c r="H4482" i="1"/>
  <c r="K4482" i="1"/>
  <c r="F1586" i="1"/>
  <c r="G1586" i="1"/>
  <c r="H1586" i="1"/>
  <c r="K1586" i="1"/>
  <c r="F1587" i="1"/>
  <c r="G1587" i="1"/>
  <c r="H1587" i="1"/>
  <c r="K1587" i="1"/>
  <c r="F3057" i="1"/>
  <c r="G3057" i="1"/>
  <c r="H3057" i="1"/>
  <c r="K3057" i="1"/>
  <c r="F1588" i="1"/>
  <c r="G1588" i="1"/>
  <c r="H1588" i="1"/>
  <c r="K1588" i="1"/>
  <c r="F1589" i="1"/>
  <c r="G1589" i="1"/>
  <c r="H1589" i="1"/>
  <c r="K1589" i="1"/>
  <c r="F1590" i="1"/>
  <c r="G1590" i="1"/>
  <c r="H1590" i="1"/>
  <c r="K1590" i="1"/>
  <c r="F1591" i="1"/>
  <c r="G1591" i="1"/>
  <c r="H1591" i="1"/>
  <c r="K1591" i="1"/>
  <c r="F4483" i="1"/>
  <c r="G4483" i="1"/>
  <c r="H4483" i="1"/>
  <c r="K4483" i="1"/>
  <c r="F7345" i="1"/>
  <c r="G7345" i="1"/>
  <c r="H7345" i="1"/>
  <c r="K7345" i="1"/>
  <c r="F4484" i="1"/>
  <c r="G4484" i="1"/>
  <c r="H4484" i="1"/>
  <c r="K4484" i="1"/>
  <c r="F1592" i="1"/>
  <c r="G1592" i="1"/>
  <c r="H1592" i="1"/>
  <c r="K1592" i="1"/>
  <c r="F1593" i="1"/>
  <c r="G1593" i="1"/>
  <c r="H1593" i="1"/>
  <c r="K1593" i="1"/>
  <c r="F1594" i="1"/>
  <c r="G1594" i="1"/>
  <c r="H1594" i="1"/>
  <c r="K1594" i="1"/>
  <c r="F1595" i="1"/>
  <c r="G1595" i="1"/>
  <c r="H1595" i="1"/>
  <c r="K1595" i="1"/>
  <c r="F1596" i="1"/>
  <c r="G1596" i="1"/>
  <c r="H1596" i="1"/>
  <c r="K1596" i="1"/>
  <c r="F5838" i="1"/>
  <c r="G5838" i="1"/>
  <c r="H5838" i="1"/>
  <c r="K5838" i="1"/>
  <c r="F7346" i="1"/>
  <c r="G7346" i="1"/>
  <c r="H7346" i="1"/>
  <c r="K7346" i="1"/>
  <c r="F5839" i="1"/>
  <c r="G5839" i="1"/>
  <c r="H5839" i="1"/>
  <c r="K5839" i="1"/>
  <c r="F5840" i="1"/>
  <c r="G5840" i="1"/>
  <c r="H5840" i="1"/>
  <c r="K5840" i="1"/>
  <c r="F7347" i="1"/>
  <c r="G7347" i="1"/>
  <c r="H7347" i="1"/>
  <c r="K7347" i="1"/>
  <c r="F4485" i="1"/>
  <c r="G4485" i="1"/>
  <c r="H4485" i="1"/>
  <c r="K4485" i="1"/>
  <c r="F1597" i="1"/>
  <c r="G1597" i="1"/>
  <c r="H1597" i="1"/>
  <c r="K1597" i="1"/>
  <c r="F7348" i="1"/>
  <c r="G7348" i="1"/>
  <c r="H7348" i="1"/>
  <c r="K7348" i="1"/>
  <c r="F1598" i="1"/>
  <c r="G1598" i="1"/>
  <c r="H1598" i="1"/>
  <c r="K1598" i="1"/>
  <c r="F1599" i="1"/>
  <c r="G1599" i="1"/>
  <c r="H1599" i="1"/>
  <c r="K1599" i="1"/>
  <c r="F1600" i="1"/>
  <c r="G1600" i="1"/>
  <c r="H1600" i="1"/>
  <c r="K1600" i="1"/>
  <c r="F4486" i="1"/>
  <c r="G4486" i="1"/>
  <c r="H4486" i="1"/>
  <c r="K4486" i="1"/>
  <c r="F1601" i="1"/>
  <c r="G1601" i="1"/>
  <c r="H1601" i="1"/>
  <c r="K1601" i="1"/>
  <c r="F7349" i="1"/>
  <c r="G7349" i="1"/>
  <c r="H7349" i="1"/>
  <c r="K7349" i="1"/>
  <c r="F7350" i="1"/>
  <c r="G7350" i="1"/>
  <c r="H7350" i="1"/>
  <c r="K7350" i="1"/>
  <c r="F5841" i="1"/>
  <c r="G5841" i="1"/>
  <c r="H5841" i="1"/>
  <c r="K5841" i="1"/>
  <c r="F4487" i="1"/>
  <c r="G4487" i="1"/>
  <c r="H4487" i="1"/>
  <c r="K4487" i="1"/>
  <c r="F1602" i="1"/>
  <c r="G1602" i="1"/>
  <c r="H1602" i="1"/>
  <c r="K1602" i="1"/>
  <c r="F7351" i="1"/>
  <c r="G7351" i="1"/>
  <c r="H7351" i="1"/>
  <c r="K7351" i="1"/>
  <c r="F7352" i="1"/>
  <c r="G7352" i="1"/>
  <c r="H7352" i="1"/>
  <c r="K7352" i="1"/>
  <c r="F1603" i="1"/>
  <c r="G1603" i="1"/>
  <c r="H1603" i="1"/>
  <c r="K1603" i="1"/>
  <c r="F7353" i="1"/>
  <c r="G7353" i="1"/>
  <c r="H7353" i="1"/>
  <c r="K7353" i="1"/>
  <c r="F7354" i="1"/>
  <c r="G7354" i="1"/>
  <c r="H7354" i="1"/>
  <c r="K7354" i="1"/>
  <c r="F4488" i="1"/>
  <c r="G4488" i="1"/>
  <c r="H4488" i="1"/>
  <c r="K4488" i="1"/>
  <c r="F7355" i="1"/>
  <c r="G7355" i="1"/>
  <c r="H7355" i="1"/>
  <c r="K7355" i="1"/>
  <c r="F7356" i="1"/>
  <c r="G7356" i="1"/>
  <c r="H7356" i="1"/>
  <c r="K7356" i="1"/>
  <c r="F1604" i="1"/>
  <c r="G1604" i="1"/>
  <c r="H1604" i="1"/>
  <c r="K1604" i="1"/>
  <c r="F1605" i="1"/>
  <c r="G1605" i="1"/>
  <c r="H1605" i="1"/>
  <c r="K1605" i="1"/>
  <c r="F7357" i="1"/>
  <c r="G7357" i="1"/>
  <c r="H7357" i="1"/>
  <c r="K7357" i="1"/>
  <c r="F4489" i="1"/>
  <c r="G4489" i="1"/>
  <c r="H4489" i="1"/>
  <c r="K4489" i="1"/>
  <c r="F4490" i="1"/>
  <c r="G4490" i="1"/>
  <c r="H4490" i="1"/>
  <c r="K4490" i="1"/>
  <c r="F1606" i="1"/>
  <c r="G1606" i="1"/>
  <c r="H1606" i="1"/>
  <c r="K1606" i="1"/>
  <c r="F1607" i="1"/>
  <c r="G1607" i="1"/>
  <c r="H1607" i="1"/>
  <c r="K1607" i="1"/>
  <c r="F5842" i="1"/>
  <c r="G5842" i="1"/>
  <c r="H5842" i="1"/>
  <c r="K5842" i="1"/>
  <c r="F5843" i="1"/>
  <c r="G5843" i="1"/>
  <c r="H5843" i="1"/>
  <c r="K5843" i="1"/>
  <c r="F1608" i="1"/>
  <c r="G1608" i="1"/>
  <c r="H1608" i="1"/>
  <c r="K1608" i="1"/>
  <c r="F3058" i="1"/>
  <c r="G3058" i="1"/>
  <c r="H3058" i="1"/>
  <c r="K3058" i="1"/>
  <c r="F3059" i="1"/>
  <c r="G3059" i="1"/>
  <c r="H3059" i="1"/>
  <c r="K3059" i="1"/>
  <c r="F7358" i="1"/>
  <c r="G7358" i="1"/>
  <c r="H7358" i="1"/>
  <c r="K7358" i="1"/>
  <c r="F7359" i="1"/>
  <c r="G7359" i="1"/>
  <c r="H7359" i="1"/>
  <c r="K7359" i="1"/>
  <c r="F7360" i="1"/>
  <c r="G7360" i="1"/>
  <c r="H7360" i="1"/>
  <c r="K7360" i="1"/>
  <c r="F3060" i="1"/>
  <c r="G3060" i="1"/>
  <c r="H3060" i="1"/>
  <c r="K3060" i="1"/>
  <c r="F1609" i="1"/>
  <c r="G1609" i="1"/>
  <c r="H1609" i="1"/>
  <c r="K1609" i="1"/>
  <c r="F4491" i="1"/>
  <c r="G4491" i="1"/>
  <c r="H4491" i="1"/>
  <c r="K4491" i="1"/>
  <c r="F3061" i="1"/>
  <c r="G3061" i="1"/>
  <c r="H3061" i="1"/>
  <c r="K3061" i="1"/>
  <c r="F4492" i="1"/>
  <c r="G4492" i="1"/>
  <c r="H4492" i="1"/>
  <c r="K4492" i="1"/>
  <c r="F4493" i="1"/>
  <c r="G4493" i="1"/>
  <c r="H4493" i="1"/>
  <c r="K4493" i="1"/>
  <c r="F5844" i="1"/>
  <c r="G5844" i="1"/>
  <c r="H5844" i="1"/>
  <c r="K5844" i="1"/>
  <c r="F7361" i="1"/>
  <c r="G7361" i="1"/>
  <c r="H7361" i="1"/>
  <c r="K7361" i="1"/>
  <c r="F4494" i="1"/>
  <c r="G4494" i="1"/>
  <c r="H4494" i="1"/>
  <c r="K4494" i="1"/>
  <c r="F1610" i="1"/>
  <c r="G1610" i="1"/>
  <c r="H1610" i="1"/>
  <c r="K1610" i="1"/>
  <c r="F1611" i="1"/>
  <c r="G1611" i="1"/>
  <c r="H1611" i="1"/>
  <c r="K1611" i="1"/>
  <c r="F4495" i="1"/>
  <c r="G4495" i="1"/>
  <c r="H4495" i="1"/>
  <c r="K4495" i="1"/>
  <c r="F4496" i="1"/>
  <c r="G4496" i="1"/>
  <c r="H4496" i="1"/>
  <c r="K4496" i="1"/>
  <c r="F1612" i="1"/>
  <c r="G1612" i="1"/>
  <c r="H1612" i="1"/>
  <c r="K1612" i="1"/>
  <c r="F1613" i="1"/>
  <c r="G1613" i="1"/>
  <c r="H1613" i="1"/>
  <c r="K1613" i="1"/>
  <c r="F1614" i="1"/>
  <c r="G1614" i="1"/>
  <c r="H1614" i="1"/>
  <c r="K1614" i="1"/>
  <c r="F3062" i="1"/>
  <c r="G3062" i="1"/>
  <c r="H3062" i="1"/>
  <c r="K3062" i="1"/>
  <c r="F7362" i="1"/>
  <c r="G7362" i="1"/>
  <c r="H7362" i="1"/>
  <c r="K7362" i="1"/>
  <c r="F4497" i="1"/>
  <c r="G4497" i="1"/>
  <c r="H4497" i="1"/>
  <c r="K4497" i="1"/>
  <c r="F1615" i="1"/>
  <c r="G1615" i="1"/>
  <c r="H1615" i="1"/>
  <c r="K1615" i="1"/>
  <c r="F1616" i="1"/>
  <c r="G1616" i="1"/>
  <c r="H1616" i="1"/>
  <c r="K1616" i="1"/>
  <c r="F1617" i="1"/>
  <c r="G1617" i="1"/>
  <c r="H1617" i="1"/>
  <c r="K1617" i="1"/>
  <c r="F4498" i="1"/>
  <c r="G4498" i="1"/>
  <c r="H4498" i="1"/>
  <c r="K4498" i="1"/>
  <c r="F4499" i="1"/>
  <c r="G4499" i="1"/>
  <c r="H4499" i="1"/>
  <c r="K4499" i="1"/>
  <c r="F4500" i="1"/>
  <c r="G4500" i="1"/>
  <c r="H4500" i="1"/>
  <c r="K4500" i="1"/>
  <c r="F7363" i="1"/>
  <c r="G7363" i="1"/>
  <c r="H7363" i="1"/>
  <c r="K7363" i="1"/>
  <c r="F1618" i="1"/>
  <c r="G1618" i="1"/>
  <c r="H1618" i="1"/>
  <c r="K1618" i="1"/>
  <c r="F4501" i="1"/>
  <c r="G4501" i="1"/>
  <c r="H4501" i="1"/>
  <c r="K4501" i="1"/>
  <c r="F4502" i="1"/>
  <c r="G4502" i="1"/>
  <c r="H4502" i="1"/>
  <c r="K4502" i="1"/>
  <c r="F4503" i="1"/>
  <c r="G4503" i="1"/>
  <c r="H4503" i="1"/>
  <c r="K4503" i="1"/>
  <c r="F1619" i="1"/>
  <c r="G1619" i="1"/>
  <c r="H1619" i="1"/>
  <c r="K1619" i="1"/>
  <c r="F1620" i="1"/>
  <c r="G1620" i="1"/>
  <c r="H1620" i="1"/>
  <c r="K1620" i="1"/>
  <c r="F1621" i="1"/>
  <c r="G1621" i="1"/>
  <c r="H1621" i="1"/>
  <c r="K1621" i="1"/>
  <c r="F4504" i="1"/>
  <c r="G4504" i="1"/>
  <c r="H4504" i="1"/>
  <c r="K4504" i="1"/>
  <c r="F3063" i="1"/>
  <c r="G3063" i="1"/>
  <c r="H3063" i="1"/>
  <c r="K3063" i="1"/>
  <c r="F7364" i="1"/>
  <c r="G7364" i="1"/>
  <c r="H7364" i="1"/>
  <c r="K7364" i="1"/>
  <c r="F7365" i="1"/>
  <c r="G7365" i="1"/>
  <c r="H7365" i="1"/>
  <c r="K7365" i="1"/>
  <c r="F5845" i="1"/>
  <c r="G5845" i="1"/>
  <c r="H5845" i="1"/>
  <c r="K5845" i="1"/>
  <c r="F7366" i="1"/>
  <c r="G7366" i="1"/>
  <c r="H7366" i="1"/>
  <c r="K7366" i="1"/>
  <c r="F5846" i="1"/>
  <c r="G5846" i="1"/>
  <c r="H5846" i="1"/>
  <c r="K5846" i="1"/>
  <c r="F1622" i="1"/>
  <c r="G1622" i="1"/>
  <c r="H1622" i="1"/>
  <c r="K1622" i="1"/>
  <c r="F1623" i="1"/>
  <c r="G1623" i="1"/>
  <c r="H1623" i="1"/>
  <c r="K1623" i="1"/>
  <c r="F1624" i="1"/>
  <c r="G1624" i="1"/>
  <c r="H1624" i="1"/>
  <c r="K1624" i="1"/>
  <c r="F5847" i="1"/>
  <c r="G5847" i="1"/>
  <c r="H5847" i="1"/>
  <c r="K5847" i="1"/>
  <c r="F4505" i="1"/>
  <c r="G4505" i="1"/>
  <c r="H4505" i="1"/>
  <c r="K4505" i="1"/>
  <c r="F7367" i="1"/>
  <c r="G7367" i="1"/>
  <c r="H7367" i="1"/>
  <c r="K7367" i="1"/>
  <c r="F4506" i="1"/>
  <c r="G4506" i="1"/>
  <c r="H4506" i="1"/>
  <c r="K4506" i="1"/>
  <c r="F7368" i="1"/>
  <c r="G7368" i="1"/>
  <c r="H7368" i="1"/>
  <c r="K7368" i="1"/>
  <c r="F1625" i="1"/>
  <c r="G1625" i="1"/>
  <c r="H1625" i="1"/>
  <c r="K1625" i="1"/>
  <c r="F3064" i="1"/>
  <c r="G3064" i="1"/>
  <c r="H3064" i="1"/>
  <c r="K3064" i="1"/>
  <c r="F3065" i="1"/>
  <c r="G3065" i="1"/>
  <c r="H3065" i="1"/>
  <c r="K3065" i="1"/>
  <c r="F1626" i="1"/>
  <c r="G1626" i="1"/>
  <c r="H1626" i="1"/>
  <c r="K1626" i="1"/>
  <c r="F3066" i="1"/>
  <c r="G3066" i="1"/>
  <c r="H3066" i="1"/>
  <c r="K3066" i="1"/>
  <c r="F7369" i="1"/>
  <c r="G7369" i="1"/>
  <c r="H7369" i="1"/>
  <c r="K7369" i="1"/>
  <c r="F4507" i="1"/>
  <c r="G4507" i="1"/>
  <c r="H4507" i="1"/>
  <c r="K4507" i="1"/>
  <c r="F7370" i="1"/>
  <c r="G7370" i="1"/>
  <c r="H7370" i="1"/>
  <c r="K7370" i="1"/>
  <c r="F3067" i="1"/>
  <c r="G3067" i="1"/>
  <c r="H3067" i="1"/>
  <c r="K3067" i="1"/>
  <c r="F1627" i="1"/>
  <c r="G1627" i="1"/>
  <c r="H1627" i="1"/>
  <c r="K1627" i="1"/>
  <c r="F7371" i="1"/>
  <c r="G7371" i="1"/>
  <c r="H7371" i="1"/>
  <c r="K7371" i="1"/>
  <c r="F7372" i="1"/>
  <c r="G7372" i="1"/>
  <c r="H7372" i="1"/>
  <c r="K7372" i="1"/>
  <c r="F5848" i="1"/>
  <c r="G5848" i="1"/>
  <c r="H5848" i="1"/>
  <c r="K5848" i="1"/>
  <c r="F7373" i="1"/>
  <c r="G7373" i="1"/>
  <c r="H7373" i="1"/>
  <c r="K7373" i="1"/>
  <c r="F7374" i="1"/>
  <c r="G7374" i="1"/>
  <c r="H7374" i="1"/>
  <c r="K7374" i="1"/>
  <c r="F1628" i="1"/>
  <c r="G1628" i="1"/>
  <c r="H1628" i="1"/>
  <c r="K1628" i="1"/>
  <c r="F5849" i="1"/>
  <c r="G5849" i="1"/>
  <c r="H5849" i="1"/>
  <c r="K5849" i="1"/>
  <c r="F4508" i="1"/>
  <c r="G4508" i="1"/>
  <c r="H4508" i="1"/>
  <c r="K4508" i="1"/>
  <c r="F7375" i="1"/>
  <c r="G7375" i="1"/>
  <c r="H7375" i="1"/>
  <c r="K7375" i="1"/>
  <c r="F7376" i="1"/>
  <c r="G7376" i="1"/>
  <c r="H7376" i="1"/>
  <c r="K7376" i="1"/>
  <c r="F1629" i="1"/>
  <c r="G1629" i="1"/>
  <c r="H1629" i="1"/>
  <c r="K1629" i="1"/>
  <c r="F5850" i="1"/>
  <c r="G5850" i="1"/>
  <c r="H5850" i="1"/>
  <c r="K5850" i="1"/>
  <c r="F5851" i="1"/>
  <c r="G5851" i="1"/>
  <c r="H5851" i="1"/>
  <c r="K5851" i="1"/>
  <c r="F5852" i="1"/>
  <c r="G5852" i="1"/>
  <c r="H5852" i="1"/>
  <c r="K5852" i="1"/>
  <c r="F1630" i="1"/>
  <c r="G1630" i="1"/>
  <c r="H1630" i="1"/>
  <c r="K1630" i="1"/>
  <c r="F7377" i="1"/>
  <c r="G7377" i="1"/>
  <c r="H7377" i="1"/>
  <c r="K7377" i="1"/>
  <c r="F5853" i="1"/>
  <c r="G5853" i="1"/>
  <c r="H5853" i="1"/>
  <c r="K5853" i="1"/>
  <c r="F7378" i="1"/>
  <c r="G7378" i="1"/>
  <c r="H7378" i="1"/>
  <c r="K7378" i="1"/>
  <c r="F4509" i="1"/>
  <c r="G4509" i="1"/>
  <c r="H4509" i="1"/>
  <c r="K4509" i="1"/>
  <c r="F7379" i="1"/>
  <c r="G7379" i="1"/>
  <c r="H7379" i="1"/>
  <c r="K7379" i="1"/>
  <c r="F7380" i="1"/>
  <c r="G7380" i="1"/>
  <c r="H7380" i="1"/>
  <c r="K7380" i="1"/>
  <c r="F7381" i="1"/>
  <c r="G7381" i="1"/>
  <c r="H7381" i="1"/>
  <c r="K7381" i="1"/>
  <c r="F4510" i="1"/>
  <c r="G4510" i="1"/>
  <c r="H4510" i="1"/>
  <c r="K4510" i="1"/>
  <c r="F4511" i="1"/>
  <c r="G4511" i="1"/>
  <c r="H4511" i="1"/>
  <c r="K4511" i="1"/>
  <c r="F4512" i="1"/>
  <c r="G4512" i="1"/>
  <c r="H4512" i="1"/>
  <c r="K4512" i="1"/>
  <c r="F5854" i="1"/>
  <c r="G5854" i="1"/>
  <c r="H5854" i="1"/>
  <c r="K5854" i="1"/>
  <c r="F5855" i="1"/>
  <c r="G5855" i="1"/>
  <c r="H5855" i="1"/>
  <c r="K5855" i="1"/>
  <c r="F5856" i="1"/>
  <c r="G5856" i="1"/>
  <c r="H5856" i="1"/>
  <c r="K5856" i="1"/>
  <c r="F1631" i="1"/>
  <c r="G1631" i="1"/>
  <c r="H1631" i="1"/>
  <c r="K1631" i="1"/>
  <c r="F3068" i="1"/>
  <c r="G3068" i="1"/>
  <c r="H3068" i="1"/>
  <c r="K3068" i="1"/>
  <c r="F1632" i="1"/>
  <c r="G1632" i="1"/>
  <c r="H1632" i="1"/>
  <c r="K1632" i="1"/>
  <c r="F4513" i="1"/>
  <c r="G4513" i="1"/>
  <c r="H4513" i="1"/>
  <c r="K4513" i="1"/>
  <c r="F4514" i="1"/>
  <c r="G4514" i="1"/>
  <c r="H4514" i="1"/>
  <c r="K4514" i="1"/>
  <c r="F4515" i="1"/>
  <c r="G4515" i="1"/>
  <c r="H4515" i="1"/>
  <c r="K4515" i="1"/>
  <c r="F4516" i="1"/>
  <c r="G4516" i="1"/>
  <c r="H4516" i="1"/>
  <c r="K4516" i="1"/>
  <c r="F4517" i="1"/>
  <c r="G4517" i="1"/>
  <c r="H4517" i="1"/>
  <c r="K4517" i="1"/>
  <c r="F5857" i="1"/>
  <c r="G5857" i="1"/>
  <c r="H5857" i="1"/>
  <c r="K5857" i="1"/>
  <c r="F5858" i="1"/>
  <c r="G5858" i="1"/>
  <c r="H5858" i="1"/>
  <c r="K5858" i="1"/>
  <c r="F5859" i="1"/>
  <c r="G5859" i="1"/>
  <c r="H5859" i="1"/>
  <c r="K5859" i="1"/>
  <c r="F5860" i="1"/>
  <c r="G5860" i="1"/>
  <c r="H5860" i="1"/>
  <c r="K5860" i="1"/>
  <c r="F5861" i="1"/>
  <c r="G5861" i="1"/>
  <c r="H5861" i="1"/>
  <c r="K5861" i="1"/>
  <c r="F5862" i="1"/>
  <c r="G5862" i="1"/>
  <c r="H5862" i="1"/>
  <c r="K5862" i="1"/>
  <c r="F5863" i="1"/>
  <c r="G5863" i="1"/>
  <c r="H5863" i="1"/>
  <c r="K5863" i="1"/>
  <c r="F5864" i="1"/>
  <c r="G5864" i="1"/>
  <c r="H5864" i="1"/>
  <c r="K5864" i="1"/>
  <c r="F5865" i="1"/>
  <c r="G5865" i="1"/>
  <c r="H5865" i="1"/>
  <c r="K5865" i="1"/>
  <c r="F5866" i="1"/>
  <c r="G5866" i="1"/>
  <c r="H5866" i="1"/>
  <c r="K5866" i="1"/>
  <c r="F5867" i="1"/>
  <c r="G5867" i="1"/>
  <c r="H5867" i="1"/>
  <c r="K5867" i="1"/>
  <c r="F5868" i="1"/>
  <c r="G5868" i="1"/>
  <c r="H5868" i="1"/>
  <c r="K5868" i="1"/>
  <c r="F5869" i="1"/>
  <c r="G5869" i="1"/>
  <c r="H5869" i="1"/>
  <c r="K5869" i="1"/>
  <c r="F5870" i="1"/>
  <c r="G5870" i="1"/>
  <c r="H5870" i="1"/>
  <c r="K5870" i="1"/>
  <c r="F5871" i="1"/>
  <c r="G5871" i="1"/>
  <c r="H5871" i="1"/>
  <c r="K5871" i="1"/>
  <c r="F5872" i="1"/>
  <c r="G5872" i="1"/>
  <c r="H5872" i="1"/>
  <c r="K5872" i="1"/>
  <c r="F5873" i="1"/>
  <c r="G5873" i="1"/>
  <c r="H5873" i="1"/>
  <c r="K5873" i="1"/>
  <c r="F5874" i="1"/>
  <c r="G5874" i="1"/>
  <c r="H5874" i="1"/>
  <c r="K5874" i="1"/>
  <c r="F5875" i="1"/>
  <c r="G5875" i="1"/>
  <c r="H5875" i="1"/>
  <c r="K5875" i="1"/>
  <c r="F5876" i="1"/>
  <c r="G5876" i="1"/>
  <c r="H5876" i="1"/>
  <c r="K5876" i="1"/>
  <c r="F5877" i="1"/>
  <c r="G5877" i="1"/>
  <c r="H5877" i="1"/>
  <c r="K5877" i="1"/>
  <c r="F5878" i="1"/>
  <c r="G5878" i="1"/>
  <c r="H5878" i="1"/>
  <c r="K5878" i="1"/>
  <c r="F5879" i="1"/>
  <c r="G5879" i="1"/>
  <c r="H5879" i="1"/>
  <c r="K5879" i="1"/>
  <c r="F5880" i="1"/>
  <c r="G5880" i="1"/>
  <c r="H5880" i="1"/>
  <c r="K5880" i="1"/>
  <c r="F7382" i="1"/>
  <c r="G7382" i="1"/>
  <c r="H7382" i="1"/>
  <c r="K7382" i="1"/>
  <c r="F4518" i="1"/>
  <c r="G4518" i="1"/>
  <c r="H4518" i="1"/>
  <c r="K4518" i="1"/>
  <c r="F4519" i="1"/>
  <c r="G4519" i="1"/>
  <c r="H4519" i="1"/>
  <c r="K4519" i="1"/>
  <c r="F1633" i="1"/>
  <c r="G1633" i="1"/>
  <c r="H1633" i="1"/>
  <c r="K1633" i="1"/>
  <c r="F1634" i="1"/>
  <c r="G1634" i="1"/>
  <c r="H1634" i="1"/>
  <c r="K1634" i="1"/>
  <c r="F4520" i="1"/>
  <c r="G4520" i="1"/>
  <c r="H4520" i="1"/>
  <c r="K4520" i="1"/>
  <c r="F7383" i="1"/>
  <c r="G7383" i="1"/>
  <c r="H7383" i="1"/>
  <c r="K7383" i="1"/>
  <c r="F7384" i="1"/>
  <c r="G7384" i="1"/>
  <c r="H7384" i="1"/>
  <c r="K7384" i="1"/>
  <c r="F3069" i="1"/>
  <c r="G3069" i="1"/>
  <c r="H3069" i="1"/>
  <c r="K3069" i="1"/>
  <c r="F7385" i="1"/>
  <c r="G7385" i="1"/>
  <c r="H7385" i="1"/>
  <c r="K7385" i="1"/>
  <c r="F3070" i="1"/>
  <c r="G3070" i="1"/>
  <c r="H3070" i="1"/>
  <c r="K3070" i="1"/>
  <c r="F7386" i="1"/>
  <c r="G7386" i="1"/>
  <c r="H7386" i="1"/>
  <c r="K7386" i="1"/>
  <c r="F1635" i="1"/>
  <c r="G1635" i="1"/>
  <c r="H1635" i="1"/>
  <c r="K1635" i="1"/>
  <c r="F4521" i="1"/>
  <c r="G4521" i="1"/>
  <c r="H4521" i="1"/>
  <c r="K4521" i="1"/>
  <c r="F3071" i="1"/>
  <c r="G3071" i="1"/>
  <c r="H3071" i="1"/>
  <c r="K3071" i="1"/>
  <c r="F1636" i="1"/>
  <c r="G1636" i="1"/>
  <c r="H1636" i="1"/>
  <c r="K1636" i="1"/>
  <c r="F5881" i="1"/>
  <c r="G5881" i="1"/>
  <c r="H5881" i="1"/>
  <c r="K5881" i="1"/>
  <c r="F4522" i="1"/>
  <c r="G4522" i="1"/>
  <c r="H4522" i="1"/>
  <c r="K4522" i="1"/>
  <c r="F4523" i="1"/>
  <c r="G4523" i="1"/>
  <c r="H4523" i="1"/>
  <c r="K4523" i="1"/>
  <c r="F5882" i="1"/>
  <c r="G5882" i="1"/>
  <c r="H5882" i="1"/>
  <c r="K5882" i="1"/>
  <c r="F7387" i="1"/>
  <c r="G7387" i="1"/>
  <c r="H7387" i="1"/>
  <c r="K7387" i="1"/>
  <c r="F1637" i="1"/>
  <c r="G1637" i="1"/>
  <c r="H1637" i="1"/>
  <c r="K1637" i="1"/>
  <c r="F1638" i="1"/>
  <c r="G1638" i="1"/>
  <c r="H1638" i="1"/>
  <c r="K1638" i="1"/>
  <c r="F7388" i="1"/>
  <c r="G7388" i="1"/>
  <c r="H7388" i="1"/>
  <c r="K7388" i="1"/>
  <c r="F1639" i="1"/>
  <c r="G1639" i="1"/>
  <c r="H1639" i="1"/>
  <c r="K1639" i="1"/>
  <c r="F1640" i="1"/>
  <c r="G1640" i="1"/>
  <c r="H1640" i="1"/>
  <c r="K1640" i="1"/>
  <c r="F1641" i="1"/>
  <c r="G1641" i="1"/>
  <c r="H1641" i="1"/>
  <c r="K1641" i="1"/>
  <c r="F1642" i="1"/>
  <c r="G1642" i="1"/>
  <c r="H1642" i="1"/>
  <c r="K1642" i="1"/>
  <c r="F1643" i="1"/>
  <c r="G1643" i="1"/>
  <c r="H1643" i="1"/>
  <c r="K1643" i="1"/>
  <c r="F1644" i="1"/>
  <c r="G1644" i="1"/>
  <c r="H1644" i="1"/>
  <c r="K1644" i="1"/>
  <c r="F4524" i="1"/>
  <c r="G4524" i="1"/>
  <c r="H4524" i="1"/>
  <c r="K4524" i="1"/>
  <c r="F3072" i="1"/>
  <c r="G3072" i="1"/>
  <c r="H3072" i="1"/>
  <c r="K3072" i="1"/>
  <c r="F7389" i="1"/>
  <c r="G7389" i="1"/>
  <c r="H7389" i="1"/>
  <c r="K7389" i="1"/>
  <c r="F4525" i="1"/>
  <c r="G4525" i="1"/>
  <c r="H4525" i="1"/>
  <c r="K4525" i="1"/>
  <c r="F4526" i="1"/>
  <c r="G4526" i="1"/>
  <c r="H4526" i="1"/>
  <c r="K4526" i="1"/>
  <c r="F4527" i="1"/>
  <c r="G4527" i="1"/>
  <c r="H4527" i="1"/>
  <c r="K4527" i="1"/>
  <c r="F7390" i="1"/>
  <c r="G7390" i="1"/>
  <c r="H7390" i="1"/>
  <c r="K7390" i="1"/>
  <c r="F5883" i="1"/>
  <c r="G5883" i="1"/>
  <c r="H5883" i="1"/>
  <c r="K5883" i="1"/>
  <c r="F7391" i="1"/>
  <c r="G7391" i="1"/>
  <c r="H7391" i="1"/>
  <c r="K7391" i="1"/>
  <c r="F7392" i="1"/>
  <c r="G7392" i="1"/>
  <c r="H7392" i="1"/>
  <c r="K7392" i="1"/>
  <c r="F4528" i="1"/>
  <c r="G4528" i="1"/>
  <c r="H4528" i="1"/>
  <c r="K4528" i="1"/>
  <c r="F7393" i="1"/>
  <c r="G7393" i="1"/>
  <c r="H7393" i="1"/>
  <c r="K7393" i="1"/>
  <c r="F7394" i="1"/>
  <c r="G7394" i="1"/>
  <c r="H7394" i="1"/>
  <c r="K7394" i="1"/>
  <c r="F4529" i="1"/>
  <c r="G4529" i="1"/>
  <c r="H4529" i="1"/>
  <c r="K4529" i="1"/>
  <c r="F7395" i="1"/>
  <c r="G7395" i="1"/>
  <c r="H7395" i="1"/>
  <c r="K7395" i="1"/>
  <c r="F1645" i="1"/>
  <c r="G1645" i="1"/>
  <c r="H1645" i="1"/>
  <c r="K1645" i="1"/>
  <c r="F1646" i="1"/>
  <c r="G1646" i="1"/>
  <c r="H1646" i="1"/>
  <c r="K1646" i="1"/>
  <c r="F4530" i="1"/>
  <c r="G4530" i="1"/>
  <c r="H4530" i="1"/>
  <c r="K4530" i="1"/>
  <c r="F7396" i="1"/>
  <c r="G7396" i="1"/>
  <c r="H7396" i="1"/>
  <c r="K7396" i="1"/>
  <c r="F5884" i="1"/>
  <c r="G5884" i="1"/>
  <c r="H5884" i="1"/>
  <c r="K5884" i="1"/>
  <c r="F7397" i="1"/>
  <c r="G7397" i="1"/>
  <c r="H7397" i="1"/>
  <c r="K7397" i="1"/>
  <c r="F7398" i="1"/>
  <c r="G7398" i="1"/>
  <c r="H7398" i="1"/>
  <c r="K7398" i="1"/>
  <c r="F7399" i="1"/>
  <c r="G7399" i="1"/>
  <c r="H7399" i="1"/>
  <c r="K7399" i="1"/>
  <c r="F1647" i="1"/>
  <c r="G1647" i="1"/>
  <c r="H1647" i="1"/>
  <c r="K1647" i="1"/>
  <c r="F4531" i="1"/>
  <c r="G4531" i="1"/>
  <c r="H4531" i="1"/>
  <c r="K4531" i="1"/>
  <c r="F5885" i="1"/>
  <c r="G5885" i="1"/>
  <c r="H5885" i="1"/>
  <c r="K5885" i="1"/>
  <c r="F1648" i="1"/>
  <c r="G1648" i="1"/>
  <c r="H1648" i="1"/>
  <c r="K1648" i="1"/>
  <c r="F1649" i="1"/>
  <c r="G1649" i="1"/>
  <c r="H1649" i="1"/>
  <c r="K1649" i="1"/>
  <c r="F1650" i="1"/>
  <c r="G1650" i="1"/>
  <c r="H1650" i="1"/>
  <c r="K1650" i="1"/>
  <c r="F7400" i="1"/>
  <c r="G7400" i="1"/>
  <c r="H7400" i="1"/>
  <c r="K7400" i="1"/>
  <c r="F4532" i="1"/>
  <c r="G4532" i="1"/>
  <c r="H4532" i="1"/>
  <c r="K4532" i="1"/>
  <c r="F3073" i="1"/>
  <c r="G3073" i="1"/>
  <c r="H3073" i="1"/>
  <c r="K3073" i="1"/>
  <c r="F3074" i="1"/>
  <c r="G3074" i="1"/>
  <c r="H3074" i="1"/>
  <c r="K3074" i="1"/>
  <c r="F4533" i="1"/>
  <c r="G4533" i="1"/>
  <c r="H4533" i="1"/>
  <c r="K4533" i="1"/>
  <c r="F1651" i="1"/>
  <c r="G1651" i="1"/>
  <c r="H1651" i="1"/>
  <c r="K1651" i="1"/>
  <c r="F4534" i="1"/>
  <c r="G4534" i="1"/>
  <c r="H4534" i="1"/>
  <c r="K4534" i="1"/>
  <c r="F1652" i="1"/>
  <c r="G1652" i="1"/>
  <c r="H1652" i="1"/>
  <c r="K1652" i="1"/>
  <c r="F1653" i="1"/>
  <c r="G1653" i="1"/>
  <c r="H1653" i="1"/>
  <c r="K1653" i="1"/>
  <c r="F3075" i="1"/>
  <c r="G3075" i="1"/>
  <c r="H3075" i="1"/>
  <c r="K3075" i="1"/>
  <c r="F1654" i="1"/>
  <c r="G1654" i="1"/>
  <c r="H1654" i="1"/>
  <c r="K1654" i="1"/>
  <c r="F7401" i="1"/>
  <c r="G7401" i="1"/>
  <c r="H7401" i="1"/>
  <c r="K7401" i="1"/>
  <c r="F4535" i="1"/>
  <c r="G4535" i="1"/>
  <c r="H4535" i="1"/>
  <c r="K4535" i="1"/>
  <c r="F4536" i="1"/>
  <c r="G4536" i="1"/>
  <c r="H4536" i="1"/>
  <c r="K4536" i="1"/>
  <c r="F3076" i="1"/>
  <c r="G3076" i="1"/>
  <c r="H3076" i="1"/>
  <c r="K3076" i="1"/>
  <c r="F4537" i="1"/>
  <c r="G4537" i="1"/>
  <c r="H4537" i="1"/>
  <c r="K4537" i="1"/>
  <c r="F1655" i="1"/>
  <c r="G1655" i="1"/>
  <c r="H1655" i="1"/>
  <c r="K1655" i="1"/>
  <c r="F3077" i="1"/>
  <c r="G3077" i="1"/>
  <c r="H3077" i="1"/>
  <c r="K3077" i="1"/>
  <c r="F5886" i="1"/>
  <c r="G5886" i="1"/>
  <c r="H5886" i="1"/>
  <c r="K5886" i="1"/>
  <c r="F5887" i="1"/>
  <c r="G5887" i="1"/>
  <c r="H5887" i="1"/>
  <c r="K5887" i="1"/>
  <c r="F5888" i="1"/>
  <c r="G5888" i="1"/>
  <c r="H5888" i="1"/>
  <c r="K5888" i="1"/>
  <c r="F3078" i="1"/>
  <c r="G3078" i="1"/>
  <c r="H3078" i="1"/>
  <c r="K3078" i="1"/>
  <c r="F1656" i="1"/>
  <c r="G1656" i="1"/>
  <c r="H1656" i="1"/>
  <c r="K1656" i="1"/>
  <c r="F1657" i="1"/>
  <c r="G1657" i="1"/>
  <c r="H1657" i="1"/>
  <c r="K1657" i="1"/>
  <c r="F1658" i="1"/>
  <c r="G1658" i="1"/>
  <c r="H1658" i="1"/>
  <c r="K1658" i="1"/>
  <c r="F1659" i="1"/>
  <c r="G1659" i="1"/>
  <c r="H1659" i="1"/>
  <c r="K1659" i="1"/>
  <c r="F3079" i="1"/>
  <c r="G3079" i="1"/>
  <c r="H3079" i="1"/>
  <c r="K3079" i="1"/>
  <c r="F7402" i="1"/>
  <c r="G7402" i="1"/>
  <c r="H7402" i="1"/>
  <c r="K7402" i="1"/>
  <c r="F5889" i="1"/>
  <c r="G5889" i="1"/>
  <c r="H5889" i="1"/>
  <c r="K5889" i="1"/>
  <c r="F1660" i="1"/>
  <c r="G1660" i="1"/>
  <c r="H1660" i="1"/>
  <c r="K1660" i="1"/>
  <c r="F5890" i="1"/>
  <c r="G5890" i="1"/>
  <c r="H5890" i="1"/>
  <c r="K5890" i="1"/>
  <c r="F5891" i="1"/>
  <c r="G5891" i="1"/>
  <c r="H5891" i="1"/>
  <c r="K5891" i="1"/>
  <c r="F5892" i="1"/>
  <c r="G5892" i="1"/>
  <c r="H5892" i="1"/>
  <c r="K5892" i="1"/>
  <c r="F5893" i="1"/>
  <c r="G5893" i="1"/>
  <c r="H5893" i="1"/>
  <c r="K5893" i="1"/>
  <c r="F1661" i="1"/>
  <c r="G1661" i="1"/>
  <c r="H1661" i="1"/>
  <c r="K1661" i="1"/>
  <c r="F1662" i="1"/>
  <c r="G1662" i="1"/>
  <c r="H1662" i="1"/>
  <c r="K1662" i="1"/>
  <c r="F7403" i="1"/>
  <c r="G7403" i="1"/>
  <c r="H7403" i="1"/>
  <c r="K7403" i="1"/>
  <c r="F1663" i="1"/>
  <c r="G1663" i="1"/>
  <c r="H1663" i="1"/>
  <c r="K1663" i="1"/>
  <c r="F3080" i="1"/>
  <c r="G3080" i="1"/>
  <c r="H3080" i="1"/>
  <c r="K3080" i="1"/>
  <c r="F5894" i="1"/>
  <c r="G5894" i="1"/>
  <c r="H5894" i="1"/>
  <c r="K5894" i="1"/>
  <c r="F1664" i="1"/>
  <c r="G1664" i="1"/>
  <c r="H1664" i="1"/>
  <c r="K1664" i="1"/>
  <c r="F4538" i="1"/>
  <c r="G4538" i="1"/>
  <c r="H4538" i="1"/>
  <c r="K4538" i="1"/>
  <c r="F1665" i="1"/>
  <c r="G1665" i="1"/>
  <c r="H1665" i="1"/>
  <c r="K1665" i="1"/>
  <c r="F1666" i="1"/>
  <c r="G1666" i="1"/>
  <c r="H1666" i="1"/>
  <c r="K1666" i="1"/>
  <c r="F7404" i="1"/>
  <c r="G7404" i="1"/>
  <c r="H7404" i="1"/>
  <c r="K7404" i="1"/>
  <c r="F5895" i="1"/>
  <c r="G5895" i="1"/>
  <c r="H5895" i="1"/>
  <c r="K5895" i="1"/>
  <c r="F3081" i="1"/>
  <c r="G3081" i="1"/>
  <c r="H3081" i="1"/>
  <c r="K3081" i="1"/>
  <c r="F3082" i="1"/>
  <c r="G3082" i="1"/>
  <c r="H3082" i="1"/>
  <c r="K3082" i="1"/>
  <c r="F3083" i="1"/>
  <c r="G3083" i="1"/>
  <c r="H3083" i="1"/>
  <c r="K3083" i="1"/>
  <c r="F1667" i="1"/>
  <c r="G1667" i="1"/>
  <c r="H1667" i="1"/>
  <c r="K1667" i="1"/>
  <c r="F1668" i="1"/>
  <c r="G1668" i="1"/>
  <c r="H1668" i="1"/>
  <c r="K1668" i="1"/>
  <c r="F5896" i="1"/>
  <c r="G5896" i="1"/>
  <c r="H5896" i="1"/>
  <c r="K5896" i="1"/>
  <c r="F1669" i="1"/>
  <c r="G1669" i="1"/>
  <c r="H1669" i="1"/>
  <c r="K1669" i="1"/>
  <c r="F5897" i="1"/>
  <c r="G5897" i="1"/>
  <c r="H5897" i="1"/>
  <c r="K5897" i="1"/>
  <c r="F3084" i="1"/>
  <c r="G3084" i="1"/>
  <c r="H3084" i="1"/>
  <c r="K3084" i="1"/>
  <c r="F1670" i="1"/>
  <c r="G1670" i="1"/>
  <c r="H1670" i="1"/>
  <c r="K1670" i="1"/>
  <c r="F5898" i="1"/>
  <c r="G5898" i="1"/>
  <c r="H5898" i="1"/>
  <c r="K5898" i="1"/>
  <c r="F1671" i="1"/>
  <c r="G1671" i="1"/>
  <c r="H1671" i="1"/>
  <c r="K1671" i="1"/>
  <c r="F7405" i="1"/>
  <c r="G7405" i="1"/>
  <c r="H7405" i="1"/>
  <c r="K7405" i="1"/>
  <c r="F1672" i="1"/>
  <c r="G1672" i="1"/>
  <c r="H1672" i="1"/>
  <c r="K1672" i="1"/>
  <c r="F7406" i="1"/>
  <c r="G7406" i="1"/>
  <c r="H7406" i="1"/>
  <c r="K7406" i="1"/>
  <c r="F7407" i="1"/>
  <c r="G7407" i="1"/>
  <c r="H7407" i="1"/>
  <c r="K7407" i="1"/>
  <c r="F1673" i="1"/>
  <c r="G1673" i="1"/>
  <c r="H1673" i="1"/>
  <c r="K1673" i="1"/>
  <c r="F1674" i="1"/>
  <c r="G1674" i="1"/>
  <c r="H1674" i="1"/>
  <c r="K1674" i="1"/>
  <c r="F4539" i="1"/>
  <c r="G4539" i="1"/>
  <c r="H4539" i="1"/>
  <c r="K4539" i="1"/>
  <c r="F1675" i="1"/>
  <c r="G1675" i="1"/>
  <c r="H1675" i="1"/>
  <c r="K1675" i="1"/>
  <c r="F5899" i="1"/>
  <c r="G5899" i="1"/>
  <c r="H5899" i="1"/>
  <c r="K5899" i="1"/>
  <c r="F1676" i="1"/>
  <c r="G1676" i="1"/>
  <c r="H1676" i="1"/>
  <c r="K1676" i="1"/>
  <c r="F3085" i="1"/>
  <c r="G3085" i="1"/>
  <c r="H3085" i="1"/>
  <c r="K3085" i="1"/>
  <c r="F3086" i="1"/>
  <c r="G3086" i="1"/>
  <c r="H3086" i="1"/>
  <c r="K3086" i="1"/>
  <c r="F4540" i="1"/>
  <c r="G4540" i="1"/>
  <c r="H4540" i="1"/>
  <c r="K4540" i="1"/>
  <c r="F4541" i="1"/>
  <c r="G4541" i="1"/>
  <c r="H4541" i="1"/>
  <c r="K4541" i="1"/>
  <c r="F3087" i="1"/>
  <c r="G3087" i="1"/>
  <c r="H3087" i="1"/>
  <c r="K3087" i="1"/>
  <c r="F3088" i="1"/>
  <c r="G3088" i="1"/>
  <c r="H3088" i="1"/>
  <c r="K3088" i="1"/>
  <c r="F7408" i="1"/>
  <c r="G7408" i="1"/>
  <c r="H7408" i="1"/>
  <c r="K7408" i="1"/>
  <c r="F7409" i="1"/>
  <c r="G7409" i="1"/>
  <c r="H7409" i="1"/>
  <c r="K7409" i="1"/>
  <c r="F1677" i="1"/>
  <c r="G1677" i="1"/>
  <c r="H1677" i="1"/>
  <c r="K1677" i="1"/>
  <c r="F5900" i="1"/>
  <c r="G5900" i="1"/>
  <c r="H5900" i="1"/>
  <c r="K5900" i="1"/>
  <c r="F5901" i="1"/>
  <c r="G5901" i="1"/>
  <c r="H5901" i="1"/>
  <c r="K5901" i="1"/>
  <c r="F3089" i="1"/>
  <c r="G3089" i="1"/>
  <c r="H3089" i="1"/>
  <c r="K3089" i="1"/>
  <c r="F3090" i="1"/>
  <c r="G3090" i="1"/>
  <c r="H3090" i="1"/>
  <c r="K3090" i="1"/>
  <c r="F1678" i="1"/>
  <c r="G1678" i="1"/>
  <c r="H1678" i="1"/>
  <c r="K1678" i="1"/>
  <c r="F1679" i="1"/>
  <c r="G1679" i="1"/>
  <c r="H1679" i="1"/>
  <c r="K1679" i="1"/>
  <c r="F1680" i="1"/>
  <c r="G1680" i="1"/>
  <c r="H1680" i="1"/>
  <c r="K1680" i="1"/>
  <c r="F5902" i="1"/>
  <c r="G5902" i="1"/>
  <c r="H5902" i="1"/>
  <c r="K5902" i="1"/>
  <c r="F5903" i="1"/>
  <c r="G5903" i="1"/>
  <c r="H5903" i="1"/>
  <c r="K5903" i="1"/>
  <c r="F7410" i="1"/>
  <c r="G7410" i="1"/>
  <c r="H7410" i="1"/>
  <c r="K7410" i="1"/>
  <c r="F7411" i="1"/>
  <c r="G7411" i="1"/>
  <c r="H7411" i="1"/>
  <c r="K7411" i="1"/>
  <c r="F7412" i="1"/>
  <c r="G7412" i="1"/>
  <c r="H7412" i="1"/>
  <c r="K7412" i="1"/>
  <c r="F4542" i="1"/>
  <c r="G4542" i="1"/>
  <c r="H4542" i="1"/>
  <c r="K4542" i="1"/>
  <c r="F5904" i="1"/>
  <c r="G5904" i="1"/>
  <c r="H5904" i="1"/>
  <c r="K5904" i="1"/>
  <c r="F3091" i="1"/>
  <c r="G3091" i="1"/>
  <c r="H3091" i="1"/>
  <c r="K3091" i="1"/>
  <c r="F1681" i="1"/>
  <c r="G1681" i="1"/>
  <c r="H1681" i="1"/>
  <c r="K1681" i="1"/>
  <c r="F7413" i="1"/>
  <c r="G7413" i="1"/>
  <c r="H7413" i="1"/>
  <c r="K7413" i="1"/>
  <c r="F3092" i="1"/>
  <c r="G3092" i="1"/>
  <c r="H3092" i="1"/>
  <c r="K3092" i="1"/>
  <c r="F1682" i="1"/>
  <c r="G1682" i="1"/>
  <c r="H1682" i="1"/>
  <c r="K1682" i="1"/>
  <c r="F7414" i="1"/>
  <c r="G7414" i="1"/>
  <c r="H7414" i="1"/>
  <c r="K7414" i="1"/>
  <c r="F7415" i="1"/>
  <c r="G7415" i="1"/>
  <c r="H7415" i="1"/>
  <c r="K7415" i="1"/>
  <c r="F1683" i="1"/>
  <c r="G1683" i="1"/>
  <c r="H1683" i="1"/>
  <c r="K1683" i="1"/>
  <c r="F7416" i="1"/>
  <c r="G7416" i="1"/>
  <c r="H7416" i="1"/>
  <c r="K7416" i="1"/>
  <c r="F1684" i="1"/>
  <c r="G1684" i="1"/>
  <c r="H1684" i="1"/>
  <c r="K1684" i="1"/>
  <c r="F3093" i="1"/>
  <c r="G3093" i="1"/>
  <c r="H3093" i="1"/>
  <c r="K3093" i="1"/>
  <c r="F5905" i="1"/>
  <c r="G5905" i="1"/>
  <c r="H5905" i="1"/>
  <c r="K5905" i="1"/>
  <c r="F1685" i="1"/>
  <c r="G1685" i="1"/>
  <c r="H1685" i="1"/>
  <c r="K1685" i="1"/>
  <c r="F1686" i="1"/>
  <c r="G1686" i="1"/>
  <c r="H1686" i="1"/>
  <c r="K1686" i="1"/>
  <c r="F7417" i="1"/>
  <c r="G7417" i="1"/>
  <c r="H7417" i="1"/>
  <c r="K7417" i="1"/>
  <c r="F5906" i="1"/>
  <c r="G5906" i="1"/>
  <c r="H5906" i="1"/>
  <c r="K5906" i="1"/>
  <c r="F4543" i="1"/>
  <c r="G4543" i="1"/>
  <c r="H4543" i="1"/>
  <c r="K4543" i="1"/>
  <c r="F1687" i="1"/>
  <c r="G1687" i="1"/>
  <c r="H1687" i="1"/>
  <c r="K1687" i="1"/>
  <c r="F5907" i="1"/>
  <c r="G5907" i="1"/>
  <c r="H5907" i="1"/>
  <c r="K5907" i="1"/>
  <c r="F5908" i="1"/>
  <c r="G5908" i="1"/>
  <c r="H5908" i="1"/>
  <c r="K5908" i="1"/>
  <c r="F4544" i="1"/>
  <c r="G4544" i="1"/>
  <c r="H4544" i="1"/>
  <c r="K4544" i="1"/>
  <c r="F1688" i="1"/>
  <c r="G1688" i="1"/>
  <c r="H1688" i="1"/>
  <c r="K1688" i="1"/>
  <c r="F7418" i="1"/>
  <c r="G7418" i="1"/>
  <c r="H7418" i="1"/>
  <c r="K7418" i="1"/>
  <c r="F7419" i="1"/>
  <c r="G7419" i="1"/>
  <c r="H7419" i="1"/>
  <c r="K7419" i="1"/>
  <c r="F1689" i="1"/>
  <c r="G1689" i="1"/>
  <c r="H1689" i="1"/>
  <c r="K1689" i="1"/>
  <c r="F4545" i="1"/>
  <c r="G4545" i="1"/>
  <c r="H4545" i="1"/>
  <c r="K4545" i="1"/>
  <c r="F4546" i="1"/>
  <c r="G4546" i="1"/>
  <c r="H4546" i="1"/>
  <c r="K4546" i="1"/>
  <c r="F7420" i="1"/>
  <c r="G7420" i="1"/>
  <c r="H7420" i="1"/>
  <c r="K7420" i="1"/>
  <c r="F7421" i="1"/>
  <c r="G7421" i="1"/>
  <c r="H7421" i="1"/>
  <c r="K7421" i="1"/>
  <c r="F7422" i="1"/>
  <c r="G7422" i="1"/>
  <c r="H7422" i="1"/>
  <c r="K7422" i="1"/>
  <c r="F7423" i="1"/>
  <c r="G7423" i="1"/>
  <c r="H7423" i="1"/>
  <c r="K7423" i="1"/>
  <c r="F7424" i="1"/>
  <c r="G7424" i="1"/>
  <c r="H7424" i="1"/>
  <c r="K7424" i="1"/>
  <c r="F1690" i="1"/>
  <c r="G1690" i="1"/>
  <c r="H1690" i="1"/>
  <c r="K1690" i="1"/>
  <c r="F1691" i="1"/>
  <c r="G1691" i="1"/>
  <c r="H1691" i="1"/>
  <c r="K1691" i="1"/>
  <c r="F1692" i="1"/>
  <c r="G1692" i="1"/>
  <c r="H1692" i="1"/>
  <c r="K1692" i="1"/>
  <c r="F5909" i="1"/>
  <c r="G5909" i="1"/>
  <c r="H5909" i="1"/>
  <c r="K5909" i="1"/>
  <c r="F4547" i="1"/>
  <c r="G4547" i="1"/>
  <c r="H4547" i="1"/>
  <c r="K4547" i="1"/>
  <c r="F1693" i="1"/>
  <c r="G1693" i="1"/>
  <c r="H1693" i="1"/>
  <c r="K1693" i="1"/>
  <c r="F1694" i="1"/>
  <c r="G1694" i="1"/>
  <c r="H1694" i="1"/>
  <c r="K1694" i="1"/>
  <c r="F5910" i="1"/>
  <c r="G5910" i="1"/>
  <c r="H5910" i="1"/>
  <c r="K5910" i="1"/>
  <c r="F5911" i="1"/>
  <c r="G5911" i="1"/>
  <c r="H5911" i="1"/>
  <c r="K5911" i="1"/>
  <c r="F1695" i="1"/>
  <c r="G1695" i="1"/>
  <c r="H1695" i="1"/>
  <c r="K1695" i="1"/>
  <c r="F1696" i="1"/>
  <c r="G1696" i="1"/>
  <c r="H1696" i="1"/>
  <c r="K1696" i="1"/>
  <c r="F1697" i="1"/>
  <c r="G1697" i="1"/>
  <c r="H1697" i="1"/>
  <c r="K1697" i="1"/>
  <c r="F4548" i="1"/>
  <c r="G4548" i="1"/>
  <c r="H4548" i="1"/>
  <c r="K4548" i="1"/>
  <c r="F5912" i="1"/>
  <c r="G5912" i="1"/>
  <c r="H5912" i="1"/>
  <c r="K5912" i="1"/>
  <c r="F5913" i="1"/>
  <c r="G5913" i="1"/>
  <c r="H5913" i="1"/>
  <c r="K5913" i="1"/>
  <c r="F1698" i="1"/>
  <c r="G1698" i="1"/>
  <c r="H1698" i="1"/>
  <c r="K1698" i="1"/>
  <c r="F1699" i="1"/>
  <c r="G1699" i="1"/>
  <c r="H1699" i="1"/>
  <c r="K1699" i="1"/>
  <c r="F4549" i="1"/>
  <c r="G4549" i="1"/>
  <c r="H4549" i="1"/>
  <c r="K4549" i="1"/>
  <c r="F4550" i="1"/>
  <c r="G4550" i="1"/>
  <c r="H4550" i="1"/>
  <c r="K4550" i="1"/>
  <c r="F4551" i="1"/>
  <c r="G4551" i="1"/>
  <c r="H4551" i="1"/>
  <c r="K4551" i="1"/>
  <c r="F5914" i="1"/>
  <c r="G5914" i="1"/>
  <c r="H5914" i="1"/>
  <c r="K5914" i="1"/>
  <c r="F5915" i="1"/>
  <c r="G5915" i="1"/>
  <c r="H5915" i="1"/>
  <c r="K5915" i="1"/>
  <c r="F5916" i="1"/>
  <c r="G5916" i="1"/>
  <c r="H5916" i="1"/>
  <c r="K5916" i="1"/>
  <c r="F3094" i="1"/>
  <c r="G3094" i="1"/>
  <c r="H3094" i="1"/>
  <c r="K3094" i="1"/>
  <c r="F1700" i="1"/>
  <c r="G1700" i="1"/>
  <c r="H1700" i="1"/>
  <c r="K1700" i="1"/>
  <c r="F4552" i="1"/>
  <c r="G4552" i="1"/>
  <c r="H4552" i="1"/>
  <c r="K4552" i="1"/>
  <c r="F4553" i="1"/>
  <c r="G4553" i="1"/>
  <c r="H4553" i="1"/>
  <c r="K4553" i="1"/>
  <c r="F5917" i="1"/>
  <c r="G5917" i="1"/>
  <c r="H5917" i="1"/>
  <c r="K5917" i="1"/>
  <c r="F4554" i="1"/>
  <c r="G4554" i="1"/>
  <c r="H4554" i="1"/>
  <c r="K4554" i="1"/>
  <c r="F1701" i="1"/>
  <c r="G1701" i="1"/>
  <c r="H1701" i="1"/>
  <c r="K1701" i="1"/>
  <c r="F5918" i="1"/>
  <c r="G5918" i="1"/>
  <c r="H5918" i="1"/>
  <c r="K5918" i="1"/>
  <c r="F5919" i="1"/>
  <c r="G5919" i="1"/>
  <c r="H5919" i="1"/>
  <c r="K5919" i="1"/>
  <c r="F5920" i="1"/>
  <c r="G5920" i="1"/>
  <c r="H5920" i="1"/>
  <c r="K5920" i="1"/>
  <c r="F7425" i="1"/>
  <c r="G7425" i="1"/>
  <c r="H7425" i="1"/>
  <c r="K7425" i="1"/>
  <c r="F1702" i="1"/>
  <c r="G1702" i="1"/>
  <c r="H1702" i="1"/>
  <c r="K1702" i="1"/>
  <c r="F7426" i="1"/>
  <c r="G7426" i="1"/>
  <c r="H7426" i="1"/>
  <c r="K7426" i="1"/>
  <c r="F4555" i="1"/>
  <c r="G4555" i="1"/>
  <c r="H4555" i="1"/>
  <c r="K4555" i="1"/>
  <c r="F5921" i="1"/>
  <c r="G5921" i="1"/>
  <c r="H5921" i="1"/>
  <c r="K5921" i="1"/>
  <c r="F3095" i="1"/>
  <c r="G3095" i="1"/>
  <c r="H3095" i="1"/>
  <c r="K3095" i="1"/>
  <c r="F3096" i="1"/>
  <c r="G3096" i="1"/>
  <c r="H3096" i="1"/>
  <c r="K3096" i="1"/>
  <c r="F5922" i="1"/>
  <c r="G5922" i="1"/>
  <c r="H5922" i="1"/>
  <c r="K5922" i="1"/>
  <c r="F7427" i="1"/>
  <c r="G7427" i="1"/>
  <c r="H7427" i="1"/>
  <c r="K7427" i="1"/>
  <c r="F7428" i="1"/>
  <c r="G7428" i="1"/>
  <c r="H7428" i="1"/>
  <c r="K7428" i="1"/>
  <c r="F3097" i="1"/>
  <c r="G3097" i="1"/>
  <c r="H3097" i="1"/>
  <c r="K3097" i="1"/>
  <c r="F1703" i="1"/>
  <c r="G1703" i="1"/>
  <c r="H1703" i="1"/>
  <c r="K1703" i="1"/>
  <c r="F4556" i="1"/>
  <c r="G4556" i="1"/>
  <c r="H4556" i="1"/>
  <c r="K4556" i="1"/>
  <c r="F5923" i="1"/>
  <c r="G5923" i="1"/>
  <c r="H5923" i="1"/>
  <c r="K5923" i="1"/>
  <c r="F1704" i="1"/>
  <c r="G1704" i="1"/>
  <c r="H1704" i="1"/>
  <c r="K1704" i="1"/>
  <c r="F7429" i="1"/>
  <c r="G7429" i="1"/>
  <c r="H7429" i="1"/>
  <c r="K7429" i="1"/>
  <c r="F5924" i="1"/>
  <c r="G5924" i="1"/>
  <c r="H5924" i="1"/>
  <c r="K5924" i="1"/>
  <c r="F1705" i="1"/>
  <c r="G1705" i="1"/>
  <c r="H1705" i="1"/>
  <c r="K1705" i="1"/>
  <c r="F1706" i="1"/>
  <c r="G1706" i="1"/>
  <c r="H1706" i="1"/>
  <c r="K1706" i="1"/>
  <c r="F7430" i="1"/>
  <c r="G7430" i="1"/>
  <c r="H7430" i="1"/>
  <c r="K7430" i="1"/>
  <c r="F1707" i="1"/>
  <c r="G1707" i="1"/>
  <c r="H1707" i="1"/>
  <c r="K1707" i="1"/>
  <c r="F4557" i="1"/>
  <c r="G4557" i="1"/>
  <c r="H4557" i="1"/>
  <c r="K4557" i="1"/>
  <c r="F3098" i="1"/>
  <c r="G3098" i="1"/>
  <c r="H3098" i="1"/>
  <c r="K3098" i="1"/>
  <c r="F7431" i="1"/>
  <c r="G7431" i="1"/>
  <c r="H7431" i="1"/>
  <c r="K7431" i="1"/>
  <c r="F7432" i="1"/>
  <c r="G7432" i="1"/>
  <c r="H7432" i="1"/>
  <c r="K7432" i="1"/>
  <c r="F5925" i="1"/>
  <c r="G5925" i="1"/>
  <c r="H5925" i="1"/>
  <c r="K5925" i="1"/>
  <c r="F1708" i="1"/>
  <c r="G1708" i="1"/>
  <c r="H1708" i="1"/>
  <c r="K1708" i="1"/>
  <c r="F4558" i="1"/>
  <c r="G4558" i="1"/>
  <c r="H4558" i="1"/>
  <c r="K4558" i="1"/>
  <c r="F1709" i="1"/>
  <c r="G1709" i="1"/>
  <c r="H1709" i="1"/>
  <c r="K1709" i="1"/>
  <c r="F1710" i="1"/>
  <c r="G1710" i="1"/>
  <c r="H1710" i="1"/>
  <c r="K1710" i="1"/>
  <c r="F4559" i="1"/>
  <c r="G4559" i="1"/>
  <c r="H4559" i="1"/>
  <c r="K4559" i="1"/>
  <c r="F7433" i="1"/>
  <c r="G7433" i="1"/>
  <c r="H7433" i="1"/>
  <c r="K7433" i="1"/>
  <c r="F4560" i="1"/>
  <c r="G4560" i="1"/>
  <c r="H4560" i="1"/>
  <c r="K4560" i="1"/>
  <c r="F4561" i="1"/>
  <c r="G4561" i="1"/>
  <c r="H4561" i="1"/>
  <c r="K4561" i="1"/>
  <c r="F4562" i="1"/>
  <c r="G4562" i="1"/>
  <c r="H4562" i="1"/>
  <c r="K4562" i="1"/>
  <c r="F3099" i="1"/>
  <c r="G3099" i="1"/>
  <c r="H3099" i="1"/>
  <c r="K3099" i="1"/>
  <c r="F1711" i="1"/>
  <c r="G1711" i="1"/>
  <c r="H1711" i="1"/>
  <c r="K1711" i="1"/>
  <c r="F1712" i="1"/>
  <c r="G1712" i="1"/>
  <c r="H1712" i="1"/>
  <c r="K1712" i="1"/>
  <c r="F3100" i="1"/>
  <c r="G3100" i="1"/>
  <c r="H3100" i="1"/>
  <c r="K3100" i="1"/>
  <c r="F1713" i="1"/>
  <c r="G1713" i="1"/>
  <c r="H1713" i="1"/>
  <c r="K1713" i="1"/>
  <c r="F7434" i="1"/>
  <c r="G7434" i="1"/>
  <c r="H7434" i="1"/>
  <c r="K7434" i="1"/>
  <c r="F1714" i="1"/>
  <c r="G1714" i="1"/>
  <c r="H1714" i="1"/>
  <c r="K1714" i="1"/>
  <c r="F7435" i="1"/>
  <c r="G7435" i="1"/>
  <c r="H7435" i="1"/>
  <c r="K7435" i="1"/>
  <c r="F4563" i="1"/>
  <c r="G4563" i="1"/>
  <c r="H4563" i="1"/>
  <c r="K4563" i="1"/>
  <c r="F3101" i="1"/>
  <c r="G3101" i="1"/>
  <c r="H3101" i="1"/>
  <c r="K3101" i="1"/>
  <c r="F3102" i="1"/>
  <c r="G3102" i="1"/>
  <c r="H3102" i="1"/>
  <c r="K3102" i="1"/>
  <c r="F7436" i="1"/>
  <c r="G7436" i="1"/>
  <c r="H7436" i="1"/>
  <c r="K7436" i="1"/>
  <c r="F5926" i="1"/>
  <c r="G5926" i="1"/>
  <c r="H5926" i="1"/>
  <c r="K5926" i="1"/>
  <c r="F5927" i="1"/>
  <c r="G5927" i="1"/>
  <c r="H5927" i="1"/>
  <c r="K5927" i="1"/>
  <c r="F4564" i="1"/>
  <c r="G4564" i="1"/>
  <c r="H4564" i="1"/>
  <c r="K4564" i="1"/>
  <c r="F4565" i="1"/>
  <c r="G4565" i="1"/>
  <c r="H4565" i="1"/>
  <c r="K4565" i="1"/>
  <c r="F1715" i="1"/>
  <c r="G1715" i="1"/>
  <c r="H1715" i="1"/>
  <c r="K1715" i="1"/>
  <c r="F4566" i="1"/>
  <c r="G4566" i="1"/>
  <c r="H4566" i="1"/>
  <c r="K4566" i="1"/>
  <c r="F4567" i="1"/>
  <c r="G4567" i="1"/>
  <c r="H4567" i="1"/>
  <c r="K4567" i="1"/>
  <c r="F5928" i="1"/>
  <c r="G5928" i="1"/>
  <c r="H5928" i="1"/>
  <c r="K5928" i="1"/>
  <c r="F3103" i="1"/>
  <c r="G3103" i="1"/>
  <c r="H3103" i="1"/>
  <c r="K3103" i="1"/>
  <c r="F1716" i="1"/>
  <c r="G1716" i="1"/>
  <c r="H1716" i="1"/>
  <c r="K1716" i="1"/>
  <c r="F1717" i="1"/>
  <c r="G1717" i="1"/>
  <c r="H1717" i="1"/>
  <c r="K1717" i="1"/>
  <c r="F1718" i="1"/>
  <c r="G1718" i="1"/>
  <c r="H1718" i="1"/>
  <c r="K1718" i="1"/>
  <c r="F3104" i="1"/>
  <c r="G3104" i="1"/>
  <c r="H3104" i="1"/>
  <c r="K3104" i="1"/>
  <c r="F4568" i="1"/>
  <c r="G4568" i="1"/>
  <c r="H4568" i="1"/>
  <c r="K4568" i="1"/>
  <c r="F4569" i="1"/>
  <c r="G4569" i="1"/>
  <c r="H4569" i="1"/>
  <c r="K4569" i="1"/>
  <c r="F4570" i="1"/>
  <c r="G4570" i="1"/>
  <c r="H4570" i="1"/>
  <c r="K4570" i="1"/>
  <c r="F4571" i="1"/>
  <c r="G4571" i="1"/>
  <c r="H4571" i="1"/>
  <c r="K4571" i="1"/>
  <c r="F7437" i="1"/>
  <c r="G7437" i="1"/>
  <c r="H7437" i="1"/>
  <c r="K7437" i="1"/>
  <c r="F1719" i="1"/>
  <c r="G1719" i="1"/>
  <c r="H1719" i="1"/>
  <c r="K1719" i="1"/>
  <c r="F1720" i="1"/>
  <c r="G1720" i="1"/>
  <c r="H1720" i="1"/>
  <c r="K1720" i="1"/>
  <c r="F4572" i="1"/>
  <c r="G4572" i="1"/>
  <c r="H4572" i="1"/>
  <c r="K4572" i="1"/>
  <c r="F7438" i="1"/>
  <c r="G7438" i="1"/>
  <c r="H7438" i="1"/>
  <c r="K7438" i="1"/>
  <c r="F3105" i="1"/>
  <c r="G3105" i="1"/>
  <c r="H3105" i="1"/>
  <c r="K3105" i="1"/>
  <c r="F1721" i="1"/>
  <c r="G1721" i="1"/>
  <c r="H1721" i="1"/>
  <c r="K1721" i="1"/>
  <c r="F1722" i="1"/>
  <c r="G1722" i="1"/>
  <c r="H1722" i="1"/>
  <c r="K1722" i="1"/>
  <c r="F1723" i="1"/>
  <c r="G1723" i="1"/>
  <c r="H1723" i="1"/>
  <c r="K1723" i="1"/>
  <c r="F4573" i="1"/>
  <c r="G4573" i="1"/>
  <c r="H4573" i="1"/>
  <c r="K4573" i="1"/>
  <c r="F5929" i="1"/>
  <c r="G5929" i="1"/>
  <c r="H5929" i="1"/>
  <c r="K5929" i="1"/>
  <c r="F7439" i="1"/>
  <c r="G7439" i="1"/>
  <c r="H7439" i="1"/>
  <c r="K7439" i="1"/>
  <c r="F3106" i="1"/>
  <c r="G3106" i="1"/>
  <c r="H3106" i="1"/>
  <c r="K3106" i="1"/>
  <c r="F7440" i="1"/>
  <c r="G7440" i="1"/>
  <c r="H7440" i="1"/>
  <c r="K7440" i="1"/>
  <c r="F7441" i="1"/>
  <c r="G7441" i="1"/>
  <c r="H7441" i="1"/>
  <c r="K7441" i="1"/>
  <c r="F4574" i="1"/>
  <c r="G4574" i="1"/>
  <c r="H4574" i="1"/>
  <c r="K4574" i="1"/>
  <c r="F4575" i="1"/>
  <c r="G4575" i="1"/>
  <c r="H4575" i="1"/>
  <c r="K4575" i="1"/>
  <c r="F5930" i="1"/>
  <c r="G5930" i="1"/>
  <c r="H5930" i="1"/>
  <c r="K5930" i="1"/>
  <c r="F7442" i="1"/>
  <c r="G7442" i="1"/>
  <c r="H7442" i="1"/>
  <c r="K7442" i="1"/>
  <c r="F7443" i="1"/>
  <c r="G7443" i="1"/>
  <c r="H7443" i="1"/>
  <c r="K7443" i="1"/>
  <c r="F7444" i="1"/>
  <c r="G7444" i="1"/>
  <c r="H7444" i="1"/>
  <c r="K7444" i="1"/>
  <c r="F4576" i="1"/>
  <c r="G4576" i="1"/>
  <c r="H4576" i="1"/>
  <c r="K4576" i="1"/>
  <c r="F7445" i="1"/>
  <c r="G7445" i="1"/>
  <c r="H7445" i="1"/>
  <c r="K7445" i="1"/>
  <c r="F7446" i="1"/>
  <c r="G7446" i="1"/>
  <c r="H7446" i="1"/>
  <c r="K7446" i="1"/>
  <c r="F4577" i="1"/>
  <c r="G4577" i="1"/>
  <c r="H4577" i="1"/>
  <c r="K4577" i="1"/>
  <c r="F5931" i="1"/>
  <c r="G5931" i="1"/>
  <c r="H5931" i="1"/>
  <c r="K5931" i="1"/>
  <c r="F1724" i="1"/>
  <c r="G1724" i="1"/>
  <c r="H1724" i="1"/>
  <c r="K1724" i="1"/>
  <c r="F5932" i="1"/>
  <c r="G5932" i="1"/>
  <c r="H5932" i="1"/>
  <c r="K5932" i="1"/>
  <c r="F5933" i="1"/>
  <c r="G5933" i="1"/>
  <c r="H5933" i="1"/>
  <c r="K5933" i="1"/>
  <c r="F4578" i="1"/>
  <c r="G4578" i="1"/>
  <c r="H4578" i="1"/>
  <c r="K4578" i="1"/>
  <c r="F1725" i="1"/>
  <c r="G1725" i="1"/>
  <c r="H1725" i="1"/>
  <c r="K1725" i="1"/>
  <c r="F5934" i="1"/>
  <c r="G5934" i="1"/>
  <c r="H5934" i="1"/>
  <c r="K5934" i="1"/>
  <c r="F7447" i="1"/>
  <c r="G7447" i="1"/>
  <c r="H7447" i="1"/>
  <c r="K7447" i="1"/>
  <c r="F5935" i="1"/>
  <c r="G5935" i="1"/>
  <c r="H5935" i="1"/>
  <c r="K5935" i="1"/>
  <c r="F1726" i="1"/>
  <c r="G1726" i="1"/>
  <c r="H1726" i="1"/>
  <c r="K1726" i="1"/>
  <c r="F5936" i="1"/>
  <c r="G5936" i="1"/>
  <c r="H5936" i="1"/>
  <c r="K5936" i="1"/>
  <c r="F5937" i="1"/>
  <c r="G5937" i="1"/>
  <c r="H5937" i="1"/>
  <c r="K5937" i="1"/>
  <c r="F5938" i="1"/>
  <c r="G5938" i="1"/>
  <c r="H5938" i="1"/>
  <c r="K5938" i="1"/>
  <c r="F1727" i="1"/>
  <c r="G1727" i="1"/>
  <c r="H1727" i="1"/>
  <c r="K1727" i="1"/>
  <c r="F3107" i="1"/>
  <c r="G3107" i="1"/>
  <c r="H3107" i="1"/>
  <c r="K3107" i="1"/>
  <c r="F1728" i="1"/>
  <c r="G1728" i="1"/>
  <c r="H1728" i="1"/>
  <c r="K1728" i="1"/>
  <c r="F1729" i="1"/>
  <c r="G1729" i="1"/>
  <c r="H1729" i="1"/>
  <c r="K1729" i="1"/>
  <c r="F5939" i="1"/>
  <c r="G5939" i="1"/>
  <c r="H5939" i="1"/>
  <c r="K5939" i="1"/>
  <c r="F1730" i="1"/>
  <c r="G1730" i="1"/>
  <c r="H1730" i="1"/>
  <c r="K1730" i="1"/>
  <c r="F1731" i="1"/>
  <c r="G1731" i="1"/>
  <c r="H1731" i="1"/>
  <c r="K1731" i="1"/>
  <c r="F1732" i="1"/>
  <c r="G1732" i="1"/>
  <c r="H1732" i="1"/>
  <c r="K1732" i="1"/>
  <c r="F1733" i="1"/>
  <c r="G1733" i="1"/>
  <c r="H1733" i="1"/>
  <c r="K1733" i="1"/>
  <c r="F1734" i="1"/>
  <c r="G1734" i="1"/>
  <c r="H1734" i="1"/>
  <c r="K1734" i="1"/>
  <c r="F1735" i="1"/>
  <c r="G1735" i="1"/>
  <c r="H1735" i="1"/>
  <c r="K1735" i="1"/>
  <c r="F1736" i="1"/>
  <c r="G1736" i="1"/>
  <c r="H1736" i="1"/>
  <c r="K1736" i="1"/>
  <c r="F1737" i="1"/>
  <c r="G1737" i="1"/>
  <c r="H1737" i="1"/>
  <c r="K1737" i="1"/>
  <c r="F3108" i="1"/>
  <c r="G3108" i="1"/>
  <c r="H3108" i="1"/>
  <c r="K3108" i="1"/>
  <c r="F4579" i="1"/>
  <c r="G4579" i="1"/>
  <c r="H4579" i="1"/>
  <c r="K4579" i="1"/>
  <c r="F1738" i="1"/>
  <c r="G1738" i="1"/>
  <c r="H1738" i="1"/>
  <c r="K1738" i="1"/>
  <c r="F7448" i="1"/>
  <c r="G7448" i="1"/>
  <c r="H7448" i="1"/>
  <c r="K7448" i="1"/>
  <c r="F5940" i="1"/>
  <c r="G5940" i="1"/>
  <c r="H5940" i="1"/>
  <c r="K5940" i="1"/>
  <c r="F1739" i="1"/>
  <c r="G1739" i="1"/>
  <c r="H1739" i="1"/>
  <c r="K1739" i="1"/>
  <c r="F1740" i="1"/>
  <c r="G1740" i="1"/>
  <c r="H1740" i="1"/>
  <c r="K1740" i="1"/>
  <c r="F1741" i="1"/>
  <c r="G1741" i="1"/>
  <c r="H1741" i="1"/>
  <c r="K1741" i="1"/>
  <c r="F7449" i="1"/>
  <c r="G7449" i="1"/>
  <c r="H7449" i="1"/>
  <c r="K7449" i="1"/>
  <c r="F7450" i="1"/>
  <c r="G7450" i="1"/>
  <c r="H7450" i="1"/>
  <c r="K7450" i="1"/>
  <c r="F5941" i="1"/>
  <c r="G5941" i="1"/>
  <c r="H5941" i="1"/>
  <c r="K5941" i="1"/>
  <c r="F1742" i="1"/>
  <c r="G1742" i="1"/>
  <c r="H1742" i="1"/>
  <c r="K1742" i="1"/>
  <c r="F3109" i="1"/>
  <c r="G3109" i="1"/>
  <c r="H3109" i="1"/>
  <c r="K3109" i="1"/>
  <c r="F4580" i="1"/>
  <c r="G4580" i="1"/>
  <c r="H4580" i="1"/>
  <c r="K4580" i="1"/>
  <c r="F1743" i="1"/>
  <c r="G1743" i="1"/>
  <c r="H1743" i="1"/>
  <c r="K1743" i="1"/>
  <c r="F4581" i="1"/>
  <c r="G4581" i="1"/>
  <c r="H4581" i="1"/>
  <c r="K4581" i="1"/>
  <c r="F1744" i="1"/>
  <c r="G1744" i="1"/>
  <c r="H1744" i="1"/>
  <c r="K1744" i="1"/>
  <c r="F4582" i="1"/>
  <c r="G4582" i="1"/>
  <c r="H4582" i="1"/>
  <c r="K4582" i="1"/>
  <c r="F4583" i="1"/>
  <c r="G4583" i="1"/>
  <c r="H4583" i="1"/>
  <c r="K4583" i="1"/>
  <c r="F1745" i="1"/>
  <c r="G1745" i="1"/>
  <c r="H1745" i="1"/>
  <c r="K1745" i="1"/>
  <c r="F4584" i="1"/>
  <c r="G4584" i="1"/>
  <c r="H4584" i="1"/>
  <c r="K4584" i="1"/>
  <c r="F1746" i="1"/>
  <c r="G1746" i="1"/>
  <c r="H1746" i="1"/>
  <c r="K1746" i="1"/>
  <c r="F1747" i="1"/>
  <c r="G1747" i="1"/>
  <c r="H1747" i="1"/>
  <c r="K1747" i="1"/>
  <c r="F4585" i="1"/>
  <c r="G4585" i="1"/>
  <c r="H4585" i="1"/>
  <c r="K4585" i="1"/>
  <c r="F7451" i="1"/>
  <c r="G7451" i="1"/>
  <c r="H7451" i="1"/>
  <c r="K7451" i="1"/>
  <c r="F4586" i="1"/>
  <c r="G4586" i="1"/>
  <c r="H4586" i="1"/>
  <c r="K4586" i="1"/>
  <c r="F4587" i="1"/>
  <c r="G4587" i="1"/>
  <c r="H4587" i="1"/>
  <c r="K4587" i="1"/>
  <c r="F5942" i="1"/>
  <c r="G5942" i="1"/>
  <c r="H5942" i="1"/>
  <c r="K5942" i="1"/>
  <c r="F5943" i="1"/>
  <c r="G5943" i="1"/>
  <c r="H5943" i="1"/>
  <c r="K5943" i="1"/>
  <c r="F7452" i="1"/>
  <c r="G7452" i="1"/>
  <c r="H7452" i="1"/>
  <c r="K7452" i="1"/>
  <c r="F4588" i="1"/>
  <c r="G4588" i="1"/>
  <c r="H4588" i="1"/>
  <c r="K4588" i="1"/>
  <c r="F5944" i="1"/>
  <c r="G5944" i="1"/>
  <c r="H5944" i="1"/>
  <c r="K5944" i="1"/>
  <c r="F1748" i="1"/>
  <c r="G1748" i="1"/>
  <c r="H1748" i="1"/>
  <c r="K1748" i="1"/>
  <c r="F1749" i="1"/>
  <c r="G1749" i="1"/>
  <c r="H1749" i="1"/>
  <c r="K1749" i="1"/>
  <c r="F1750" i="1"/>
  <c r="G1750" i="1"/>
  <c r="H1750" i="1"/>
  <c r="K1750" i="1"/>
  <c r="F5945" i="1"/>
  <c r="G5945" i="1"/>
  <c r="H5945" i="1"/>
  <c r="K5945" i="1"/>
  <c r="F1751" i="1"/>
  <c r="G1751" i="1"/>
  <c r="H1751" i="1"/>
  <c r="K1751" i="1"/>
  <c r="F4589" i="1"/>
  <c r="G4589" i="1"/>
  <c r="H4589" i="1"/>
  <c r="K4589" i="1"/>
  <c r="F3110" i="1"/>
  <c r="G3110" i="1"/>
  <c r="H3110" i="1"/>
  <c r="K3110" i="1"/>
  <c r="F3111" i="1"/>
  <c r="G3111" i="1"/>
  <c r="H3111" i="1"/>
  <c r="K3111" i="1"/>
  <c r="F3112" i="1"/>
  <c r="G3112" i="1"/>
  <c r="H3112" i="1"/>
  <c r="K3112" i="1"/>
  <c r="F3113" i="1"/>
  <c r="G3113" i="1"/>
  <c r="H3113" i="1"/>
  <c r="K3113" i="1"/>
  <c r="F5946" i="1"/>
  <c r="G5946" i="1"/>
  <c r="H5946" i="1"/>
  <c r="K5946" i="1"/>
  <c r="F1752" i="1"/>
  <c r="G1752" i="1"/>
  <c r="H1752" i="1"/>
  <c r="K1752" i="1"/>
  <c r="F1753" i="1"/>
  <c r="G1753" i="1"/>
  <c r="H1753" i="1"/>
  <c r="K1753" i="1"/>
  <c r="F1754" i="1"/>
  <c r="G1754" i="1"/>
  <c r="H1754" i="1"/>
  <c r="K1754" i="1"/>
  <c r="F4590" i="1"/>
  <c r="G4590" i="1"/>
  <c r="H4590" i="1"/>
  <c r="K4590" i="1"/>
  <c r="F4591" i="1"/>
  <c r="G4591" i="1"/>
  <c r="H4591" i="1"/>
  <c r="K4591" i="1"/>
  <c r="F4592" i="1"/>
  <c r="G4592" i="1"/>
  <c r="H4592" i="1"/>
  <c r="K4592" i="1"/>
  <c r="F7453" i="1"/>
  <c r="G7453" i="1"/>
  <c r="H7453" i="1"/>
  <c r="K7453" i="1"/>
  <c r="F7454" i="1"/>
  <c r="G7454" i="1"/>
  <c r="H7454" i="1"/>
  <c r="K7454" i="1"/>
  <c r="F7455" i="1"/>
  <c r="G7455" i="1"/>
  <c r="H7455" i="1"/>
  <c r="K7455" i="1"/>
  <c r="F4593" i="1"/>
  <c r="G4593" i="1"/>
  <c r="H4593" i="1"/>
  <c r="K4593" i="1"/>
  <c r="F7456" i="1"/>
  <c r="G7456" i="1"/>
  <c r="H7456" i="1"/>
  <c r="K7456" i="1"/>
  <c r="F7457" i="1"/>
  <c r="G7457" i="1"/>
  <c r="H7457" i="1"/>
  <c r="K7457" i="1"/>
  <c r="F7458" i="1"/>
  <c r="G7458" i="1"/>
  <c r="H7458" i="1"/>
  <c r="K7458" i="1"/>
  <c r="F1755" i="1"/>
  <c r="G1755" i="1"/>
  <c r="H1755" i="1"/>
  <c r="K1755" i="1"/>
  <c r="F7459" i="1"/>
  <c r="G7459" i="1"/>
  <c r="H7459" i="1"/>
  <c r="K7459" i="1"/>
  <c r="F1756" i="1"/>
  <c r="G1756" i="1"/>
  <c r="H1756" i="1"/>
  <c r="K1756" i="1"/>
  <c r="F7460" i="1"/>
  <c r="G7460" i="1"/>
  <c r="H7460" i="1"/>
  <c r="K7460" i="1"/>
  <c r="F7461" i="1"/>
  <c r="G7461" i="1"/>
  <c r="H7461" i="1"/>
  <c r="K7461" i="1"/>
  <c r="F1757" i="1"/>
  <c r="G1757" i="1"/>
  <c r="H1757" i="1"/>
  <c r="K1757" i="1"/>
  <c r="F4594" i="1"/>
  <c r="G4594" i="1"/>
  <c r="H4594" i="1"/>
  <c r="K4594" i="1"/>
  <c r="F5947" i="1"/>
  <c r="G5947" i="1"/>
  <c r="H5947" i="1"/>
  <c r="K5947" i="1"/>
  <c r="F4595" i="1"/>
  <c r="G4595" i="1"/>
  <c r="H4595" i="1"/>
  <c r="K4595" i="1"/>
  <c r="F7462" i="1"/>
  <c r="G7462" i="1"/>
  <c r="H7462" i="1"/>
  <c r="K7462" i="1"/>
  <c r="F3114" i="1"/>
  <c r="G3114" i="1"/>
  <c r="H3114" i="1"/>
  <c r="K3114" i="1"/>
  <c r="F1758" i="1"/>
  <c r="G1758" i="1"/>
  <c r="H1758" i="1"/>
  <c r="K1758" i="1"/>
  <c r="F7463" i="1"/>
  <c r="G7463" i="1"/>
  <c r="H7463" i="1"/>
  <c r="K7463" i="1"/>
  <c r="F7464" i="1"/>
  <c r="G7464" i="1"/>
  <c r="H7464" i="1"/>
  <c r="K7464" i="1"/>
  <c r="F5948" i="1"/>
  <c r="G5948" i="1"/>
  <c r="H5948" i="1"/>
  <c r="K5948" i="1"/>
  <c r="F1759" i="1"/>
  <c r="G1759" i="1"/>
  <c r="H1759" i="1"/>
  <c r="K1759" i="1"/>
  <c r="F4596" i="1"/>
  <c r="G4596" i="1"/>
  <c r="H4596" i="1"/>
  <c r="K4596" i="1"/>
  <c r="F4597" i="1"/>
  <c r="G4597" i="1"/>
  <c r="H4597" i="1"/>
  <c r="K4597" i="1"/>
  <c r="F5949" i="1"/>
  <c r="G5949" i="1"/>
  <c r="H5949" i="1"/>
  <c r="K5949" i="1"/>
  <c r="F4598" i="1"/>
  <c r="G4598" i="1"/>
  <c r="H4598" i="1"/>
  <c r="K4598" i="1"/>
  <c r="F7465" i="1"/>
  <c r="G7465" i="1"/>
  <c r="H7465" i="1"/>
  <c r="K7465" i="1"/>
  <c r="F5950" i="1"/>
  <c r="G5950" i="1"/>
  <c r="H5950" i="1"/>
  <c r="K5950" i="1"/>
  <c r="F4599" i="1"/>
  <c r="G4599" i="1"/>
  <c r="H4599" i="1"/>
  <c r="K4599" i="1"/>
  <c r="F7466" i="1"/>
  <c r="G7466" i="1"/>
  <c r="H7466" i="1"/>
  <c r="K7466" i="1"/>
  <c r="F7467" i="1"/>
  <c r="G7467" i="1"/>
  <c r="H7467" i="1"/>
  <c r="K7467" i="1"/>
  <c r="F7468" i="1"/>
  <c r="G7468" i="1"/>
  <c r="H7468" i="1"/>
  <c r="K7468" i="1"/>
  <c r="F3115" i="1"/>
  <c r="G3115" i="1"/>
  <c r="H3115" i="1"/>
  <c r="K3115" i="1"/>
  <c r="F3116" i="1"/>
  <c r="G3116" i="1"/>
  <c r="H3116" i="1"/>
  <c r="K3116" i="1"/>
  <c r="F7469" i="1"/>
  <c r="G7469" i="1"/>
  <c r="H7469" i="1"/>
  <c r="K7469" i="1"/>
  <c r="F7470" i="1"/>
  <c r="G7470" i="1"/>
  <c r="H7470" i="1"/>
  <c r="K7470" i="1"/>
  <c r="F7471" i="1"/>
  <c r="G7471" i="1"/>
  <c r="H7471" i="1"/>
  <c r="K7471" i="1"/>
  <c r="F7472" i="1"/>
  <c r="G7472" i="1"/>
  <c r="H7472" i="1"/>
  <c r="K7472" i="1"/>
  <c r="F7473" i="1"/>
  <c r="G7473" i="1"/>
  <c r="H7473" i="1"/>
  <c r="K7473" i="1"/>
  <c r="F3117" i="1"/>
  <c r="G3117" i="1"/>
  <c r="H3117" i="1"/>
  <c r="K3117" i="1"/>
  <c r="F4600" i="1"/>
  <c r="G4600" i="1"/>
  <c r="H4600" i="1"/>
  <c r="K4600" i="1"/>
  <c r="F1760" i="1"/>
  <c r="G1760" i="1"/>
  <c r="H1760" i="1"/>
  <c r="K1760" i="1"/>
  <c r="F7474" i="1"/>
  <c r="G7474" i="1"/>
  <c r="H7474" i="1"/>
  <c r="K7474" i="1"/>
  <c r="F5951" i="1"/>
  <c r="G5951" i="1"/>
  <c r="H5951" i="1"/>
  <c r="K5951" i="1"/>
  <c r="F5952" i="1"/>
  <c r="G5952" i="1"/>
  <c r="H5952" i="1"/>
  <c r="K5952" i="1"/>
  <c r="F1761" i="1"/>
  <c r="G1761" i="1"/>
  <c r="H1761" i="1"/>
  <c r="K1761" i="1"/>
  <c r="F3118" i="1"/>
  <c r="G3118" i="1"/>
  <c r="H3118" i="1"/>
  <c r="K3118" i="1"/>
  <c r="F1762" i="1"/>
  <c r="G1762" i="1"/>
  <c r="H1762" i="1"/>
  <c r="K1762" i="1"/>
  <c r="F5953" i="1"/>
  <c r="G5953" i="1"/>
  <c r="H5953" i="1"/>
  <c r="K5953" i="1"/>
  <c r="F1763" i="1"/>
  <c r="G1763" i="1"/>
  <c r="H1763" i="1"/>
  <c r="K1763" i="1"/>
  <c r="F1764" i="1"/>
  <c r="G1764" i="1"/>
  <c r="H1764" i="1"/>
  <c r="K1764" i="1"/>
  <c r="F3119" i="1"/>
  <c r="G3119" i="1"/>
  <c r="H3119" i="1"/>
  <c r="K3119" i="1"/>
  <c r="F1765" i="1"/>
  <c r="G1765" i="1"/>
  <c r="H1765" i="1"/>
  <c r="K1765" i="1"/>
  <c r="F1766" i="1"/>
  <c r="G1766" i="1"/>
  <c r="H1766" i="1"/>
  <c r="K1766" i="1"/>
  <c r="F4601" i="1"/>
  <c r="G4601" i="1"/>
  <c r="H4601" i="1"/>
  <c r="K4601" i="1"/>
  <c r="F1767" i="1"/>
  <c r="G1767" i="1"/>
  <c r="H1767" i="1"/>
  <c r="K1767" i="1"/>
  <c r="F1768" i="1"/>
  <c r="G1768" i="1"/>
  <c r="H1768" i="1"/>
  <c r="K1768" i="1"/>
  <c r="F1769" i="1"/>
  <c r="G1769" i="1"/>
  <c r="H1769" i="1"/>
  <c r="K1769" i="1"/>
  <c r="F4602" i="1"/>
  <c r="G4602" i="1"/>
  <c r="H4602" i="1"/>
  <c r="K4602" i="1"/>
  <c r="F1770" i="1"/>
  <c r="G1770" i="1"/>
  <c r="H1770" i="1"/>
  <c r="K1770" i="1"/>
  <c r="F1771" i="1"/>
  <c r="G1771" i="1"/>
  <c r="H1771" i="1"/>
  <c r="K1771" i="1"/>
  <c r="F3120" i="1"/>
  <c r="G3120" i="1"/>
  <c r="H3120" i="1"/>
  <c r="K3120" i="1"/>
  <c r="F1772" i="1"/>
  <c r="G1772" i="1"/>
  <c r="H1772" i="1"/>
  <c r="K1772" i="1"/>
  <c r="F3121" i="1"/>
  <c r="G3121" i="1"/>
  <c r="H3121" i="1"/>
  <c r="K3121" i="1"/>
  <c r="F1773" i="1"/>
  <c r="G1773" i="1"/>
  <c r="H1773" i="1"/>
  <c r="K1773" i="1"/>
  <c r="F1774" i="1"/>
  <c r="G1774" i="1"/>
  <c r="H1774" i="1"/>
  <c r="K1774" i="1"/>
  <c r="F1775" i="1"/>
  <c r="G1775" i="1"/>
  <c r="H1775" i="1"/>
  <c r="K1775" i="1"/>
  <c r="F5954" i="1"/>
  <c r="G5954" i="1"/>
  <c r="H5954" i="1"/>
  <c r="K5954" i="1"/>
  <c r="F7475" i="1"/>
  <c r="G7475" i="1"/>
  <c r="H7475" i="1"/>
  <c r="K7475" i="1"/>
  <c r="F4603" i="1"/>
  <c r="G4603" i="1"/>
  <c r="H4603" i="1"/>
  <c r="K4603" i="1"/>
  <c r="F5955" i="1"/>
  <c r="G5955" i="1"/>
  <c r="H5955" i="1"/>
  <c r="K5955" i="1"/>
  <c r="F1776" i="1"/>
  <c r="G1776" i="1"/>
  <c r="H1776" i="1"/>
  <c r="K1776" i="1"/>
  <c r="F1777" i="1"/>
  <c r="G1777" i="1"/>
  <c r="H1777" i="1"/>
  <c r="K1777" i="1"/>
  <c r="F7476" i="1"/>
  <c r="G7476" i="1"/>
  <c r="H7476" i="1"/>
  <c r="K7476" i="1"/>
  <c r="F3122" i="1"/>
  <c r="G3122" i="1"/>
  <c r="H3122" i="1"/>
  <c r="K3122" i="1"/>
  <c r="F3123" i="1"/>
  <c r="G3123" i="1"/>
  <c r="H3123" i="1"/>
  <c r="K3123" i="1"/>
  <c r="F1778" i="1"/>
  <c r="G1778" i="1"/>
  <c r="H1778" i="1"/>
  <c r="K1778" i="1"/>
  <c r="F1779" i="1"/>
  <c r="G1779" i="1"/>
  <c r="H1779" i="1"/>
  <c r="K1779" i="1"/>
  <c r="F7477" i="1"/>
  <c r="G7477" i="1"/>
  <c r="H7477" i="1"/>
  <c r="K7477" i="1"/>
  <c r="F7478" i="1"/>
  <c r="G7478" i="1"/>
  <c r="H7478" i="1"/>
  <c r="K7478" i="1"/>
  <c r="F4604" i="1"/>
  <c r="G4604" i="1"/>
  <c r="H4604" i="1"/>
  <c r="K4604" i="1"/>
  <c r="F7479" i="1"/>
  <c r="G7479" i="1"/>
  <c r="H7479" i="1"/>
  <c r="K7479" i="1"/>
  <c r="F7480" i="1"/>
  <c r="G7480" i="1"/>
  <c r="H7480" i="1"/>
  <c r="K7480" i="1"/>
  <c r="F7481" i="1"/>
  <c r="G7481" i="1"/>
  <c r="H7481" i="1"/>
  <c r="K7481" i="1"/>
  <c r="F7482" i="1"/>
  <c r="G7482" i="1"/>
  <c r="H7482" i="1"/>
  <c r="K7482" i="1"/>
  <c r="F7483" i="1"/>
  <c r="G7483" i="1"/>
  <c r="H7483" i="1"/>
  <c r="K7483" i="1"/>
  <c r="F7484" i="1"/>
  <c r="G7484" i="1"/>
  <c r="H7484" i="1"/>
  <c r="K7484" i="1"/>
  <c r="F5956" i="1"/>
  <c r="G5956" i="1"/>
  <c r="H5956" i="1"/>
  <c r="K5956" i="1"/>
  <c r="F7485" i="1"/>
  <c r="G7485" i="1"/>
  <c r="H7485" i="1"/>
  <c r="K7485" i="1"/>
  <c r="F7486" i="1"/>
  <c r="G7486" i="1"/>
  <c r="H7486" i="1"/>
  <c r="K7486" i="1"/>
  <c r="F7487" i="1"/>
  <c r="G7487" i="1"/>
  <c r="H7487" i="1"/>
  <c r="K7487" i="1"/>
  <c r="F7488" i="1"/>
  <c r="G7488" i="1"/>
  <c r="H7488" i="1"/>
  <c r="K7488" i="1"/>
  <c r="F4605" i="1"/>
  <c r="G4605" i="1"/>
  <c r="H4605" i="1"/>
  <c r="K4605" i="1"/>
  <c r="F7489" i="1"/>
  <c r="G7489" i="1"/>
  <c r="H7489" i="1"/>
  <c r="K7489" i="1"/>
  <c r="F1780" i="1"/>
  <c r="G1780" i="1"/>
  <c r="H1780" i="1"/>
  <c r="K1780" i="1"/>
  <c r="F5957" i="1"/>
  <c r="G5957" i="1"/>
  <c r="H5957" i="1"/>
  <c r="K5957" i="1"/>
  <c r="F7490" i="1"/>
  <c r="G7490" i="1"/>
  <c r="H7490" i="1"/>
  <c r="K7490" i="1"/>
  <c r="F4606" i="1"/>
  <c r="G4606" i="1"/>
  <c r="H4606" i="1"/>
  <c r="K4606" i="1"/>
  <c r="F1781" i="1"/>
  <c r="G1781" i="1"/>
  <c r="H1781" i="1"/>
  <c r="K1781" i="1"/>
  <c r="F3124" i="1"/>
  <c r="G3124" i="1"/>
  <c r="H3124" i="1"/>
  <c r="K3124" i="1"/>
  <c r="F7491" i="1"/>
  <c r="G7491" i="1"/>
  <c r="H7491" i="1"/>
  <c r="K7491" i="1"/>
  <c r="F7492" i="1"/>
  <c r="G7492" i="1"/>
  <c r="H7492" i="1"/>
  <c r="K7492" i="1"/>
  <c r="F3125" i="1"/>
  <c r="G3125" i="1"/>
  <c r="H3125" i="1"/>
  <c r="K3125" i="1"/>
  <c r="F7493" i="1"/>
  <c r="G7493" i="1"/>
  <c r="H7493" i="1"/>
  <c r="K7493" i="1"/>
  <c r="F7494" i="1"/>
  <c r="G7494" i="1"/>
  <c r="H7494" i="1"/>
  <c r="K7494" i="1"/>
  <c r="F4607" i="1"/>
  <c r="G4607" i="1"/>
  <c r="H4607" i="1"/>
  <c r="K4607" i="1"/>
  <c r="F4608" i="1"/>
  <c r="G4608" i="1"/>
  <c r="H4608" i="1"/>
  <c r="K4608" i="1"/>
  <c r="F7495" i="1"/>
  <c r="G7495" i="1"/>
  <c r="H7495" i="1"/>
  <c r="K7495" i="1"/>
  <c r="F7496" i="1"/>
  <c r="G7496" i="1"/>
  <c r="H7496" i="1"/>
  <c r="K7496" i="1"/>
  <c r="F7497" i="1"/>
  <c r="G7497" i="1"/>
  <c r="H7497" i="1"/>
  <c r="K7497" i="1"/>
  <c r="F7498" i="1"/>
  <c r="G7498" i="1"/>
  <c r="H7498" i="1"/>
  <c r="K7498" i="1"/>
  <c r="F7499" i="1"/>
  <c r="G7499" i="1"/>
  <c r="H7499" i="1"/>
  <c r="K7499" i="1"/>
  <c r="F1782" i="1"/>
  <c r="G1782" i="1"/>
  <c r="H1782" i="1"/>
  <c r="K1782" i="1"/>
  <c r="F1783" i="1"/>
  <c r="G1783" i="1"/>
  <c r="H1783" i="1"/>
  <c r="K1783" i="1"/>
  <c r="F7500" i="1"/>
  <c r="G7500" i="1"/>
  <c r="H7500" i="1"/>
  <c r="K7500" i="1"/>
  <c r="F7501" i="1"/>
  <c r="G7501" i="1"/>
  <c r="H7501" i="1"/>
  <c r="K7501" i="1"/>
  <c r="F7502" i="1"/>
  <c r="G7502" i="1"/>
  <c r="H7502" i="1"/>
  <c r="K7502" i="1"/>
  <c r="F7503" i="1"/>
  <c r="G7503" i="1"/>
  <c r="H7503" i="1"/>
  <c r="K7503" i="1"/>
  <c r="F4609" i="1"/>
  <c r="G4609" i="1"/>
  <c r="H4609" i="1"/>
  <c r="K4609" i="1"/>
  <c r="F4610" i="1"/>
  <c r="G4610" i="1"/>
  <c r="H4610" i="1"/>
  <c r="K4610" i="1"/>
  <c r="F3126" i="1"/>
  <c r="G3126" i="1"/>
  <c r="H3126" i="1"/>
  <c r="K3126" i="1"/>
  <c r="F3127" i="1"/>
  <c r="G3127" i="1"/>
  <c r="H3127" i="1"/>
  <c r="K3127" i="1"/>
  <c r="F5958" i="1"/>
  <c r="G5958" i="1"/>
  <c r="H5958" i="1"/>
  <c r="K5958" i="1"/>
  <c r="F5959" i="1"/>
  <c r="G5959" i="1"/>
  <c r="H5959" i="1"/>
  <c r="K5959" i="1"/>
  <c r="F5960" i="1"/>
  <c r="G5960" i="1"/>
  <c r="H5960" i="1"/>
  <c r="K5960" i="1"/>
  <c r="F5961" i="1"/>
  <c r="G5961" i="1"/>
  <c r="H5961" i="1"/>
  <c r="K5961" i="1"/>
  <c r="F5962" i="1"/>
  <c r="G5962" i="1"/>
  <c r="H5962" i="1"/>
  <c r="K5962" i="1"/>
  <c r="F3128" i="1"/>
  <c r="G3128" i="1"/>
  <c r="H3128" i="1"/>
  <c r="K3128" i="1"/>
  <c r="F7504" i="1"/>
  <c r="G7504" i="1"/>
  <c r="H7504" i="1"/>
  <c r="K7504" i="1"/>
  <c r="F1784" i="1"/>
  <c r="G1784" i="1"/>
  <c r="H1784" i="1"/>
  <c r="K1784" i="1"/>
  <c r="F1785" i="1"/>
  <c r="G1785" i="1"/>
  <c r="H1785" i="1"/>
  <c r="K1785" i="1"/>
  <c r="F3129" i="1"/>
  <c r="G3129" i="1"/>
  <c r="H3129" i="1"/>
  <c r="K3129" i="1"/>
  <c r="F7505" i="1"/>
  <c r="G7505" i="1"/>
  <c r="H7505" i="1"/>
  <c r="K7505" i="1"/>
  <c r="F5963" i="1"/>
  <c r="G5963" i="1"/>
  <c r="H5963" i="1"/>
  <c r="K5963" i="1"/>
  <c r="F7506" i="1"/>
  <c r="G7506" i="1"/>
  <c r="H7506" i="1"/>
  <c r="K7506" i="1"/>
  <c r="F4611" i="1"/>
  <c r="G4611" i="1"/>
  <c r="H4611" i="1"/>
  <c r="K4611" i="1"/>
  <c r="F3130" i="1"/>
  <c r="G3130" i="1"/>
  <c r="H3130" i="1"/>
  <c r="K3130" i="1"/>
  <c r="F5964" i="1"/>
  <c r="G5964" i="1"/>
  <c r="H5964" i="1"/>
  <c r="K5964" i="1"/>
  <c r="F1786" i="1"/>
  <c r="G1786" i="1"/>
  <c r="H1786" i="1"/>
  <c r="K1786" i="1"/>
  <c r="F1787" i="1"/>
  <c r="G1787" i="1"/>
  <c r="H1787" i="1"/>
  <c r="K1787" i="1"/>
  <c r="F4612" i="1"/>
  <c r="G4612" i="1"/>
  <c r="H4612" i="1"/>
  <c r="K4612" i="1"/>
  <c r="F7507" i="1"/>
  <c r="G7507" i="1"/>
  <c r="H7507" i="1"/>
  <c r="K7507" i="1"/>
  <c r="F7508" i="1"/>
  <c r="G7508" i="1"/>
  <c r="H7508" i="1"/>
  <c r="K7508" i="1"/>
  <c r="F7509" i="1"/>
  <c r="G7509" i="1"/>
  <c r="H7509" i="1"/>
  <c r="K7509" i="1"/>
  <c r="F3131" i="1"/>
  <c r="G3131" i="1"/>
  <c r="H3131" i="1"/>
  <c r="K3131" i="1"/>
  <c r="F5965" i="1"/>
  <c r="G5965" i="1"/>
  <c r="H5965" i="1"/>
  <c r="K5965" i="1"/>
  <c r="F4613" i="1"/>
  <c r="G4613" i="1"/>
  <c r="H4613" i="1"/>
  <c r="K4613" i="1"/>
  <c r="F7510" i="1"/>
  <c r="G7510" i="1"/>
  <c r="H7510" i="1"/>
  <c r="K7510" i="1"/>
  <c r="F5966" i="1"/>
  <c r="G5966" i="1"/>
  <c r="H5966" i="1"/>
  <c r="K5966" i="1"/>
  <c r="F1788" i="1"/>
  <c r="G1788" i="1"/>
  <c r="H1788" i="1"/>
  <c r="K1788" i="1"/>
  <c r="F4614" i="1"/>
  <c r="G4614" i="1"/>
  <c r="H4614" i="1"/>
  <c r="K4614" i="1"/>
  <c r="F7511" i="1"/>
  <c r="G7511" i="1"/>
  <c r="H7511" i="1"/>
  <c r="K7511" i="1"/>
  <c r="F1789" i="1"/>
  <c r="G1789" i="1"/>
  <c r="H1789" i="1"/>
  <c r="K1789" i="1"/>
  <c r="F4615" i="1"/>
  <c r="G4615" i="1"/>
  <c r="H4615" i="1"/>
  <c r="K4615" i="1"/>
  <c r="F4616" i="1"/>
  <c r="G4616" i="1"/>
  <c r="H4616" i="1"/>
  <c r="K4616" i="1"/>
  <c r="F3132" i="1"/>
  <c r="G3132" i="1"/>
  <c r="H3132" i="1"/>
  <c r="K3132" i="1"/>
  <c r="F3133" i="1"/>
  <c r="G3133" i="1"/>
  <c r="H3133" i="1"/>
  <c r="K3133" i="1"/>
  <c r="F7512" i="1"/>
  <c r="G7512" i="1"/>
  <c r="H7512" i="1"/>
  <c r="K7512" i="1"/>
  <c r="F4617" i="1"/>
  <c r="G4617" i="1"/>
  <c r="H4617" i="1"/>
  <c r="K4617" i="1"/>
  <c r="F1790" i="1"/>
  <c r="G1790" i="1"/>
  <c r="H1790" i="1"/>
  <c r="K1790" i="1"/>
  <c r="F1791" i="1"/>
  <c r="G1791" i="1"/>
  <c r="H1791" i="1"/>
  <c r="K1791" i="1"/>
  <c r="F1792" i="1"/>
  <c r="G1792" i="1"/>
  <c r="H1792" i="1"/>
  <c r="K1792" i="1"/>
  <c r="F1793" i="1"/>
  <c r="G1793" i="1"/>
  <c r="H1793" i="1"/>
  <c r="K1793" i="1"/>
  <c r="F1794" i="1"/>
  <c r="G1794" i="1"/>
  <c r="H1794" i="1"/>
  <c r="K1794" i="1"/>
  <c r="F4618" i="1"/>
  <c r="G4618" i="1"/>
  <c r="H4618" i="1"/>
  <c r="K4618" i="1"/>
  <c r="F4619" i="1"/>
  <c r="G4619" i="1"/>
  <c r="H4619" i="1"/>
  <c r="K4619" i="1"/>
  <c r="F4620" i="1"/>
  <c r="G4620" i="1"/>
  <c r="H4620" i="1"/>
  <c r="K4620" i="1"/>
  <c r="F3134" i="1"/>
  <c r="G3134" i="1"/>
  <c r="H3134" i="1"/>
  <c r="K3134" i="1"/>
  <c r="F3135" i="1"/>
  <c r="G3135" i="1"/>
  <c r="H3135" i="1"/>
  <c r="K3135" i="1"/>
  <c r="F3136" i="1"/>
  <c r="G3136" i="1"/>
  <c r="H3136" i="1"/>
  <c r="K3136" i="1"/>
  <c r="F3137" i="1"/>
  <c r="G3137" i="1"/>
  <c r="H3137" i="1"/>
  <c r="K3137" i="1"/>
  <c r="F3138" i="1"/>
  <c r="G3138" i="1"/>
  <c r="H3138" i="1"/>
  <c r="K3138" i="1"/>
  <c r="F1795" i="1"/>
  <c r="G1795" i="1"/>
  <c r="H1795" i="1"/>
  <c r="K1795" i="1"/>
  <c r="F1796" i="1"/>
  <c r="G1796" i="1"/>
  <c r="H1796" i="1"/>
  <c r="K1796" i="1"/>
  <c r="F3139" i="1"/>
  <c r="G3139" i="1"/>
  <c r="H3139" i="1"/>
  <c r="K3139" i="1"/>
  <c r="F1797" i="1"/>
  <c r="G1797" i="1"/>
  <c r="H1797" i="1"/>
  <c r="K1797" i="1"/>
  <c r="F3140" i="1"/>
  <c r="G3140" i="1"/>
  <c r="H3140" i="1"/>
  <c r="K3140" i="1"/>
  <c r="F1798" i="1"/>
  <c r="G1798" i="1"/>
  <c r="H1798" i="1"/>
  <c r="K1798" i="1"/>
  <c r="F3141" i="1"/>
  <c r="G3141" i="1"/>
  <c r="H3141" i="1"/>
  <c r="K3141" i="1"/>
  <c r="F3142" i="1"/>
  <c r="G3142" i="1"/>
  <c r="H3142" i="1"/>
  <c r="K3142" i="1"/>
  <c r="F1799" i="1"/>
  <c r="G1799" i="1"/>
  <c r="H1799" i="1"/>
  <c r="K1799" i="1"/>
  <c r="F1800" i="1"/>
  <c r="G1800" i="1"/>
  <c r="H1800" i="1"/>
  <c r="K1800" i="1"/>
  <c r="F1801" i="1"/>
  <c r="G1801" i="1"/>
  <c r="H1801" i="1"/>
  <c r="K1801" i="1"/>
  <c r="F1802" i="1"/>
  <c r="G1802" i="1"/>
  <c r="H1802" i="1"/>
  <c r="K1802" i="1"/>
  <c r="F1803" i="1"/>
  <c r="G1803" i="1"/>
  <c r="H1803" i="1"/>
  <c r="K1803" i="1"/>
  <c r="F1804" i="1"/>
  <c r="G1804" i="1"/>
  <c r="H1804" i="1"/>
  <c r="K1804" i="1"/>
  <c r="F1805" i="1"/>
  <c r="G1805" i="1"/>
  <c r="H1805" i="1"/>
  <c r="K1805" i="1"/>
  <c r="F1806" i="1"/>
  <c r="G1806" i="1"/>
  <c r="H1806" i="1"/>
  <c r="K1806" i="1"/>
  <c r="F1807" i="1"/>
  <c r="G1807" i="1"/>
  <c r="H1807" i="1"/>
  <c r="K1807" i="1"/>
  <c r="F1808" i="1"/>
  <c r="G1808" i="1"/>
  <c r="H1808" i="1"/>
  <c r="K1808" i="1"/>
  <c r="F1809" i="1"/>
  <c r="G1809" i="1"/>
  <c r="H1809" i="1"/>
  <c r="K1809" i="1"/>
  <c r="F7513" i="1"/>
  <c r="G7513" i="1"/>
  <c r="H7513" i="1"/>
  <c r="K7513" i="1"/>
  <c r="F7514" i="1"/>
  <c r="G7514" i="1"/>
  <c r="H7514" i="1"/>
  <c r="K7514" i="1"/>
  <c r="F1810" i="1"/>
  <c r="G1810" i="1"/>
  <c r="H1810" i="1"/>
  <c r="K1810" i="1"/>
  <c r="F1811" i="1"/>
  <c r="G1811" i="1"/>
  <c r="H1811" i="1"/>
  <c r="K1811" i="1"/>
  <c r="F5967" i="1"/>
  <c r="G5967" i="1"/>
  <c r="H5967" i="1"/>
  <c r="K5967" i="1"/>
  <c r="F1812" i="1"/>
  <c r="G1812" i="1"/>
  <c r="H1812" i="1"/>
  <c r="K1812" i="1"/>
  <c r="F3143" i="1"/>
  <c r="G3143" i="1"/>
  <c r="H3143" i="1"/>
  <c r="K3143" i="1"/>
  <c r="F3144" i="1"/>
  <c r="G3144" i="1"/>
  <c r="H3144" i="1"/>
  <c r="K3144" i="1"/>
  <c r="F1813" i="1"/>
  <c r="G1813" i="1"/>
  <c r="H1813" i="1"/>
  <c r="K1813" i="1"/>
  <c r="F3145" i="1"/>
  <c r="G3145" i="1"/>
  <c r="H3145" i="1"/>
  <c r="K3145" i="1"/>
  <c r="F3146" i="1"/>
  <c r="G3146" i="1"/>
  <c r="H3146" i="1"/>
  <c r="K3146" i="1"/>
  <c r="F1814" i="1"/>
  <c r="G1814" i="1"/>
  <c r="H1814" i="1"/>
  <c r="K1814" i="1"/>
  <c r="F1815" i="1"/>
  <c r="G1815" i="1"/>
  <c r="H1815" i="1"/>
  <c r="K1815" i="1"/>
  <c r="F3147" i="1"/>
  <c r="G3147" i="1"/>
  <c r="H3147" i="1"/>
  <c r="K3147" i="1"/>
  <c r="F3148" i="1"/>
  <c r="G3148" i="1"/>
  <c r="H3148" i="1"/>
  <c r="K3148" i="1"/>
  <c r="F7515" i="1"/>
  <c r="G7515" i="1"/>
  <c r="H7515" i="1"/>
  <c r="K7515" i="1"/>
  <c r="F7516" i="1"/>
  <c r="G7516" i="1"/>
  <c r="H7516" i="1"/>
  <c r="K7516" i="1"/>
  <c r="F1816" i="1"/>
  <c r="G1816" i="1"/>
  <c r="H1816" i="1"/>
  <c r="K1816" i="1"/>
  <c r="F1817" i="1"/>
  <c r="G1817" i="1"/>
  <c r="H1817" i="1"/>
  <c r="K1817" i="1"/>
  <c r="F1818" i="1"/>
  <c r="G1818" i="1"/>
  <c r="H1818" i="1"/>
  <c r="K1818" i="1"/>
  <c r="F1819" i="1"/>
  <c r="G1819" i="1"/>
  <c r="H1819" i="1"/>
  <c r="K1819" i="1"/>
  <c r="F7517" i="1"/>
  <c r="G7517" i="1"/>
  <c r="H7517" i="1"/>
  <c r="K7517" i="1"/>
  <c r="F5968" i="1"/>
  <c r="G5968" i="1"/>
  <c r="H5968" i="1"/>
  <c r="K5968" i="1"/>
  <c r="F4621" i="1"/>
  <c r="G4621" i="1"/>
  <c r="H4621" i="1"/>
  <c r="K4621" i="1"/>
  <c r="F4622" i="1"/>
  <c r="G4622" i="1"/>
  <c r="H4622" i="1"/>
  <c r="K4622" i="1"/>
  <c r="F1820" i="1"/>
  <c r="G1820" i="1"/>
  <c r="H1820" i="1"/>
  <c r="K1820" i="1"/>
  <c r="F1821" i="1"/>
  <c r="G1821" i="1"/>
  <c r="H1821" i="1"/>
  <c r="K1821" i="1"/>
  <c r="F1822" i="1"/>
  <c r="G1822" i="1"/>
  <c r="H1822" i="1"/>
  <c r="K1822" i="1"/>
  <c r="F4623" i="1"/>
  <c r="G4623" i="1"/>
  <c r="H4623" i="1"/>
  <c r="K4623" i="1"/>
  <c r="F1823" i="1"/>
  <c r="G1823" i="1"/>
  <c r="H1823" i="1"/>
  <c r="K1823" i="1"/>
  <c r="F1824" i="1"/>
  <c r="G1824" i="1"/>
  <c r="H1824" i="1"/>
  <c r="K1824" i="1"/>
  <c r="F3149" i="1"/>
  <c r="G3149" i="1"/>
  <c r="H3149" i="1"/>
  <c r="K3149" i="1"/>
  <c r="F7518" i="1"/>
  <c r="G7518" i="1"/>
  <c r="H7518" i="1"/>
  <c r="K7518" i="1"/>
  <c r="F4624" i="1"/>
  <c r="G4624" i="1"/>
  <c r="H4624" i="1"/>
  <c r="K4624" i="1"/>
  <c r="F1825" i="1"/>
  <c r="G1825" i="1"/>
  <c r="H1825" i="1"/>
  <c r="K1825" i="1"/>
  <c r="F1826" i="1"/>
  <c r="G1826" i="1"/>
  <c r="H1826" i="1"/>
  <c r="K1826" i="1"/>
  <c r="F5969" i="1"/>
  <c r="G5969" i="1"/>
  <c r="H5969" i="1"/>
  <c r="K5969" i="1"/>
  <c r="F1827" i="1"/>
  <c r="G1827" i="1"/>
  <c r="H1827" i="1"/>
  <c r="K1827" i="1"/>
  <c r="F1828" i="1"/>
  <c r="G1828" i="1"/>
  <c r="H1828" i="1"/>
  <c r="K1828" i="1"/>
  <c r="F4625" i="1"/>
  <c r="G4625" i="1"/>
  <c r="H4625" i="1"/>
  <c r="K4625" i="1"/>
  <c r="F1829" i="1"/>
  <c r="G1829" i="1"/>
  <c r="H1829" i="1"/>
  <c r="K1829" i="1"/>
  <c r="F7519" i="1"/>
  <c r="G7519" i="1"/>
  <c r="H7519" i="1"/>
  <c r="K7519" i="1"/>
  <c r="F1830" i="1"/>
  <c r="G1830" i="1"/>
  <c r="H1830" i="1"/>
  <c r="K1830" i="1"/>
  <c r="F7520" i="1"/>
  <c r="G7520" i="1"/>
  <c r="H7520" i="1"/>
  <c r="K7520" i="1"/>
  <c r="F5970" i="1"/>
  <c r="G5970" i="1"/>
  <c r="H5970" i="1"/>
  <c r="K5970" i="1"/>
  <c r="F7521" i="1"/>
  <c r="G7521" i="1"/>
  <c r="H7521" i="1"/>
  <c r="K7521" i="1"/>
  <c r="F1831" i="1"/>
  <c r="G1831" i="1"/>
  <c r="H1831" i="1"/>
  <c r="K1831" i="1"/>
  <c r="F7522" i="1"/>
  <c r="G7522" i="1"/>
  <c r="H7522" i="1"/>
  <c r="K7522" i="1"/>
  <c r="F1832" i="1"/>
  <c r="G1832" i="1"/>
  <c r="H1832" i="1"/>
  <c r="K1832" i="1"/>
  <c r="F7523" i="1"/>
  <c r="G7523" i="1"/>
  <c r="H7523" i="1"/>
  <c r="K7523" i="1"/>
  <c r="F3150" i="1"/>
  <c r="G3150" i="1"/>
  <c r="H3150" i="1"/>
  <c r="K3150" i="1"/>
  <c r="F7524" i="1"/>
  <c r="G7524" i="1"/>
  <c r="H7524" i="1"/>
  <c r="K7524" i="1"/>
  <c r="F5971" i="1"/>
  <c r="G5971" i="1"/>
  <c r="H5971" i="1"/>
  <c r="K5971" i="1"/>
  <c r="F7525" i="1"/>
  <c r="G7525" i="1"/>
  <c r="H7525" i="1"/>
  <c r="K7525" i="1"/>
  <c r="F5972" i="1"/>
  <c r="G5972" i="1"/>
  <c r="H5972" i="1"/>
  <c r="K5972" i="1"/>
  <c r="F5973" i="1"/>
  <c r="G5973" i="1"/>
  <c r="H5973" i="1"/>
  <c r="K5973" i="1"/>
  <c r="F5974" i="1"/>
  <c r="G5974" i="1"/>
  <c r="H5974" i="1"/>
  <c r="K5974" i="1"/>
  <c r="F5975" i="1"/>
  <c r="G5975" i="1"/>
  <c r="H5975" i="1"/>
  <c r="K5975" i="1"/>
  <c r="F3151" i="1"/>
  <c r="G3151" i="1"/>
  <c r="H3151" i="1"/>
  <c r="K3151" i="1"/>
  <c r="F1833" i="1"/>
  <c r="G1833" i="1"/>
  <c r="H1833" i="1"/>
  <c r="K1833" i="1"/>
  <c r="F4626" i="1"/>
  <c r="G4626" i="1"/>
  <c r="H4626" i="1"/>
  <c r="K4626" i="1"/>
  <c r="F1834" i="1"/>
  <c r="G1834" i="1"/>
  <c r="H1834" i="1"/>
  <c r="K1834" i="1"/>
  <c r="F7526" i="1"/>
  <c r="G7526" i="1"/>
  <c r="H7526" i="1"/>
  <c r="K7526" i="1"/>
  <c r="F5976" i="1"/>
  <c r="G5976" i="1"/>
  <c r="H5976" i="1"/>
  <c r="K5976" i="1"/>
  <c r="F3152" i="1"/>
  <c r="G3152" i="1"/>
  <c r="H3152" i="1"/>
  <c r="K3152" i="1"/>
  <c r="F7527" i="1"/>
  <c r="G7527" i="1"/>
  <c r="H7527" i="1"/>
  <c r="K7527" i="1"/>
  <c r="F5977" i="1"/>
  <c r="G5977" i="1"/>
  <c r="H5977" i="1"/>
  <c r="K5977" i="1"/>
  <c r="F7528" i="1"/>
  <c r="G7528" i="1"/>
  <c r="H7528" i="1"/>
  <c r="K7528" i="1"/>
  <c r="F5978" i="1"/>
  <c r="G5978" i="1"/>
  <c r="H5978" i="1"/>
  <c r="K5978" i="1"/>
  <c r="F1835" i="1"/>
  <c r="G1835" i="1"/>
  <c r="H1835" i="1"/>
  <c r="K1835" i="1"/>
  <c r="F7529" i="1"/>
  <c r="G7529" i="1"/>
  <c r="H7529" i="1"/>
  <c r="K7529" i="1"/>
  <c r="F4627" i="1"/>
  <c r="G4627" i="1"/>
  <c r="H4627" i="1"/>
  <c r="K4627" i="1"/>
  <c r="F7530" i="1"/>
  <c r="G7530" i="1"/>
  <c r="H7530" i="1"/>
  <c r="K7530" i="1"/>
  <c r="F1836" i="1"/>
  <c r="G1836" i="1"/>
  <c r="H1836" i="1"/>
  <c r="K1836" i="1"/>
  <c r="F7531" i="1"/>
  <c r="G7531" i="1"/>
  <c r="H7531" i="1"/>
  <c r="K7531" i="1"/>
  <c r="F1837" i="1"/>
  <c r="G1837" i="1"/>
  <c r="H1837" i="1"/>
  <c r="K1837" i="1"/>
  <c r="F4628" i="1"/>
  <c r="G4628" i="1"/>
  <c r="H4628" i="1"/>
  <c r="K4628" i="1"/>
  <c r="F7532" i="1"/>
  <c r="G7532" i="1"/>
  <c r="H7532" i="1"/>
  <c r="K7532" i="1"/>
  <c r="F7533" i="1"/>
  <c r="G7533" i="1"/>
  <c r="H7533" i="1"/>
  <c r="K7533" i="1"/>
  <c r="F4629" i="1"/>
  <c r="G4629" i="1"/>
  <c r="H4629" i="1"/>
  <c r="K4629" i="1"/>
  <c r="F7534" i="1"/>
  <c r="G7534" i="1"/>
  <c r="H7534" i="1"/>
  <c r="K7534" i="1"/>
  <c r="F1838" i="1"/>
  <c r="G1838" i="1"/>
  <c r="H1838" i="1"/>
  <c r="K1838" i="1"/>
  <c r="F7535" i="1"/>
  <c r="G7535" i="1"/>
  <c r="H7535" i="1"/>
  <c r="K7535" i="1"/>
  <c r="F3153" i="1"/>
  <c r="G3153" i="1"/>
  <c r="H3153" i="1"/>
  <c r="K3153" i="1"/>
  <c r="F3154" i="1"/>
  <c r="G3154" i="1"/>
  <c r="H3154" i="1"/>
  <c r="K3154" i="1"/>
  <c r="F7536" i="1"/>
  <c r="G7536" i="1"/>
  <c r="H7536" i="1"/>
  <c r="K7536" i="1"/>
  <c r="F1839" i="1"/>
  <c r="G1839" i="1"/>
  <c r="H1839" i="1"/>
  <c r="K1839" i="1"/>
  <c r="F7537" i="1"/>
  <c r="G7537" i="1"/>
  <c r="H7537" i="1"/>
  <c r="K7537" i="1"/>
  <c r="F5979" i="1"/>
  <c r="G5979" i="1"/>
  <c r="H5979" i="1"/>
  <c r="K5979" i="1"/>
  <c r="F1840" i="1"/>
  <c r="G1840" i="1"/>
  <c r="H1840" i="1"/>
  <c r="K1840" i="1"/>
  <c r="F1841" i="1"/>
  <c r="G1841" i="1"/>
  <c r="H1841" i="1"/>
  <c r="K1841" i="1"/>
  <c r="F1842" i="1"/>
  <c r="G1842" i="1"/>
  <c r="H1842" i="1"/>
  <c r="K1842" i="1"/>
  <c r="F1843" i="1"/>
  <c r="G1843" i="1"/>
  <c r="H1843" i="1"/>
  <c r="K1843" i="1"/>
  <c r="F4630" i="1"/>
  <c r="G4630" i="1"/>
  <c r="H4630" i="1"/>
  <c r="K4630" i="1"/>
  <c r="F1844" i="1"/>
  <c r="G1844" i="1"/>
  <c r="H1844" i="1"/>
  <c r="K1844" i="1"/>
  <c r="F1845" i="1"/>
  <c r="G1845" i="1"/>
  <c r="H1845" i="1"/>
  <c r="K1845" i="1"/>
  <c r="F7538" i="1"/>
  <c r="G7538" i="1"/>
  <c r="H7538" i="1"/>
  <c r="K7538" i="1"/>
  <c r="F3155" i="1"/>
  <c r="G3155" i="1"/>
  <c r="H3155" i="1"/>
  <c r="K3155" i="1"/>
  <c r="F4631" i="1"/>
  <c r="G4631" i="1"/>
  <c r="H4631" i="1"/>
  <c r="K4631" i="1"/>
  <c r="F4632" i="1"/>
  <c r="G4632" i="1"/>
  <c r="H4632" i="1"/>
  <c r="K4632" i="1"/>
  <c r="F7539" i="1"/>
  <c r="G7539" i="1"/>
  <c r="H7539" i="1"/>
  <c r="K7539" i="1"/>
  <c r="F7540" i="1"/>
  <c r="G7540" i="1"/>
  <c r="H7540" i="1"/>
  <c r="K7540" i="1"/>
  <c r="F4633" i="1"/>
  <c r="G4633" i="1"/>
  <c r="H4633" i="1"/>
  <c r="K4633" i="1"/>
  <c r="F4634" i="1"/>
  <c r="G4634" i="1"/>
  <c r="H4634" i="1"/>
  <c r="K4634" i="1"/>
  <c r="F4635" i="1"/>
  <c r="G4635" i="1"/>
  <c r="H4635" i="1"/>
  <c r="K4635" i="1"/>
  <c r="F4636" i="1"/>
  <c r="G4636" i="1"/>
  <c r="H4636" i="1"/>
  <c r="K4636" i="1"/>
  <c r="F4637" i="1"/>
  <c r="G4637" i="1"/>
  <c r="H4637" i="1"/>
  <c r="K4637" i="1"/>
  <c r="F4638" i="1"/>
  <c r="G4638" i="1"/>
  <c r="H4638" i="1"/>
  <c r="K4638" i="1"/>
  <c r="F4639" i="1"/>
  <c r="G4639" i="1"/>
  <c r="H4639" i="1"/>
  <c r="K4639" i="1"/>
  <c r="F3156" i="1"/>
  <c r="G3156" i="1"/>
  <c r="H3156" i="1"/>
  <c r="K3156" i="1"/>
  <c r="F1846" i="1"/>
  <c r="G1846" i="1"/>
  <c r="H1846" i="1"/>
  <c r="K1846" i="1"/>
  <c r="F7541" i="1"/>
  <c r="G7541" i="1"/>
  <c r="H7541" i="1"/>
  <c r="K7541" i="1"/>
  <c r="F1847" i="1"/>
  <c r="G1847" i="1"/>
  <c r="H1847" i="1"/>
  <c r="K1847" i="1"/>
  <c r="F1848" i="1"/>
  <c r="G1848" i="1"/>
  <c r="H1848" i="1"/>
  <c r="K1848" i="1"/>
  <c r="F1849" i="1"/>
  <c r="G1849" i="1"/>
  <c r="H1849" i="1"/>
  <c r="K1849" i="1"/>
  <c r="F4640" i="1"/>
  <c r="G4640" i="1"/>
  <c r="H4640" i="1"/>
  <c r="K4640" i="1"/>
  <c r="F4641" i="1"/>
  <c r="G4641" i="1"/>
  <c r="H4641" i="1"/>
  <c r="K4641" i="1"/>
  <c r="F4642" i="1"/>
  <c r="G4642" i="1"/>
  <c r="H4642" i="1"/>
  <c r="K4642" i="1"/>
  <c r="F4643" i="1"/>
  <c r="G4643" i="1"/>
  <c r="H4643" i="1"/>
  <c r="K4643" i="1"/>
  <c r="F4644" i="1"/>
  <c r="G4644" i="1"/>
  <c r="H4644" i="1"/>
  <c r="K4644" i="1"/>
  <c r="F4645" i="1"/>
  <c r="G4645" i="1"/>
  <c r="H4645" i="1"/>
  <c r="K4645" i="1"/>
  <c r="F4646" i="1"/>
  <c r="G4646" i="1"/>
  <c r="H4646" i="1"/>
  <c r="K4646" i="1"/>
  <c r="F1850" i="1"/>
  <c r="G1850" i="1"/>
  <c r="H1850" i="1"/>
  <c r="K1850" i="1"/>
  <c r="F7542" i="1"/>
  <c r="G7542" i="1"/>
  <c r="H7542" i="1"/>
  <c r="K7542" i="1"/>
  <c r="F4647" i="1"/>
  <c r="G4647" i="1"/>
  <c r="H4647" i="1"/>
  <c r="K4647" i="1"/>
  <c r="F4648" i="1"/>
  <c r="G4648" i="1"/>
  <c r="H4648" i="1"/>
  <c r="K4648" i="1"/>
  <c r="F7543" i="1"/>
  <c r="G7543" i="1"/>
  <c r="H7543" i="1"/>
  <c r="K7543" i="1"/>
  <c r="F1851" i="1"/>
  <c r="G1851" i="1"/>
  <c r="H1851" i="1"/>
  <c r="K1851" i="1"/>
  <c r="F1852" i="1"/>
  <c r="G1852" i="1"/>
  <c r="H1852" i="1"/>
  <c r="K1852" i="1"/>
  <c r="F5980" i="1"/>
  <c r="G5980" i="1"/>
  <c r="H5980" i="1"/>
  <c r="K5980" i="1"/>
  <c r="F4649" i="1"/>
  <c r="G4649" i="1"/>
  <c r="H4649" i="1"/>
  <c r="K4649" i="1"/>
  <c r="F4650" i="1"/>
  <c r="G4650" i="1"/>
  <c r="H4650" i="1"/>
  <c r="K4650" i="1"/>
  <c r="F5981" i="1"/>
  <c r="G5981" i="1"/>
  <c r="H5981" i="1"/>
  <c r="K5981" i="1"/>
  <c r="F7544" i="1"/>
  <c r="G7544" i="1"/>
  <c r="H7544" i="1"/>
  <c r="K7544" i="1"/>
  <c r="F7545" i="1"/>
  <c r="G7545" i="1"/>
  <c r="H7545" i="1"/>
  <c r="K7545" i="1"/>
  <c r="F1853" i="1"/>
  <c r="G1853" i="1"/>
  <c r="H1853" i="1"/>
  <c r="K1853" i="1"/>
  <c r="F4651" i="1"/>
  <c r="G4651" i="1"/>
  <c r="H4651" i="1"/>
  <c r="K4651" i="1"/>
  <c r="F3157" i="1"/>
  <c r="G3157" i="1"/>
  <c r="H3157" i="1"/>
  <c r="K3157" i="1"/>
  <c r="F1854" i="1"/>
  <c r="G1854" i="1"/>
  <c r="H1854" i="1"/>
  <c r="K1854" i="1"/>
  <c r="F1855" i="1"/>
  <c r="G1855" i="1"/>
  <c r="H1855" i="1"/>
  <c r="K1855" i="1"/>
  <c r="F3158" i="1"/>
  <c r="G3158" i="1"/>
  <c r="H3158" i="1"/>
  <c r="K3158" i="1"/>
  <c r="F4652" i="1"/>
  <c r="G4652" i="1"/>
  <c r="H4652" i="1"/>
  <c r="K4652" i="1"/>
  <c r="F1856" i="1"/>
  <c r="G1856" i="1"/>
  <c r="H1856" i="1"/>
  <c r="K1856" i="1"/>
  <c r="F1857" i="1"/>
  <c r="G1857" i="1"/>
  <c r="H1857" i="1"/>
  <c r="K1857" i="1"/>
  <c r="F1858" i="1"/>
  <c r="G1858" i="1"/>
  <c r="H1858" i="1"/>
  <c r="K1858" i="1"/>
  <c r="F4653" i="1"/>
  <c r="G4653" i="1"/>
  <c r="H4653" i="1"/>
  <c r="K4653" i="1"/>
  <c r="F1859" i="1"/>
  <c r="G1859" i="1"/>
  <c r="H1859" i="1"/>
  <c r="K1859" i="1"/>
  <c r="F1860" i="1"/>
  <c r="G1860" i="1"/>
  <c r="H1860" i="1"/>
  <c r="K1860" i="1"/>
  <c r="F3159" i="1"/>
  <c r="G3159" i="1"/>
  <c r="H3159" i="1"/>
  <c r="K3159" i="1"/>
  <c r="F3160" i="1"/>
  <c r="G3160" i="1"/>
  <c r="H3160" i="1"/>
  <c r="K3160" i="1"/>
  <c r="F3161" i="1"/>
  <c r="G3161" i="1"/>
  <c r="H3161" i="1"/>
  <c r="K3161" i="1"/>
  <c r="F3162" i="1"/>
  <c r="G3162" i="1"/>
  <c r="H3162" i="1"/>
  <c r="K3162" i="1"/>
  <c r="F3163" i="1"/>
  <c r="G3163" i="1"/>
  <c r="H3163" i="1"/>
  <c r="K3163" i="1"/>
  <c r="F3164" i="1"/>
  <c r="G3164" i="1"/>
  <c r="H3164" i="1"/>
  <c r="K3164" i="1"/>
  <c r="F3165" i="1"/>
  <c r="G3165" i="1"/>
  <c r="H3165" i="1"/>
  <c r="K3165" i="1"/>
  <c r="F4654" i="1"/>
  <c r="G4654" i="1"/>
  <c r="H4654" i="1"/>
  <c r="K4654" i="1"/>
  <c r="F4655" i="1"/>
  <c r="G4655" i="1"/>
  <c r="H4655" i="1"/>
  <c r="K4655" i="1"/>
  <c r="F4656" i="1"/>
  <c r="G4656" i="1"/>
  <c r="H4656" i="1"/>
  <c r="K4656" i="1"/>
  <c r="F4657" i="1"/>
  <c r="G4657" i="1"/>
  <c r="H4657" i="1"/>
  <c r="K4657" i="1"/>
  <c r="F4658" i="1"/>
  <c r="G4658" i="1"/>
  <c r="H4658" i="1"/>
  <c r="K4658" i="1"/>
  <c r="F4659" i="1"/>
  <c r="G4659" i="1"/>
  <c r="H4659" i="1"/>
  <c r="K4659" i="1"/>
  <c r="F4660" i="1"/>
  <c r="G4660" i="1"/>
  <c r="H4660" i="1"/>
  <c r="K4660" i="1"/>
  <c r="F1861" i="1"/>
  <c r="G1861" i="1"/>
  <c r="H1861" i="1"/>
  <c r="K1861" i="1"/>
  <c r="F1862" i="1"/>
  <c r="G1862" i="1"/>
  <c r="H1862" i="1"/>
  <c r="K1862" i="1"/>
  <c r="F1863" i="1"/>
  <c r="G1863" i="1"/>
  <c r="H1863" i="1"/>
  <c r="K1863" i="1"/>
  <c r="F1864" i="1"/>
  <c r="G1864" i="1"/>
  <c r="H1864" i="1"/>
  <c r="K1864" i="1"/>
  <c r="F1865" i="1"/>
  <c r="G1865" i="1"/>
  <c r="H1865" i="1"/>
  <c r="K1865" i="1"/>
  <c r="F1866" i="1"/>
  <c r="G1866" i="1"/>
  <c r="H1866" i="1"/>
  <c r="K1866" i="1"/>
  <c r="F4661" i="1"/>
  <c r="G4661" i="1"/>
  <c r="H4661" i="1"/>
  <c r="K4661" i="1"/>
  <c r="F3166" i="1"/>
  <c r="G3166" i="1"/>
  <c r="H3166" i="1"/>
  <c r="K3166" i="1"/>
  <c r="F4662" i="1"/>
  <c r="G4662" i="1"/>
  <c r="H4662" i="1"/>
  <c r="K4662" i="1"/>
  <c r="F1867" i="1"/>
  <c r="G1867" i="1"/>
  <c r="H1867" i="1"/>
  <c r="K1867" i="1"/>
  <c r="F4663" i="1"/>
  <c r="G4663" i="1"/>
  <c r="H4663" i="1"/>
  <c r="K4663" i="1"/>
  <c r="F4664" i="1"/>
  <c r="G4664" i="1"/>
  <c r="H4664" i="1"/>
  <c r="K4664" i="1"/>
  <c r="F4665" i="1"/>
  <c r="G4665" i="1"/>
  <c r="H4665" i="1"/>
  <c r="K4665" i="1"/>
  <c r="F1868" i="1"/>
  <c r="G1868" i="1"/>
  <c r="H1868" i="1"/>
  <c r="K1868" i="1"/>
  <c r="F1869" i="1"/>
  <c r="G1869" i="1"/>
  <c r="H1869" i="1"/>
  <c r="K1869" i="1"/>
  <c r="F1870" i="1"/>
  <c r="G1870" i="1"/>
  <c r="H1870" i="1"/>
  <c r="K1870" i="1"/>
  <c r="F1871" i="1"/>
  <c r="G1871" i="1"/>
  <c r="H1871" i="1"/>
  <c r="K1871" i="1"/>
  <c r="F1872" i="1"/>
  <c r="G1872" i="1"/>
  <c r="H1872" i="1"/>
  <c r="K1872" i="1"/>
  <c r="F7546" i="1"/>
  <c r="G7546" i="1"/>
  <c r="H7546" i="1"/>
  <c r="K7546" i="1"/>
  <c r="F1873" i="1"/>
  <c r="G1873" i="1"/>
  <c r="H1873" i="1"/>
  <c r="K1873" i="1"/>
  <c r="F4666" i="1"/>
  <c r="G4666" i="1"/>
  <c r="H4666" i="1"/>
  <c r="K4666" i="1"/>
  <c r="F4667" i="1"/>
  <c r="G4667" i="1"/>
  <c r="H4667" i="1"/>
  <c r="K4667" i="1"/>
  <c r="F4668" i="1"/>
  <c r="G4668" i="1"/>
  <c r="H4668" i="1"/>
  <c r="K4668" i="1"/>
  <c r="F4669" i="1"/>
  <c r="G4669" i="1"/>
  <c r="H4669" i="1"/>
  <c r="K4669" i="1"/>
  <c r="F4670" i="1"/>
  <c r="G4670" i="1"/>
  <c r="H4670" i="1"/>
  <c r="K4670" i="1"/>
  <c r="F3167" i="1"/>
  <c r="G3167" i="1"/>
  <c r="H3167" i="1"/>
  <c r="K3167" i="1"/>
  <c r="F3168" i="1"/>
  <c r="G3168" i="1"/>
  <c r="H3168" i="1"/>
  <c r="K3168" i="1"/>
  <c r="F7547" i="1"/>
  <c r="G7547" i="1"/>
  <c r="H7547" i="1"/>
  <c r="K7547" i="1"/>
  <c r="F7548" i="1"/>
  <c r="G7548" i="1"/>
  <c r="H7548" i="1"/>
  <c r="K7548" i="1"/>
  <c r="F5982" i="1"/>
  <c r="G5982" i="1"/>
  <c r="H5982" i="1"/>
  <c r="K5982" i="1"/>
  <c r="F3169" i="1"/>
  <c r="G3169" i="1"/>
  <c r="H3169" i="1"/>
  <c r="K3169" i="1"/>
  <c r="F7549" i="1"/>
  <c r="G7549" i="1"/>
  <c r="H7549" i="1"/>
  <c r="K7549" i="1"/>
  <c r="F7550" i="1"/>
  <c r="G7550" i="1"/>
  <c r="H7550" i="1"/>
  <c r="K7550" i="1"/>
  <c r="F5983" i="1"/>
  <c r="G5983" i="1"/>
  <c r="H5983" i="1"/>
  <c r="K5983" i="1"/>
  <c r="F4671" i="1"/>
  <c r="G4671" i="1"/>
  <c r="H4671" i="1"/>
  <c r="K4671" i="1"/>
  <c r="F1874" i="1"/>
  <c r="G1874" i="1"/>
  <c r="H1874" i="1"/>
  <c r="K1874" i="1"/>
  <c r="F3170" i="1"/>
  <c r="G3170" i="1"/>
  <c r="H3170" i="1"/>
  <c r="K3170" i="1"/>
  <c r="F1875" i="1"/>
  <c r="G1875" i="1"/>
  <c r="H1875" i="1"/>
  <c r="K1875" i="1"/>
  <c r="F7551" i="1"/>
  <c r="G7551" i="1"/>
  <c r="H7551" i="1"/>
  <c r="K7551" i="1"/>
  <c r="F5984" i="1"/>
  <c r="G5984" i="1"/>
  <c r="H5984" i="1"/>
  <c r="K5984" i="1"/>
  <c r="F1876" i="1"/>
  <c r="G1876" i="1"/>
  <c r="H1876" i="1"/>
  <c r="K1876" i="1"/>
  <c r="F1877" i="1"/>
  <c r="G1877" i="1"/>
  <c r="H1877" i="1"/>
  <c r="K1877" i="1"/>
  <c r="F1878" i="1"/>
  <c r="G1878" i="1"/>
  <c r="H1878" i="1"/>
  <c r="K1878" i="1"/>
  <c r="F4672" i="1"/>
  <c r="G4672" i="1"/>
  <c r="H4672" i="1"/>
  <c r="K4672" i="1"/>
  <c r="F1879" i="1"/>
  <c r="G1879" i="1"/>
  <c r="H1879" i="1"/>
  <c r="K1879" i="1"/>
  <c r="F5985" i="1"/>
  <c r="G5985" i="1"/>
  <c r="H5985" i="1"/>
  <c r="K5985" i="1"/>
  <c r="F5986" i="1"/>
  <c r="G5986" i="1"/>
  <c r="H5986" i="1"/>
  <c r="K5986" i="1"/>
  <c r="F5987" i="1"/>
  <c r="G5987" i="1"/>
  <c r="H5987" i="1"/>
  <c r="K5987" i="1"/>
  <c r="F1880" i="1"/>
  <c r="G1880" i="1"/>
  <c r="H1880" i="1"/>
  <c r="K1880" i="1"/>
  <c r="F3171" i="1"/>
  <c r="G3171" i="1"/>
  <c r="H3171" i="1"/>
  <c r="K3171" i="1"/>
  <c r="F3172" i="1"/>
  <c r="G3172" i="1"/>
  <c r="H3172" i="1"/>
  <c r="K3172" i="1"/>
  <c r="F3173" i="1"/>
  <c r="G3173" i="1"/>
  <c r="H3173" i="1"/>
  <c r="K3173" i="1"/>
  <c r="F3174" i="1"/>
  <c r="G3174" i="1"/>
  <c r="H3174" i="1"/>
  <c r="K3174" i="1"/>
  <c r="F3175" i="1"/>
  <c r="G3175" i="1"/>
  <c r="H3175" i="1"/>
  <c r="K3175" i="1"/>
  <c r="F3176" i="1"/>
  <c r="G3176" i="1"/>
  <c r="H3176" i="1"/>
  <c r="K3176" i="1"/>
  <c r="F4673" i="1"/>
  <c r="G4673" i="1"/>
  <c r="H4673" i="1"/>
  <c r="K4673" i="1"/>
  <c r="F4674" i="1"/>
  <c r="G4674" i="1"/>
  <c r="H4674" i="1"/>
  <c r="K4674" i="1"/>
  <c r="F1881" i="1"/>
  <c r="G1881" i="1"/>
  <c r="H1881" i="1"/>
  <c r="K1881" i="1"/>
  <c r="F1882" i="1"/>
  <c r="G1882" i="1"/>
  <c r="H1882" i="1"/>
  <c r="K1882" i="1"/>
  <c r="F1883" i="1"/>
  <c r="G1883" i="1"/>
  <c r="H1883" i="1"/>
  <c r="K1883" i="1"/>
  <c r="F4675" i="1"/>
  <c r="G4675" i="1"/>
  <c r="H4675" i="1"/>
  <c r="K4675" i="1"/>
  <c r="F7552" i="1"/>
  <c r="G7552" i="1"/>
  <c r="H7552" i="1"/>
  <c r="K7552" i="1"/>
  <c r="F7553" i="1"/>
  <c r="G7553" i="1"/>
  <c r="H7553" i="1"/>
  <c r="K7553" i="1"/>
  <c r="F7554" i="1"/>
  <c r="G7554" i="1"/>
  <c r="H7554" i="1"/>
  <c r="K7554" i="1"/>
  <c r="F3177" i="1"/>
  <c r="G3177" i="1"/>
  <c r="H3177" i="1"/>
  <c r="K3177" i="1"/>
  <c r="F1884" i="1"/>
  <c r="G1884" i="1"/>
  <c r="H1884" i="1"/>
  <c r="K1884" i="1"/>
  <c r="F7555" i="1"/>
  <c r="G7555" i="1"/>
  <c r="H7555" i="1"/>
  <c r="K7555" i="1"/>
  <c r="F3178" i="1"/>
  <c r="G3178" i="1"/>
  <c r="H3178" i="1"/>
  <c r="K3178" i="1"/>
  <c r="F7556" i="1"/>
  <c r="G7556" i="1"/>
  <c r="H7556" i="1"/>
  <c r="K7556" i="1"/>
  <c r="F4676" i="1"/>
  <c r="G4676" i="1"/>
  <c r="H4676" i="1"/>
  <c r="K4676" i="1"/>
  <c r="F1885" i="1"/>
  <c r="G1885" i="1"/>
  <c r="H1885" i="1"/>
  <c r="K1885" i="1"/>
  <c r="F1886" i="1"/>
  <c r="G1886" i="1"/>
  <c r="H1886" i="1"/>
  <c r="K1886" i="1"/>
  <c r="F1887" i="1"/>
  <c r="G1887" i="1"/>
  <c r="H1887" i="1"/>
  <c r="K1887" i="1"/>
  <c r="F1888" i="1"/>
  <c r="G1888" i="1"/>
  <c r="H1888" i="1"/>
  <c r="K1888" i="1"/>
  <c r="F5988" i="1"/>
  <c r="G5988" i="1"/>
  <c r="H5988" i="1"/>
  <c r="K5988" i="1"/>
  <c r="F1889" i="1"/>
  <c r="G1889" i="1"/>
  <c r="H1889" i="1"/>
  <c r="K1889" i="1"/>
  <c r="F1890" i="1"/>
  <c r="G1890" i="1"/>
  <c r="H1890" i="1"/>
  <c r="K1890" i="1"/>
  <c r="F4677" i="1"/>
  <c r="G4677" i="1"/>
  <c r="H4677" i="1"/>
  <c r="K4677" i="1"/>
  <c r="F4678" i="1"/>
  <c r="G4678" i="1"/>
  <c r="H4678" i="1"/>
  <c r="K4678" i="1"/>
  <c r="F3179" i="1"/>
  <c r="G3179" i="1"/>
  <c r="H3179" i="1"/>
  <c r="K3179" i="1"/>
  <c r="F3180" i="1"/>
  <c r="G3180" i="1"/>
  <c r="H3180" i="1"/>
  <c r="K3180" i="1"/>
  <c r="F3181" i="1"/>
  <c r="G3181" i="1"/>
  <c r="H3181" i="1"/>
  <c r="K3181" i="1"/>
  <c r="F3182" i="1"/>
  <c r="G3182" i="1"/>
  <c r="H3182" i="1"/>
  <c r="K3182" i="1"/>
  <c r="F3183" i="1"/>
  <c r="G3183" i="1"/>
  <c r="H3183" i="1"/>
  <c r="K3183" i="1"/>
  <c r="F3184" i="1"/>
  <c r="G3184" i="1"/>
  <c r="H3184" i="1"/>
  <c r="K3184" i="1"/>
  <c r="F4679" i="1"/>
  <c r="G4679" i="1"/>
  <c r="H4679" i="1"/>
  <c r="K4679" i="1"/>
  <c r="F4680" i="1"/>
  <c r="G4680" i="1"/>
  <c r="H4680" i="1"/>
  <c r="K4680" i="1"/>
  <c r="F4681" i="1"/>
  <c r="G4681" i="1"/>
  <c r="H4681" i="1"/>
  <c r="K4681" i="1"/>
  <c r="F4682" i="1"/>
  <c r="G4682" i="1"/>
  <c r="H4682" i="1"/>
  <c r="K4682" i="1"/>
  <c r="F4683" i="1"/>
  <c r="G4683" i="1"/>
  <c r="H4683" i="1"/>
  <c r="K4683" i="1"/>
  <c r="F4684" i="1"/>
  <c r="G4684" i="1"/>
  <c r="H4684" i="1"/>
  <c r="K4684" i="1"/>
  <c r="F1891" i="1"/>
  <c r="G1891" i="1"/>
  <c r="H1891" i="1"/>
  <c r="K1891" i="1"/>
  <c r="F1892" i="1"/>
  <c r="G1892" i="1"/>
  <c r="H1892" i="1"/>
  <c r="K1892" i="1"/>
  <c r="F1893" i="1"/>
  <c r="G1893" i="1"/>
  <c r="H1893" i="1"/>
  <c r="K1893" i="1"/>
  <c r="F1894" i="1"/>
  <c r="G1894" i="1"/>
  <c r="H1894" i="1"/>
  <c r="K1894" i="1"/>
  <c r="F1895" i="1"/>
  <c r="G1895" i="1"/>
  <c r="H1895" i="1"/>
  <c r="K1895" i="1"/>
  <c r="F1896" i="1"/>
  <c r="G1896" i="1"/>
  <c r="H1896" i="1"/>
  <c r="K1896" i="1"/>
  <c r="F1897" i="1"/>
  <c r="G1897" i="1"/>
  <c r="H1897" i="1"/>
  <c r="K1897" i="1"/>
  <c r="F3185" i="1"/>
  <c r="G3185" i="1"/>
  <c r="H3185" i="1"/>
  <c r="K3185" i="1"/>
  <c r="F4685" i="1"/>
  <c r="G4685" i="1"/>
  <c r="H4685" i="1"/>
  <c r="K4685" i="1"/>
  <c r="F1898" i="1"/>
  <c r="G1898" i="1"/>
  <c r="H1898" i="1"/>
  <c r="K1898" i="1"/>
  <c r="F7557" i="1"/>
  <c r="G7557" i="1"/>
  <c r="H7557" i="1"/>
  <c r="K7557" i="1"/>
  <c r="F7558" i="1"/>
  <c r="G7558" i="1"/>
  <c r="H7558" i="1"/>
  <c r="K7558" i="1"/>
  <c r="F7559" i="1"/>
  <c r="G7559" i="1"/>
  <c r="H7559" i="1"/>
  <c r="K7559" i="1"/>
  <c r="F7560" i="1"/>
  <c r="G7560" i="1"/>
  <c r="H7560" i="1"/>
  <c r="K7560" i="1"/>
  <c r="F7561" i="1"/>
  <c r="G7561" i="1"/>
  <c r="H7561" i="1"/>
  <c r="K7561" i="1"/>
  <c r="F7562" i="1"/>
  <c r="G7562" i="1"/>
  <c r="H7562" i="1"/>
  <c r="K7562" i="1"/>
  <c r="F3186" i="1"/>
  <c r="G3186" i="1"/>
  <c r="H3186" i="1"/>
  <c r="K3186" i="1"/>
  <c r="F7563" i="1"/>
  <c r="G7563" i="1"/>
  <c r="H7563" i="1"/>
  <c r="K7563" i="1"/>
  <c r="F1899" i="1"/>
  <c r="G1899" i="1"/>
  <c r="H1899" i="1"/>
  <c r="K1899" i="1"/>
  <c r="F3187" i="1"/>
  <c r="G3187" i="1"/>
  <c r="H3187" i="1"/>
  <c r="K3187" i="1"/>
  <c r="F7564" i="1"/>
  <c r="G7564" i="1"/>
  <c r="H7564" i="1"/>
  <c r="K7564" i="1"/>
  <c r="F1900" i="1"/>
  <c r="G1900" i="1"/>
  <c r="H1900" i="1"/>
  <c r="K1900" i="1"/>
  <c r="F3188" i="1"/>
  <c r="G3188" i="1"/>
  <c r="H3188" i="1"/>
  <c r="K3188" i="1"/>
  <c r="F1901" i="1"/>
  <c r="G1901" i="1"/>
  <c r="H1901" i="1"/>
  <c r="K1901" i="1"/>
  <c r="F1902" i="1"/>
  <c r="G1902" i="1"/>
  <c r="H1902" i="1"/>
  <c r="K1902" i="1"/>
  <c r="F4686" i="1"/>
  <c r="G4686" i="1"/>
  <c r="H4686" i="1"/>
  <c r="K4686" i="1"/>
  <c r="F3189" i="1"/>
  <c r="G3189" i="1"/>
  <c r="H3189" i="1"/>
  <c r="K3189" i="1"/>
  <c r="F1903" i="1"/>
  <c r="G1903" i="1"/>
  <c r="H1903" i="1"/>
  <c r="K1903" i="1"/>
  <c r="F5989" i="1"/>
  <c r="G5989" i="1"/>
  <c r="H5989" i="1"/>
  <c r="K5989" i="1"/>
  <c r="F5990" i="1"/>
  <c r="G5990" i="1"/>
  <c r="H5990" i="1"/>
  <c r="K5990" i="1"/>
  <c r="F5991" i="1"/>
  <c r="G5991" i="1"/>
  <c r="H5991" i="1"/>
  <c r="K5991" i="1"/>
  <c r="F5992" i="1"/>
  <c r="G5992" i="1"/>
  <c r="H5992" i="1"/>
  <c r="K5992" i="1"/>
  <c r="F7565" i="1"/>
  <c r="G7565" i="1"/>
  <c r="H7565" i="1"/>
  <c r="K7565" i="1"/>
  <c r="F5993" i="1"/>
  <c r="G5993" i="1"/>
  <c r="H5993" i="1"/>
  <c r="K5993" i="1"/>
  <c r="F7566" i="1"/>
  <c r="G7566" i="1"/>
  <c r="H7566" i="1"/>
  <c r="K7566" i="1"/>
  <c r="F1904" i="1"/>
  <c r="G1904" i="1"/>
  <c r="H1904" i="1"/>
  <c r="K1904" i="1"/>
  <c r="F7567" i="1"/>
  <c r="G7567" i="1"/>
  <c r="H7567" i="1"/>
  <c r="K7567" i="1"/>
  <c r="F7568" i="1"/>
  <c r="G7568" i="1"/>
  <c r="H7568" i="1"/>
  <c r="K7568" i="1"/>
  <c r="F5994" i="1"/>
  <c r="G5994" i="1"/>
  <c r="H5994" i="1"/>
  <c r="K5994" i="1"/>
  <c r="F7569" i="1"/>
  <c r="G7569" i="1"/>
  <c r="H7569" i="1"/>
  <c r="K7569" i="1"/>
  <c r="F3190" i="1"/>
  <c r="G3190" i="1"/>
  <c r="H3190" i="1"/>
  <c r="K3190" i="1"/>
  <c r="F1905" i="1"/>
  <c r="G1905" i="1"/>
  <c r="H1905" i="1"/>
  <c r="K1905" i="1"/>
  <c r="F5995" i="1"/>
  <c r="G5995" i="1"/>
  <c r="H5995" i="1"/>
  <c r="K5995" i="1"/>
  <c r="F3191" i="1"/>
  <c r="G3191" i="1"/>
  <c r="H3191" i="1"/>
  <c r="K3191" i="1"/>
  <c r="F5996" i="1"/>
  <c r="G5996" i="1"/>
  <c r="H5996" i="1"/>
  <c r="K5996" i="1"/>
  <c r="F5997" i="1"/>
  <c r="G5997" i="1"/>
  <c r="H5997" i="1"/>
  <c r="K5997" i="1"/>
  <c r="F5998" i="1"/>
  <c r="G5998" i="1"/>
  <c r="H5998" i="1"/>
  <c r="K5998" i="1"/>
  <c r="F5999" i="1"/>
  <c r="G5999" i="1"/>
  <c r="H5999" i="1"/>
  <c r="K5999" i="1"/>
  <c r="F6000" i="1"/>
  <c r="G6000" i="1"/>
  <c r="H6000" i="1"/>
  <c r="K6000" i="1"/>
  <c r="F7570" i="1"/>
  <c r="G7570" i="1"/>
  <c r="H7570" i="1"/>
  <c r="K7570" i="1"/>
  <c r="F4687" i="1"/>
  <c r="G4687" i="1"/>
  <c r="H4687" i="1"/>
  <c r="K4687" i="1"/>
  <c r="F4688" i="1"/>
  <c r="G4688" i="1"/>
  <c r="H4688" i="1"/>
  <c r="K4688" i="1"/>
  <c r="F7571" i="1"/>
  <c r="G7571" i="1"/>
  <c r="H7571" i="1"/>
  <c r="K7571" i="1"/>
  <c r="F1906" i="1"/>
  <c r="G1906" i="1"/>
  <c r="H1906" i="1"/>
  <c r="K1906" i="1"/>
  <c r="F1907" i="1"/>
  <c r="G1907" i="1"/>
  <c r="H1907" i="1"/>
  <c r="K1907" i="1"/>
  <c r="F4689" i="1"/>
  <c r="G4689" i="1"/>
  <c r="H4689" i="1"/>
  <c r="K4689" i="1"/>
  <c r="F1908" i="1"/>
  <c r="G1908" i="1"/>
  <c r="H1908" i="1"/>
  <c r="K1908" i="1"/>
  <c r="F1909" i="1"/>
  <c r="G1909" i="1"/>
  <c r="H1909" i="1"/>
  <c r="K1909" i="1"/>
  <c r="F7572" i="1"/>
  <c r="G7572" i="1"/>
  <c r="H7572" i="1"/>
  <c r="K7572" i="1"/>
  <c r="F7573" i="1"/>
  <c r="G7573" i="1"/>
  <c r="H7573" i="1"/>
  <c r="K7573" i="1"/>
  <c r="F3192" i="1"/>
  <c r="G3192" i="1"/>
  <c r="H3192" i="1"/>
  <c r="K3192" i="1"/>
  <c r="F6001" i="1"/>
  <c r="G6001" i="1"/>
  <c r="H6001" i="1"/>
  <c r="K6001" i="1"/>
  <c r="F7574" i="1"/>
  <c r="G7574" i="1"/>
  <c r="H7574" i="1"/>
  <c r="K7574" i="1"/>
  <c r="F6002" i="1"/>
  <c r="G6002" i="1"/>
  <c r="H6002" i="1"/>
  <c r="K6002" i="1"/>
  <c r="F1910" i="1"/>
  <c r="G1910" i="1"/>
  <c r="H1910" i="1"/>
  <c r="K1910" i="1"/>
  <c r="F4690" i="1"/>
  <c r="G4690" i="1"/>
  <c r="H4690" i="1"/>
  <c r="K4690" i="1"/>
  <c r="F7575" i="1"/>
  <c r="G7575" i="1"/>
  <c r="H7575" i="1"/>
  <c r="K7575" i="1"/>
  <c r="F3193" i="1"/>
  <c r="G3193" i="1"/>
  <c r="H3193" i="1"/>
  <c r="K3193" i="1"/>
  <c r="F7576" i="1"/>
  <c r="G7576" i="1"/>
  <c r="H7576" i="1"/>
  <c r="K7576" i="1"/>
  <c r="F4691" i="1"/>
  <c r="G4691" i="1"/>
  <c r="H4691" i="1"/>
  <c r="K4691" i="1"/>
  <c r="F6003" i="1"/>
  <c r="G6003" i="1"/>
  <c r="H6003" i="1"/>
  <c r="K6003" i="1"/>
  <c r="F6004" i="1"/>
  <c r="G6004" i="1"/>
  <c r="H6004" i="1"/>
  <c r="K6004" i="1"/>
  <c r="F6005" i="1"/>
  <c r="G6005" i="1"/>
  <c r="H6005" i="1"/>
  <c r="K6005" i="1"/>
  <c r="F7577" i="1"/>
  <c r="G7577" i="1"/>
  <c r="H7577" i="1"/>
  <c r="K7577" i="1"/>
  <c r="F7578" i="1"/>
  <c r="G7578" i="1"/>
  <c r="H7578" i="1"/>
  <c r="K7578" i="1"/>
  <c r="F3194" i="1"/>
  <c r="G3194" i="1"/>
  <c r="H3194" i="1"/>
  <c r="K3194" i="1"/>
  <c r="F3195" i="1"/>
  <c r="G3195" i="1"/>
  <c r="H3195" i="1"/>
  <c r="K3195" i="1"/>
  <c r="F7579" i="1"/>
  <c r="G7579" i="1"/>
  <c r="H7579" i="1"/>
  <c r="K7579" i="1"/>
  <c r="F7580" i="1"/>
  <c r="G7580" i="1"/>
  <c r="H7580" i="1"/>
  <c r="K7580" i="1"/>
  <c r="F3196" i="1"/>
  <c r="G3196" i="1"/>
  <c r="H3196" i="1"/>
  <c r="K3196" i="1"/>
  <c r="F1911" i="1"/>
  <c r="G1911" i="1"/>
  <c r="H1911" i="1"/>
  <c r="K1911" i="1"/>
  <c r="F1912" i="1"/>
  <c r="G1912" i="1"/>
  <c r="H1912" i="1"/>
  <c r="K1912" i="1"/>
  <c r="F6006" i="1"/>
  <c r="G6006" i="1"/>
  <c r="H6006" i="1"/>
  <c r="K6006" i="1"/>
  <c r="F7581" i="1"/>
  <c r="G7581" i="1"/>
  <c r="H7581" i="1"/>
  <c r="K7581" i="1"/>
  <c r="F3197" i="1"/>
  <c r="G3197" i="1"/>
  <c r="H3197" i="1"/>
  <c r="K3197" i="1"/>
  <c r="F4692" i="1"/>
  <c r="G4692" i="1"/>
  <c r="H4692" i="1"/>
  <c r="K4692" i="1"/>
  <c r="F1913" i="1"/>
  <c r="G1913" i="1"/>
  <c r="H1913" i="1"/>
  <c r="K1913" i="1"/>
  <c r="F3198" i="1"/>
  <c r="G3198" i="1"/>
  <c r="H3198" i="1"/>
  <c r="K3198" i="1"/>
  <c r="F1914" i="1"/>
  <c r="G1914" i="1"/>
  <c r="H1914" i="1"/>
  <c r="K1914" i="1"/>
  <c r="F7582" i="1"/>
  <c r="G7582" i="1"/>
  <c r="H7582" i="1"/>
  <c r="K7582" i="1"/>
  <c r="F3199" i="1"/>
  <c r="G3199" i="1"/>
  <c r="H3199" i="1"/>
  <c r="K3199" i="1"/>
  <c r="F4693" i="1"/>
  <c r="G4693" i="1"/>
  <c r="H4693" i="1"/>
  <c r="K4693" i="1"/>
  <c r="F1915" i="1"/>
  <c r="G1915" i="1"/>
  <c r="H1915" i="1"/>
  <c r="K1915" i="1"/>
  <c r="F4694" i="1"/>
  <c r="G4694" i="1"/>
  <c r="H4694" i="1"/>
  <c r="K4694" i="1"/>
  <c r="F4695" i="1"/>
  <c r="G4695" i="1"/>
  <c r="H4695" i="1"/>
  <c r="K4695" i="1"/>
  <c r="F1916" i="1"/>
  <c r="G1916" i="1"/>
  <c r="H1916" i="1"/>
  <c r="K1916" i="1"/>
  <c r="F3200" i="1"/>
  <c r="G3200" i="1"/>
  <c r="H3200" i="1"/>
  <c r="K3200" i="1"/>
  <c r="F3201" i="1"/>
  <c r="G3201" i="1"/>
  <c r="H3201" i="1"/>
  <c r="K3201" i="1"/>
  <c r="F3202" i="1"/>
  <c r="G3202" i="1"/>
  <c r="H3202" i="1"/>
  <c r="K3202" i="1"/>
  <c r="F3203" i="1"/>
  <c r="G3203" i="1"/>
  <c r="H3203" i="1"/>
  <c r="K3203" i="1"/>
  <c r="F4696" i="1"/>
  <c r="G4696" i="1"/>
  <c r="H4696" i="1"/>
  <c r="K4696" i="1"/>
  <c r="F1917" i="1"/>
  <c r="G1917" i="1"/>
  <c r="H1917" i="1"/>
  <c r="K1917" i="1"/>
  <c r="F1918" i="1"/>
  <c r="G1918" i="1"/>
  <c r="H1918" i="1"/>
  <c r="K1918" i="1"/>
  <c r="F1919" i="1"/>
  <c r="G1919" i="1"/>
  <c r="H1919" i="1"/>
  <c r="K1919" i="1"/>
  <c r="F4697" i="1"/>
  <c r="G4697" i="1"/>
  <c r="H4697" i="1"/>
  <c r="K4697" i="1"/>
  <c r="F3204" i="1"/>
  <c r="G3204" i="1"/>
  <c r="H3204" i="1"/>
  <c r="K3204" i="1"/>
  <c r="F1920" i="1"/>
  <c r="G1920" i="1"/>
  <c r="H1920" i="1"/>
  <c r="K1920" i="1"/>
  <c r="F7583" i="1"/>
  <c r="G7583" i="1"/>
  <c r="H7583" i="1"/>
  <c r="K7583" i="1"/>
  <c r="F1921" i="1"/>
  <c r="G1921" i="1"/>
  <c r="H1921" i="1"/>
  <c r="K1921" i="1"/>
  <c r="F6007" i="1"/>
  <c r="G6007" i="1"/>
  <c r="H6007" i="1"/>
  <c r="K6007" i="1"/>
  <c r="F1922" i="1"/>
  <c r="G1922" i="1"/>
  <c r="H1922" i="1"/>
  <c r="K1922" i="1"/>
  <c r="F4698" i="1"/>
  <c r="G4698" i="1"/>
  <c r="H4698" i="1"/>
  <c r="K4698" i="1"/>
  <c r="F6008" i="1"/>
  <c r="G6008" i="1"/>
  <c r="H6008" i="1"/>
  <c r="K6008" i="1"/>
  <c r="F6009" i="1"/>
  <c r="G6009" i="1"/>
  <c r="H6009" i="1"/>
  <c r="K6009" i="1"/>
  <c r="F6010" i="1"/>
  <c r="G6010" i="1"/>
  <c r="H6010" i="1"/>
  <c r="K6010" i="1"/>
  <c r="F6011" i="1"/>
  <c r="G6011" i="1"/>
  <c r="H6011" i="1"/>
  <c r="K6011" i="1"/>
  <c r="F6012" i="1"/>
  <c r="G6012" i="1"/>
  <c r="H6012" i="1"/>
  <c r="K6012" i="1"/>
  <c r="F6013" i="1"/>
  <c r="G6013" i="1"/>
  <c r="H6013" i="1"/>
  <c r="K6013" i="1"/>
  <c r="F6014" i="1"/>
  <c r="G6014" i="1"/>
  <c r="H6014" i="1"/>
  <c r="K6014" i="1"/>
  <c r="F6015" i="1"/>
  <c r="G6015" i="1"/>
  <c r="H6015" i="1"/>
  <c r="K6015" i="1"/>
  <c r="F6016" i="1"/>
  <c r="G6016" i="1"/>
  <c r="H6016" i="1"/>
  <c r="K6016" i="1"/>
  <c r="F6017" i="1"/>
  <c r="G6017" i="1"/>
  <c r="H6017" i="1"/>
  <c r="K6017" i="1"/>
  <c r="F6018" i="1"/>
  <c r="G6018" i="1"/>
  <c r="H6018" i="1"/>
  <c r="K6018" i="1"/>
  <c r="F1923" i="1"/>
  <c r="G1923" i="1"/>
  <c r="H1923" i="1"/>
  <c r="K1923" i="1"/>
  <c r="F1924" i="1"/>
  <c r="G1924" i="1"/>
  <c r="H1924" i="1"/>
  <c r="K1924" i="1"/>
  <c r="F6019" i="1"/>
  <c r="G6019" i="1"/>
  <c r="H6019" i="1"/>
  <c r="K6019" i="1"/>
  <c r="F4699" i="1"/>
  <c r="G4699" i="1"/>
  <c r="H4699" i="1"/>
  <c r="K4699" i="1"/>
  <c r="F7584" i="1"/>
  <c r="G7584" i="1"/>
  <c r="H7584" i="1"/>
  <c r="K7584" i="1"/>
  <c r="F7585" i="1"/>
  <c r="G7585" i="1"/>
  <c r="H7585" i="1"/>
  <c r="K7585" i="1"/>
  <c r="F7586" i="1"/>
  <c r="G7586" i="1"/>
  <c r="H7586" i="1"/>
  <c r="K7586" i="1"/>
  <c r="F1925" i="1"/>
  <c r="G1925" i="1"/>
  <c r="H1925" i="1"/>
  <c r="K1925" i="1"/>
  <c r="F1926" i="1"/>
  <c r="G1926" i="1"/>
  <c r="H1926" i="1"/>
  <c r="K1926" i="1"/>
  <c r="F1927" i="1"/>
  <c r="G1927" i="1"/>
  <c r="H1927" i="1"/>
  <c r="K1927" i="1"/>
  <c r="F7587" i="1"/>
  <c r="G7587" i="1"/>
  <c r="H7587" i="1"/>
  <c r="K7587" i="1"/>
  <c r="F3205" i="1"/>
  <c r="G3205" i="1"/>
  <c r="H3205" i="1"/>
  <c r="K3205" i="1"/>
  <c r="F6020" i="1"/>
  <c r="G6020" i="1"/>
  <c r="H6020" i="1"/>
  <c r="K6020" i="1"/>
  <c r="F6021" i="1"/>
  <c r="G6021" i="1"/>
  <c r="H6021" i="1"/>
  <c r="K6021" i="1"/>
  <c r="F3206" i="1"/>
  <c r="G3206" i="1"/>
  <c r="H3206" i="1"/>
  <c r="K3206" i="1"/>
  <c r="F3207" i="1"/>
  <c r="G3207" i="1"/>
  <c r="H3207" i="1"/>
  <c r="K3207" i="1"/>
  <c r="F3208" i="1"/>
  <c r="G3208" i="1"/>
  <c r="H3208" i="1"/>
  <c r="K3208" i="1"/>
  <c r="F1928" i="1"/>
  <c r="G1928" i="1"/>
  <c r="H1928" i="1"/>
  <c r="K1928" i="1"/>
  <c r="F1929" i="1"/>
  <c r="G1929" i="1"/>
  <c r="H1929" i="1"/>
  <c r="K1929" i="1"/>
  <c r="F6022" i="1"/>
  <c r="G6022" i="1"/>
  <c r="H6022" i="1"/>
  <c r="K6022" i="1"/>
  <c r="F6023" i="1"/>
  <c r="G6023" i="1"/>
  <c r="H6023" i="1"/>
  <c r="K6023" i="1"/>
  <c r="F1930" i="1"/>
  <c r="G1930" i="1"/>
  <c r="H1930" i="1"/>
  <c r="K1930" i="1"/>
  <c r="F6024" i="1"/>
  <c r="G6024" i="1"/>
  <c r="H6024" i="1"/>
  <c r="K6024" i="1"/>
  <c r="F7588" i="1"/>
  <c r="G7588" i="1"/>
  <c r="H7588" i="1"/>
  <c r="K7588" i="1"/>
  <c r="F6025" i="1"/>
  <c r="G6025" i="1"/>
  <c r="H6025" i="1"/>
  <c r="K6025" i="1"/>
  <c r="F6026" i="1"/>
  <c r="G6026" i="1"/>
  <c r="H6026" i="1"/>
  <c r="K6026" i="1"/>
  <c r="F1931" i="1"/>
  <c r="G1931" i="1"/>
  <c r="H1931" i="1"/>
  <c r="K1931" i="1"/>
  <c r="F7589" i="1"/>
  <c r="G7589" i="1"/>
  <c r="H7589" i="1"/>
  <c r="K7589" i="1"/>
  <c r="F3209" i="1"/>
  <c r="G3209" i="1"/>
  <c r="H3209" i="1"/>
  <c r="K3209" i="1"/>
  <c r="F1932" i="1"/>
  <c r="G1932" i="1"/>
  <c r="H1932" i="1"/>
  <c r="K1932" i="1"/>
  <c r="F7590" i="1"/>
  <c r="G7590" i="1"/>
  <c r="H7590" i="1"/>
  <c r="K7590" i="1"/>
  <c r="F6027" i="1"/>
  <c r="G6027" i="1"/>
  <c r="H6027" i="1"/>
  <c r="K6027" i="1"/>
  <c r="F1933" i="1"/>
  <c r="G1933" i="1"/>
  <c r="H1933" i="1"/>
  <c r="K1933" i="1"/>
  <c r="F1934" i="1"/>
  <c r="G1934" i="1"/>
  <c r="H1934" i="1"/>
  <c r="K1934" i="1"/>
  <c r="F3210" i="1"/>
  <c r="G3210" i="1"/>
  <c r="H3210" i="1"/>
  <c r="K3210" i="1"/>
  <c r="F7591" i="1"/>
  <c r="G7591" i="1"/>
  <c r="H7591" i="1"/>
  <c r="K7591" i="1"/>
  <c r="F7592" i="1"/>
  <c r="G7592" i="1"/>
  <c r="H7592" i="1"/>
  <c r="K7592" i="1"/>
  <c r="F3211" i="1"/>
  <c r="G3211" i="1"/>
  <c r="H3211" i="1"/>
  <c r="K3211" i="1"/>
  <c r="F4700" i="1"/>
  <c r="G4700" i="1"/>
  <c r="H4700" i="1"/>
  <c r="K4700" i="1"/>
  <c r="F7593" i="1"/>
  <c r="G7593" i="1"/>
  <c r="H7593" i="1"/>
  <c r="K7593" i="1"/>
  <c r="F4701" i="1"/>
  <c r="G4701" i="1"/>
  <c r="H4701" i="1"/>
  <c r="K4701" i="1"/>
  <c r="F1935" i="1"/>
  <c r="G1935" i="1"/>
  <c r="H1935" i="1"/>
  <c r="K1935" i="1"/>
  <c r="F3212" i="1"/>
  <c r="G3212" i="1"/>
  <c r="H3212" i="1"/>
  <c r="K3212" i="1"/>
  <c r="F3213" i="1"/>
  <c r="G3213" i="1"/>
  <c r="H3213" i="1"/>
  <c r="K3213" i="1"/>
  <c r="F1936" i="1"/>
  <c r="G1936" i="1"/>
  <c r="H1936" i="1"/>
  <c r="K1936" i="1"/>
  <c r="F6028" i="1"/>
  <c r="G6028" i="1"/>
  <c r="H6028" i="1"/>
  <c r="K6028" i="1"/>
  <c r="F3214" i="1"/>
  <c r="G3214" i="1"/>
  <c r="H3214" i="1"/>
  <c r="K3214" i="1"/>
  <c r="F4702" i="1"/>
  <c r="G4702" i="1"/>
  <c r="H4702" i="1"/>
  <c r="K4702" i="1"/>
  <c r="F1937" i="1"/>
  <c r="G1937" i="1"/>
  <c r="H1937" i="1"/>
  <c r="K1937" i="1"/>
  <c r="F6029" i="1"/>
  <c r="G6029" i="1"/>
  <c r="H6029" i="1"/>
  <c r="K6029" i="1"/>
  <c r="F1938" i="1"/>
  <c r="G1938" i="1"/>
  <c r="H1938" i="1"/>
  <c r="K1938" i="1"/>
  <c r="F6030" i="1"/>
  <c r="G6030" i="1"/>
  <c r="H6030" i="1"/>
  <c r="K6030" i="1"/>
  <c r="F7594" i="1"/>
  <c r="G7594" i="1"/>
  <c r="H7594" i="1"/>
  <c r="K7594" i="1"/>
  <c r="F4703" i="1"/>
  <c r="G4703" i="1"/>
  <c r="H4703" i="1"/>
  <c r="K4703" i="1"/>
  <c r="F1939" i="1"/>
  <c r="G1939" i="1"/>
  <c r="H1939" i="1"/>
  <c r="K1939" i="1"/>
  <c r="F6031" i="1"/>
  <c r="G6031" i="1"/>
  <c r="H6031" i="1"/>
  <c r="K6031" i="1"/>
  <c r="F7595" i="1"/>
  <c r="G7595" i="1"/>
  <c r="H7595" i="1"/>
  <c r="K7595" i="1"/>
  <c r="F3215" i="1"/>
  <c r="G3215" i="1"/>
  <c r="H3215" i="1"/>
  <c r="K3215" i="1"/>
  <c r="F3216" i="1"/>
  <c r="G3216" i="1"/>
  <c r="H3216" i="1"/>
  <c r="K3216" i="1"/>
  <c r="F3217" i="1"/>
  <c r="G3217" i="1"/>
  <c r="H3217" i="1"/>
  <c r="K3217" i="1"/>
  <c r="F1940" i="1"/>
  <c r="G1940" i="1"/>
  <c r="H1940" i="1"/>
  <c r="K1940" i="1"/>
  <c r="F7596" i="1"/>
  <c r="G7596" i="1"/>
  <c r="H7596" i="1"/>
  <c r="K7596" i="1"/>
  <c r="F3218" i="1"/>
  <c r="G3218" i="1"/>
  <c r="H3218" i="1"/>
  <c r="K3218" i="1"/>
  <c r="F7597" i="1"/>
  <c r="G7597" i="1"/>
  <c r="H7597" i="1"/>
  <c r="K7597" i="1"/>
  <c r="F3219" i="1"/>
  <c r="G3219" i="1"/>
  <c r="H3219" i="1"/>
  <c r="K3219" i="1"/>
  <c r="F1941" i="1"/>
  <c r="G1941" i="1"/>
  <c r="H1941" i="1"/>
  <c r="K1941" i="1"/>
  <c r="F1942" i="1"/>
  <c r="G1942" i="1"/>
  <c r="H1942" i="1"/>
  <c r="K1942" i="1"/>
  <c r="F1943" i="1"/>
  <c r="G1943" i="1"/>
  <c r="H1943" i="1"/>
  <c r="K1943" i="1"/>
  <c r="F1944" i="1"/>
  <c r="G1944" i="1"/>
  <c r="H1944" i="1"/>
  <c r="K1944" i="1"/>
  <c r="F1945" i="1"/>
  <c r="G1945" i="1"/>
  <c r="H1945" i="1"/>
  <c r="K1945" i="1"/>
  <c r="F1946" i="1"/>
  <c r="G1946" i="1"/>
  <c r="H1946" i="1"/>
  <c r="K1946" i="1"/>
  <c r="F6032" i="1"/>
  <c r="G6032" i="1"/>
  <c r="H6032" i="1"/>
  <c r="K6032" i="1"/>
  <c r="F7598" i="1"/>
  <c r="G7598" i="1"/>
  <c r="H7598" i="1"/>
  <c r="K7598" i="1"/>
  <c r="F7599" i="1"/>
  <c r="G7599" i="1"/>
  <c r="H7599" i="1"/>
  <c r="K7599" i="1"/>
  <c r="F1947" i="1"/>
  <c r="G1947" i="1"/>
  <c r="H1947" i="1"/>
  <c r="K1947" i="1"/>
  <c r="F1948" i="1"/>
  <c r="G1948" i="1"/>
  <c r="H1948" i="1"/>
  <c r="K1948" i="1"/>
  <c r="F1949" i="1"/>
  <c r="G1949" i="1"/>
  <c r="H1949" i="1"/>
  <c r="K1949" i="1"/>
  <c r="F7600" i="1"/>
  <c r="G7600" i="1"/>
  <c r="H7600" i="1"/>
  <c r="K7600" i="1"/>
  <c r="F1950" i="1"/>
  <c r="G1950" i="1"/>
  <c r="H1950" i="1"/>
  <c r="K1950" i="1"/>
  <c r="F4704" i="1"/>
  <c r="G4704" i="1"/>
  <c r="H4704" i="1"/>
  <c r="K4704" i="1"/>
  <c r="F6033" i="1"/>
  <c r="G6033" i="1"/>
  <c r="H6033" i="1"/>
  <c r="K6033" i="1"/>
  <c r="F7601" i="1"/>
  <c r="G7601" i="1"/>
  <c r="H7601" i="1"/>
  <c r="K7601" i="1"/>
  <c r="F1951" i="1"/>
  <c r="G1951" i="1"/>
  <c r="H1951" i="1"/>
  <c r="K1951" i="1"/>
  <c r="F1952" i="1"/>
  <c r="G1952" i="1"/>
  <c r="H1952" i="1"/>
  <c r="K1952" i="1"/>
  <c r="F3220" i="1"/>
  <c r="G3220" i="1"/>
  <c r="H3220" i="1"/>
  <c r="K3220" i="1"/>
  <c r="F3221" i="1"/>
  <c r="G3221" i="1"/>
  <c r="H3221" i="1"/>
  <c r="K3221" i="1"/>
  <c r="F7602" i="1"/>
  <c r="G7602" i="1"/>
  <c r="H7602" i="1"/>
  <c r="K7602" i="1"/>
  <c r="F7603" i="1"/>
  <c r="G7603" i="1"/>
  <c r="H7603" i="1"/>
  <c r="K7603" i="1"/>
  <c r="F4705" i="1"/>
  <c r="G4705" i="1"/>
  <c r="H4705" i="1"/>
  <c r="K4705" i="1"/>
  <c r="F3222" i="1"/>
  <c r="G3222" i="1"/>
  <c r="H3222" i="1"/>
  <c r="K3222" i="1"/>
  <c r="F6034" i="1"/>
  <c r="G6034" i="1"/>
  <c r="H6034" i="1"/>
  <c r="K6034" i="1"/>
  <c r="F4706" i="1"/>
  <c r="G4706" i="1"/>
  <c r="H4706" i="1"/>
  <c r="K4706" i="1"/>
  <c r="F3223" i="1"/>
  <c r="G3223" i="1"/>
  <c r="H3223" i="1"/>
  <c r="K3223" i="1"/>
  <c r="F7604" i="1"/>
  <c r="G7604" i="1"/>
  <c r="H7604" i="1"/>
  <c r="K7604" i="1"/>
  <c r="F1953" i="1"/>
  <c r="G1953" i="1"/>
  <c r="H1953" i="1"/>
  <c r="K1953" i="1"/>
  <c r="F7605" i="1"/>
  <c r="G7605" i="1"/>
  <c r="H7605" i="1"/>
  <c r="K7605" i="1"/>
  <c r="F1954" i="1"/>
  <c r="G1954" i="1"/>
  <c r="H1954" i="1"/>
  <c r="K1954" i="1"/>
  <c r="F4707" i="1"/>
  <c r="G4707" i="1"/>
  <c r="H4707" i="1"/>
  <c r="K4707" i="1"/>
  <c r="F6035" i="1"/>
  <c r="G6035" i="1"/>
  <c r="H6035" i="1"/>
  <c r="K6035" i="1"/>
  <c r="F4708" i="1"/>
  <c r="G4708" i="1"/>
  <c r="H4708" i="1"/>
  <c r="K4708" i="1"/>
  <c r="F3224" i="1"/>
  <c r="G3224" i="1"/>
  <c r="H3224" i="1"/>
  <c r="K3224" i="1"/>
  <c r="F1955" i="1"/>
  <c r="G1955" i="1"/>
  <c r="H1955" i="1"/>
  <c r="K1955" i="1"/>
  <c r="F4709" i="1"/>
  <c r="G4709" i="1"/>
  <c r="H4709" i="1"/>
  <c r="K4709" i="1"/>
  <c r="F1956" i="1"/>
  <c r="G1956" i="1"/>
  <c r="H1956" i="1"/>
  <c r="K1956" i="1"/>
  <c r="F6036" i="1"/>
  <c r="G6036" i="1"/>
  <c r="H6036" i="1"/>
  <c r="K6036" i="1"/>
  <c r="F4710" i="1"/>
  <c r="G4710" i="1"/>
  <c r="H4710" i="1"/>
  <c r="K4710" i="1"/>
  <c r="F3225" i="1"/>
  <c r="G3225" i="1"/>
  <c r="H3225" i="1"/>
  <c r="K3225" i="1"/>
  <c r="F1957" i="1"/>
  <c r="G1957" i="1"/>
  <c r="H1957" i="1"/>
  <c r="K1957" i="1"/>
  <c r="F1958" i="1"/>
  <c r="G1958" i="1"/>
  <c r="H1958" i="1"/>
  <c r="K1958" i="1"/>
  <c r="F1959" i="1"/>
  <c r="G1959" i="1"/>
  <c r="H1959" i="1"/>
  <c r="K1959" i="1"/>
  <c r="F3226" i="1"/>
  <c r="G3226" i="1"/>
  <c r="H3226" i="1"/>
  <c r="K3226" i="1"/>
  <c r="F3227" i="1"/>
  <c r="G3227" i="1"/>
  <c r="H3227" i="1"/>
  <c r="K3227" i="1"/>
  <c r="F4711" i="1"/>
  <c r="G4711" i="1"/>
  <c r="H4711" i="1"/>
  <c r="K4711" i="1"/>
  <c r="F4712" i="1"/>
  <c r="G4712" i="1"/>
  <c r="H4712" i="1"/>
  <c r="K4712" i="1"/>
  <c r="F1960" i="1"/>
  <c r="G1960" i="1"/>
  <c r="H1960" i="1"/>
  <c r="K1960" i="1"/>
  <c r="F1961" i="1"/>
  <c r="G1961" i="1"/>
  <c r="H1961" i="1"/>
  <c r="K1961" i="1"/>
  <c r="F1962" i="1"/>
  <c r="G1962" i="1"/>
  <c r="H1962" i="1"/>
  <c r="K1962" i="1"/>
  <c r="F4713" i="1"/>
  <c r="G4713" i="1"/>
  <c r="H4713" i="1"/>
  <c r="K4713" i="1"/>
  <c r="F6037" i="1"/>
  <c r="G6037" i="1"/>
  <c r="H6037" i="1"/>
  <c r="K6037" i="1"/>
  <c r="F6038" i="1"/>
  <c r="G6038" i="1"/>
  <c r="H6038" i="1"/>
  <c r="K6038" i="1"/>
  <c r="F6039" i="1"/>
  <c r="G6039" i="1"/>
  <c r="H6039" i="1"/>
  <c r="K6039" i="1"/>
  <c r="F1963" i="1"/>
  <c r="G1963" i="1"/>
  <c r="H1963" i="1"/>
  <c r="K1963" i="1"/>
  <c r="F4714" i="1"/>
  <c r="G4714" i="1"/>
  <c r="H4714" i="1"/>
  <c r="K4714" i="1"/>
  <c r="F4715" i="1"/>
  <c r="G4715" i="1"/>
  <c r="H4715" i="1"/>
  <c r="K4715" i="1"/>
  <c r="F6040" i="1"/>
  <c r="G6040" i="1"/>
  <c r="H6040" i="1"/>
  <c r="K6040" i="1"/>
  <c r="F7606" i="1"/>
  <c r="G7606" i="1"/>
  <c r="H7606" i="1"/>
  <c r="K7606" i="1"/>
  <c r="F4716" i="1"/>
  <c r="G4716" i="1"/>
  <c r="H4716" i="1"/>
  <c r="K4716" i="1"/>
  <c r="F7607" i="1"/>
  <c r="G7607" i="1"/>
  <c r="H7607" i="1"/>
  <c r="K7607" i="1"/>
  <c r="F7608" i="1"/>
  <c r="G7608" i="1"/>
  <c r="H7608" i="1"/>
  <c r="K7608" i="1"/>
  <c r="F1964" i="1"/>
  <c r="G1964" i="1"/>
  <c r="H1964" i="1"/>
  <c r="K1964" i="1"/>
  <c r="F1965" i="1"/>
  <c r="G1965" i="1"/>
  <c r="H1965" i="1"/>
  <c r="K1965" i="1"/>
  <c r="F3228" i="1"/>
  <c r="G3228" i="1"/>
  <c r="H3228" i="1"/>
  <c r="K3228" i="1"/>
  <c r="F6041" i="1"/>
  <c r="G6041" i="1"/>
  <c r="H6041" i="1"/>
  <c r="K6041" i="1"/>
  <c r="F3229" i="1"/>
  <c r="G3229" i="1"/>
  <c r="H3229" i="1"/>
  <c r="K3229" i="1"/>
  <c r="F1966" i="1"/>
  <c r="G1966" i="1"/>
  <c r="H1966" i="1"/>
  <c r="K1966" i="1"/>
  <c r="F1967" i="1"/>
  <c r="G1967" i="1"/>
  <c r="H1967" i="1"/>
  <c r="K1967" i="1"/>
  <c r="F1968" i="1"/>
  <c r="G1968" i="1"/>
  <c r="H1968" i="1"/>
  <c r="K1968" i="1"/>
  <c r="F3230" i="1"/>
  <c r="G3230" i="1"/>
  <c r="H3230" i="1"/>
  <c r="K3230" i="1"/>
  <c r="F3231" i="1"/>
  <c r="G3231" i="1"/>
  <c r="H3231" i="1"/>
  <c r="K3231" i="1"/>
  <c r="F7609" i="1"/>
  <c r="G7609" i="1"/>
  <c r="H7609" i="1"/>
  <c r="K7609" i="1"/>
  <c r="F3232" i="1"/>
  <c r="G3232" i="1"/>
  <c r="H3232" i="1"/>
  <c r="K3232" i="1"/>
  <c r="F1969" i="1"/>
  <c r="G1969" i="1"/>
  <c r="H1969" i="1"/>
  <c r="K1969" i="1"/>
  <c r="F7610" i="1"/>
  <c r="G7610" i="1"/>
  <c r="H7610" i="1"/>
  <c r="K7610" i="1"/>
  <c r="F4717" i="1"/>
  <c r="G4717" i="1"/>
  <c r="H4717" i="1"/>
  <c r="K4717" i="1"/>
  <c r="F1970" i="1"/>
  <c r="G1970" i="1"/>
  <c r="H1970" i="1"/>
  <c r="K1970" i="1"/>
  <c r="F1971" i="1"/>
  <c r="G1971" i="1"/>
  <c r="H1971" i="1"/>
  <c r="K1971" i="1"/>
  <c r="F7611" i="1"/>
  <c r="G7611" i="1"/>
  <c r="H7611" i="1"/>
  <c r="K7611" i="1"/>
  <c r="F7612" i="1"/>
  <c r="G7612" i="1"/>
  <c r="H7612" i="1"/>
  <c r="K7612" i="1"/>
  <c r="F3233" i="1"/>
  <c r="G3233" i="1"/>
  <c r="H3233" i="1"/>
  <c r="K3233" i="1"/>
  <c r="F7613" i="1"/>
  <c r="G7613" i="1"/>
  <c r="H7613" i="1"/>
  <c r="K7613" i="1"/>
  <c r="F7614" i="1"/>
  <c r="G7614" i="1"/>
  <c r="H7614" i="1"/>
  <c r="K7614" i="1"/>
  <c r="F7615" i="1"/>
  <c r="G7615" i="1"/>
  <c r="H7615" i="1"/>
  <c r="K7615" i="1"/>
  <c r="F6042" i="1"/>
  <c r="G6042" i="1"/>
  <c r="H6042" i="1"/>
  <c r="K6042" i="1"/>
  <c r="F4718" i="1"/>
  <c r="G4718" i="1"/>
  <c r="H4718" i="1"/>
  <c r="K4718" i="1"/>
  <c r="F1972" i="1"/>
  <c r="G1972" i="1"/>
  <c r="H1972" i="1"/>
  <c r="K1972" i="1"/>
  <c r="F1973" i="1"/>
  <c r="G1973" i="1"/>
  <c r="H1973" i="1"/>
  <c r="K1973" i="1"/>
  <c r="F6043" i="1"/>
  <c r="G6043" i="1"/>
  <c r="H6043" i="1"/>
  <c r="K6043" i="1"/>
  <c r="F3234" i="1"/>
  <c r="G3234" i="1"/>
  <c r="H3234" i="1"/>
  <c r="K3234" i="1"/>
  <c r="F4719" i="1"/>
  <c r="G4719" i="1"/>
  <c r="H4719" i="1"/>
  <c r="K4719" i="1"/>
  <c r="F4720" i="1"/>
  <c r="G4720" i="1"/>
  <c r="H4720" i="1"/>
  <c r="K4720" i="1"/>
  <c r="F4721" i="1"/>
  <c r="G4721" i="1"/>
  <c r="H4721" i="1"/>
  <c r="K4721" i="1"/>
  <c r="F6044" i="1"/>
  <c r="G6044" i="1"/>
  <c r="H6044" i="1"/>
  <c r="K6044" i="1"/>
  <c r="F1974" i="1"/>
  <c r="G1974" i="1"/>
  <c r="H1974" i="1"/>
  <c r="K1974" i="1"/>
  <c r="F1975" i="1"/>
  <c r="G1975" i="1"/>
  <c r="H1975" i="1"/>
  <c r="K1975" i="1"/>
  <c r="F7616" i="1"/>
  <c r="G7616" i="1"/>
  <c r="H7616" i="1"/>
  <c r="K7616" i="1"/>
  <c r="F7617" i="1"/>
  <c r="G7617" i="1"/>
  <c r="H7617" i="1"/>
  <c r="K7617" i="1"/>
  <c r="F1976" i="1"/>
  <c r="G1976" i="1"/>
  <c r="H1976" i="1"/>
  <c r="K1976" i="1"/>
  <c r="F1977" i="1"/>
  <c r="G1977" i="1"/>
  <c r="H1977" i="1"/>
  <c r="K1977" i="1"/>
  <c r="F6045" i="1"/>
  <c r="G6045" i="1"/>
  <c r="H6045" i="1"/>
  <c r="K6045" i="1"/>
  <c r="F3235" i="1"/>
  <c r="G3235" i="1"/>
  <c r="H3235" i="1"/>
  <c r="K3235" i="1"/>
  <c r="F3236" i="1"/>
  <c r="G3236" i="1"/>
  <c r="H3236" i="1"/>
  <c r="K3236" i="1"/>
  <c r="F4722" i="1"/>
  <c r="G4722" i="1"/>
  <c r="H4722" i="1"/>
  <c r="K4722" i="1"/>
  <c r="F7618" i="1"/>
  <c r="G7618" i="1"/>
  <c r="H7618" i="1"/>
  <c r="K7618" i="1"/>
  <c r="F4723" i="1"/>
  <c r="G4723" i="1"/>
  <c r="H4723" i="1"/>
  <c r="K4723" i="1"/>
  <c r="F6046" i="1"/>
  <c r="G6046" i="1"/>
  <c r="H6046" i="1"/>
  <c r="K6046" i="1"/>
  <c r="F1978" i="1"/>
  <c r="G1978" i="1"/>
  <c r="H1978" i="1"/>
  <c r="K1978" i="1"/>
  <c r="F4724" i="1"/>
  <c r="G4724" i="1"/>
  <c r="H4724" i="1"/>
  <c r="K4724" i="1"/>
  <c r="F4725" i="1"/>
  <c r="G4725" i="1"/>
  <c r="H4725" i="1"/>
  <c r="K4725" i="1"/>
  <c r="F3237" i="1"/>
  <c r="G3237" i="1"/>
  <c r="H3237" i="1"/>
  <c r="K3237" i="1"/>
  <c r="F3238" i="1"/>
  <c r="G3238" i="1"/>
  <c r="H3238" i="1"/>
  <c r="K3238" i="1"/>
  <c r="F3239" i="1"/>
  <c r="G3239" i="1"/>
  <c r="H3239" i="1"/>
  <c r="K3239" i="1"/>
  <c r="F3240" i="1"/>
  <c r="G3240" i="1"/>
  <c r="H3240" i="1"/>
  <c r="K3240" i="1"/>
  <c r="F3241" i="1"/>
  <c r="G3241" i="1"/>
  <c r="H3241" i="1"/>
  <c r="K3241" i="1"/>
  <c r="F3242" i="1"/>
  <c r="G3242" i="1"/>
  <c r="H3242" i="1"/>
  <c r="K3242" i="1"/>
  <c r="F3243" i="1"/>
  <c r="G3243" i="1"/>
  <c r="H3243" i="1"/>
  <c r="K3243" i="1"/>
  <c r="F3244" i="1"/>
  <c r="G3244" i="1"/>
  <c r="H3244" i="1"/>
  <c r="K3244" i="1"/>
  <c r="F3245" i="1"/>
  <c r="G3245" i="1"/>
  <c r="H3245" i="1"/>
  <c r="K3245" i="1"/>
  <c r="F3246" i="1"/>
  <c r="G3246" i="1"/>
  <c r="H3246" i="1"/>
  <c r="K3246" i="1"/>
  <c r="F3247" i="1"/>
  <c r="G3247" i="1"/>
  <c r="H3247" i="1"/>
  <c r="K3247" i="1"/>
  <c r="F3248" i="1"/>
  <c r="G3248" i="1"/>
  <c r="H3248" i="1"/>
  <c r="K3248" i="1"/>
  <c r="F1979" i="1"/>
  <c r="G1979" i="1"/>
  <c r="H1979" i="1"/>
  <c r="K1979" i="1"/>
  <c r="F1980" i="1"/>
  <c r="G1980" i="1"/>
  <c r="H1980" i="1"/>
  <c r="K1980" i="1"/>
  <c r="F1981" i="1"/>
  <c r="G1981" i="1"/>
  <c r="H1981" i="1"/>
  <c r="K1981" i="1"/>
  <c r="F1982" i="1"/>
  <c r="G1982" i="1"/>
  <c r="H1982" i="1"/>
  <c r="K1982" i="1"/>
  <c r="F1983" i="1"/>
  <c r="G1983" i="1"/>
  <c r="H1983" i="1"/>
  <c r="K1983" i="1"/>
  <c r="F1984" i="1"/>
  <c r="G1984" i="1"/>
  <c r="H1984" i="1"/>
  <c r="K1984" i="1"/>
  <c r="F1985" i="1"/>
  <c r="G1985" i="1"/>
  <c r="H1985" i="1"/>
  <c r="K1985" i="1"/>
  <c r="F1986" i="1"/>
  <c r="G1986" i="1"/>
  <c r="H1986" i="1"/>
  <c r="K1986" i="1"/>
  <c r="F1987" i="1"/>
  <c r="G1987" i="1"/>
  <c r="H1987" i="1"/>
  <c r="K1987" i="1"/>
  <c r="F1988" i="1"/>
  <c r="G1988" i="1"/>
  <c r="H1988" i="1"/>
  <c r="K1988" i="1"/>
  <c r="F1989" i="1"/>
  <c r="G1989" i="1"/>
  <c r="H1989" i="1"/>
  <c r="K1989" i="1"/>
  <c r="F1990" i="1"/>
  <c r="G1990" i="1"/>
  <c r="H1990" i="1"/>
  <c r="K1990" i="1"/>
  <c r="F1991" i="1"/>
  <c r="G1991" i="1"/>
  <c r="H1991" i="1"/>
  <c r="K1991" i="1"/>
  <c r="F7619" i="1"/>
  <c r="G7619" i="1"/>
  <c r="H7619" i="1"/>
  <c r="K7619" i="1"/>
  <c r="F7620" i="1"/>
  <c r="G7620" i="1"/>
  <c r="H7620" i="1"/>
  <c r="K7620" i="1"/>
  <c r="F1992" i="1"/>
  <c r="G1992" i="1"/>
  <c r="H1992" i="1"/>
  <c r="K1992" i="1"/>
  <c r="F6047" i="1"/>
  <c r="G6047" i="1"/>
  <c r="H6047" i="1"/>
  <c r="K6047" i="1"/>
  <c r="F1993" i="1"/>
  <c r="G1993" i="1"/>
  <c r="H1993" i="1"/>
  <c r="K1993" i="1"/>
  <c r="F1994" i="1"/>
  <c r="G1994" i="1"/>
  <c r="H1994" i="1"/>
  <c r="K1994" i="1"/>
  <c r="F6048" i="1"/>
  <c r="G6048" i="1"/>
  <c r="H6048" i="1"/>
  <c r="K6048" i="1"/>
  <c r="F4726" i="1"/>
  <c r="G4726" i="1"/>
  <c r="H4726" i="1"/>
  <c r="K4726" i="1"/>
  <c r="F6049" i="1"/>
  <c r="G6049" i="1"/>
  <c r="H6049" i="1"/>
  <c r="K6049" i="1"/>
  <c r="F7621" i="1"/>
  <c r="G7621" i="1"/>
  <c r="H7621" i="1"/>
  <c r="K7621" i="1"/>
  <c r="F7622" i="1"/>
  <c r="G7622" i="1"/>
  <c r="H7622" i="1"/>
  <c r="K7622" i="1"/>
  <c r="F7623" i="1"/>
  <c r="G7623" i="1"/>
  <c r="H7623" i="1"/>
  <c r="K7623" i="1"/>
  <c r="F6050" i="1"/>
  <c r="G6050" i="1"/>
  <c r="H6050" i="1"/>
  <c r="K6050" i="1"/>
  <c r="F1995" i="1"/>
  <c r="G1995" i="1"/>
  <c r="H1995" i="1"/>
  <c r="K1995" i="1"/>
  <c r="F1996" i="1"/>
  <c r="G1996" i="1"/>
  <c r="H1996" i="1"/>
  <c r="K1996" i="1"/>
  <c r="F7624" i="1"/>
  <c r="G7624" i="1"/>
  <c r="H7624" i="1"/>
  <c r="K7624" i="1"/>
  <c r="F3249" i="1"/>
  <c r="G3249" i="1"/>
  <c r="H3249" i="1"/>
  <c r="K3249" i="1"/>
  <c r="F6051" i="1"/>
  <c r="G6051" i="1"/>
  <c r="H6051" i="1"/>
  <c r="K6051" i="1"/>
  <c r="F6052" i="1"/>
  <c r="G6052" i="1"/>
  <c r="H6052" i="1"/>
  <c r="K6052" i="1"/>
  <c r="F4727" i="1"/>
  <c r="G4727" i="1"/>
  <c r="H4727" i="1"/>
  <c r="K4727" i="1"/>
  <c r="F6053" i="1"/>
  <c r="G6053" i="1"/>
  <c r="H6053" i="1"/>
  <c r="K6053" i="1"/>
  <c r="F7625" i="1"/>
  <c r="G7625" i="1"/>
  <c r="H7625" i="1"/>
  <c r="K7625" i="1"/>
  <c r="F1997" i="1"/>
  <c r="G1997" i="1"/>
  <c r="H1997" i="1"/>
  <c r="K1997" i="1"/>
  <c r="F7626" i="1"/>
  <c r="G7626" i="1"/>
  <c r="H7626" i="1"/>
  <c r="K7626" i="1"/>
  <c r="F1998" i="1"/>
  <c r="G1998" i="1"/>
  <c r="H1998" i="1"/>
  <c r="K1998" i="1"/>
  <c r="F4728" i="1"/>
  <c r="G4728" i="1"/>
  <c r="H4728" i="1"/>
  <c r="K4728" i="1"/>
  <c r="F7627" i="1"/>
  <c r="G7627" i="1"/>
  <c r="H7627" i="1"/>
  <c r="K7627" i="1"/>
  <c r="F1999" i="1"/>
  <c r="G1999" i="1"/>
  <c r="H1999" i="1"/>
  <c r="K1999" i="1"/>
  <c r="F2000" i="1"/>
  <c r="G2000" i="1"/>
  <c r="H2000" i="1"/>
  <c r="K2000" i="1"/>
  <c r="F2001" i="1"/>
  <c r="G2001" i="1"/>
  <c r="H2001" i="1"/>
  <c r="K2001" i="1"/>
  <c r="F6054" i="1"/>
  <c r="G6054" i="1"/>
  <c r="H6054" i="1"/>
  <c r="K6054" i="1"/>
  <c r="F4729" i="1"/>
  <c r="G4729" i="1"/>
  <c r="H4729" i="1"/>
  <c r="K4729" i="1"/>
  <c r="F7628" i="1"/>
  <c r="G7628" i="1"/>
  <c r="H7628" i="1"/>
  <c r="K7628" i="1"/>
  <c r="F7629" i="1"/>
  <c r="G7629" i="1"/>
  <c r="H7629" i="1"/>
  <c r="K7629" i="1"/>
  <c r="F7630" i="1"/>
  <c r="G7630" i="1"/>
  <c r="H7630" i="1"/>
  <c r="K7630" i="1"/>
  <c r="F2002" i="1"/>
  <c r="G2002" i="1"/>
  <c r="H2002" i="1"/>
  <c r="K2002" i="1"/>
  <c r="F2003" i="1"/>
  <c r="G2003" i="1"/>
  <c r="H2003" i="1"/>
  <c r="K2003" i="1"/>
  <c r="F7631" i="1"/>
  <c r="G7631" i="1"/>
  <c r="H7631" i="1"/>
  <c r="K7631" i="1"/>
  <c r="F4730" i="1"/>
  <c r="G4730" i="1"/>
  <c r="H4730" i="1"/>
  <c r="K4730" i="1"/>
  <c r="F6055" i="1"/>
  <c r="G6055" i="1"/>
  <c r="H6055" i="1"/>
  <c r="K6055" i="1"/>
  <c r="F6056" i="1"/>
  <c r="G6056" i="1"/>
  <c r="H6056" i="1"/>
  <c r="K6056" i="1"/>
  <c r="F6057" i="1"/>
  <c r="G6057" i="1"/>
  <c r="H6057" i="1"/>
  <c r="K6057" i="1"/>
  <c r="F2004" i="1"/>
  <c r="G2004" i="1"/>
  <c r="H2004" i="1"/>
  <c r="K2004" i="1"/>
  <c r="F4731" i="1"/>
  <c r="G4731" i="1"/>
  <c r="H4731" i="1"/>
  <c r="K4731" i="1"/>
  <c r="F6058" i="1"/>
  <c r="G6058" i="1"/>
  <c r="H6058" i="1"/>
  <c r="K6058" i="1"/>
  <c r="F4732" i="1"/>
  <c r="G4732" i="1"/>
  <c r="H4732" i="1"/>
  <c r="K4732" i="1"/>
  <c r="F4733" i="1"/>
  <c r="G4733" i="1"/>
  <c r="H4733" i="1"/>
  <c r="K4733" i="1"/>
  <c r="F3250" i="1"/>
  <c r="G3250" i="1"/>
  <c r="H3250" i="1"/>
  <c r="K3250" i="1"/>
  <c r="F2005" i="1"/>
  <c r="G2005" i="1"/>
  <c r="H2005" i="1"/>
  <c r="K2005" i="1"/>
  <c r="F4734" i="1"/>
  <c r="G4734" i="1"/>
  <c r="H4734" i="1"/>
  <c r="K4734" i="1"/>
  <c r="F6059" i="1"/>
  <c r="G6059" i="1"/>
  <c r="H6059" i="1"/>
  <c r="K6059" i="1"/>
  <c r="F4735" i="1"/>
  <c r="G4735" i="1"/>
  <c r="H4735" i="1"/>
  <c r="K4735" i="1"/>
  <c r="F7632" i="1"/>
  <c r="G7632" i="1"/>
  <c r="H7632" i="1"/>
  <c r="K7632" i="1"/>
  <c r="F7633" i="1"/>
  <c r="G7633" i="1"/>
  <c r="H7633" i="1"/>
  <c r="K7633" i="1"/>
  <c r="F6060" i="1"/>
  <c r="G6060" i="1"/>
  <c r="H6060" i="1"/>
  <c r="K6060" i="1"/>
  <c r="F7634" i="1"/>
  <c r="G7634" i="1"/>
  <c r="H7634" i="1"/>
  <c r="K7634" i="1"/>
  <c r="F6061" i="1"/>
  <c r="G6061" i="1"/>
  <c r="H6061" i="1"/>
  <c r="K6061" i="1"/>
  <c r="F3251" i="1"/>
  <c r="G3251" i="1"/>
  <c r="H3251" i="1"/>
  <c r="K3251" i="1"/>
  <c r="F2006" i="1"/>
  <c r="G2006" i="1"/>
  <c r="H2006" i="1"/>
  <c r="K2006" i="1"/>
  <c r="F7635" i="1"/>
  <c r="G7635" i="1"/>
  <c r="H7635" i="1"/>
  <c r="K7635" i="1"/>
  <c r="F7636" i="1"/>
  <c r="G7636" i="1"/>
  <c r="H7636" i="1"/>
  <c r="K7636" i="1"/>
  <c r="F7637" i="1"/>
  <c r="G7637" i="1"/>
  <c r="H7637" i="1"/>
  <c r="K7637" i="1"/>
  <c r="F6062" i="1"/>
  <c r="G6062" i="1"/>
  <c r="H6062" i="1"/>
  <c r="K6062" i="1"/>
  <c r="F7638" i="1"/>
  <c r="G7638" i="1"/>
  <c r="H7638" i="1"/>
  <c r="K7638" i="1"/>
  <c r="F2007" i="1"/>
  <c r="G2007" i="1"/>
  <c r="H2007" i="1"/>
  <c r="K2007" i="1"/>
  <c r="F7639" i="1"/>
  <c r="G7639" i="1"/>
  <c r="H7639" i="1"/>
  <c r="K7639" i="1"/>
  <c r="F7640" i="1"/>
  <c r="G7640" i="1"/>
  <c r="H7640" i="1"/>
  <c r="K7640" i="1"/>
  <c r="F7641" i="1"/>
  <c r="G7641" i="1"/>
  <c r="H7641" i="1"/>
  <c r="K7641" i="1"/>
  <c r="F7642" i="1"/>
  <c r="G7642" i="1"/>
  <c r="H7642" i="1"/>
  <c r="K7642" i="1"/>
  <c r="F2008" i="1"/>
  <c r="G2008" i="1"/>
  <c r="H2008" i="1"/>
  <c r="K2008" i="1"/>
  <c r="F2009" i="1"/>
  <c r="G2009" i="1"/>
  <c r="H2009" i="1"/>
  <c r="K2009" i="1"/>
  <c r="F6063" i="1"/>
  <c r="G6063" i="1"/>
  <c r="H6063" i="1"/>
  <c r="K6063" i="1"/>
  <c r="F3252" i="1"/>
  <c r="G3252" i="1"/>
  <c r="H3252" i="1"/>
  <c r="K3252" i="1"/>
  <c r="F4736" i="1"/>
  <c r="G4736" i="1"/>
  <c r="H4736" i="1"/>
  <c r="K4736" i="1"/>
  <c r="F2010" i="1"/>
  <c r="G2010" i="1"/>
  <c r="H2010" i="1"/>
  <c r="K2010" i="1"/>
  <c r="F2011" i="1"/>
  <c r="G2011" i="1"/>
  <c r="H2011" i="1"/>
  <c r="K2011" i="1"/>
  <c r="F3253" i="1"/>
  <c r="G3253" i="1"/>
  <c r="H3253" i="1"/>
  <c r="K3253" i="1"/>
  <c r="F3254" i="1"/>
  <c r="G3254" i="1"/>
  <c r="H3254" i="1"/>
  <c r="K3254" i="1"/>
  <c r="F4737" i="1"/>
  <c r="G4737" i="1"/>
  <c r="H4737" i="1"/>
  <c r="K4737" i="1"/>
  <c r="F4738" i="1"/>
  <c r="G4738" i="1"/>
  <c r="H4738" i="1"/>
  <c r="K4738" i="1"/>
  <c r="F3255" i="1"/>
  <c r="G3255" i="1"/>
  <c r="H3255" i="1"/>
  <c r="K3255" i="1"/>
  <c r="F3256" i="1"/>
  <c r="G3256" i="1"/>
  <c r="H3256" i="1"/>
  <c r="K3256" i="1"/>
  <c r="F2012" i="1"/>
  <c r="G2012" i="1"/>
  <c r="H2012" i="1"/>
  <c r="K2012" i="1"/>
  <c r="F2013" i="1"/>
  <c r="G2013" i="1"/>
  <c r="H2013" i="1"/>
  <c r="K2013" i="1"/>
  <c r="F2014" i="1"/>
  <c r="G2014" i="1"/>
  <c r="H2014" i="1"/>
  <c r="K2014" i="1"/>
  <c r="F4739" i="1"/>
  <c r="G4739" i="1"/>
  <c r="H4739" i="1"/>
  <c r="K4739" i="1"/>
  <c r="F7643" i="1"/>
  <c r="G7643" i="1"/>
  <c r="H7643" i="1"/>
  <c r="K7643" i="1"/>
  <c r="F6064" i="1"/>
  <c r="G6064" i="1"/>
  <c r="H6064" i="1"/>
  <c r="K6064" i="1"/>
  <c r="F2015" i="1"/>
  <c r="G2015" i="1"/>
  <c r="H2015" i="1"/>
  <c r="K2015" i="1"/>
  <c r="F4740" i="1"/>
  <c r="G4740" i="1"/>
  <c r="H4740" i="1"/>
  <c r="K4740" i="1"/>
  <c r="F4741" i="1"/>
  <c r="G4741" i="1"/>
  <c r="H4741" i="1"/>
  <c r="K4741" i="1"/>
  <c r="F6065" i="1"/>
  <c r="G6065" i="1"/>
  <c r="H6065" i="1"/>
  <c r="K6065" i="1"/>
  <c r="F6066" i="1"/>
  <c r="G6066" i="1"/>
  <c r="H6066" i="1"/>
  <c r="K6066" i="1"/>
  <c r="F3257" i="1"/>
  <c r="G3257" i="1"/>
  <c r="H3257" i="1"/>
  <c r="K3257" i="1"/>
  <c r="F3258" i="1"/>
  <c r="G3258" i="1"/>
  <c r="H3258" i="1"/>
  <c r="K3258" i="1"/>
  <c r="F6067" i="1"/>
  <c r="G6067" i="1"/>
  <c r="H6067" i="1"/>
  <c r="K6067" i="1"/>
  <c r="F3259" i="1"/>
  <c r="G3259" i="1"/>
  <c r="H3259" i="1"/>
  <c r="K3259" i="1"/>
  <c r="F6068" i="1"/>
  <c r="G6068" i="1"/>
  <c r="H6068" i="1"/>
  <c r="K6068" i="1"/>
  <c r="F4742" i="1"/>
  <c r="G4742" i="1"/>
  <c r="H4742" i="1"/>
  <c r="K4742" i="1"/>
  <c r="F4743" i="1"/>
  <c r="G4743" i="1"/>
  <c r="H4743" i="1"/>
  <c r="K4743" i="1"/>
  <c r="F6069" i="1"/>
  <c r="G6069" i="1"/>
  <c r="H6069" i="1"/>
  <c r="K6069" i="1"/>
  <c r="F7644" i="1"/>
  <c r="G7644" i="1"/>
  <c r="H7644" i="1"/>
  <c r="K7644" i="1"/>
  <c r="F7645" i="1"/>
  <c r="G7645" i="1"/>
  <c r="H7645" i="1"/>
  <c r="K7645" i="1"/>
  <c r="F6070" i="1"/>
  <c r="G6070" i="1"/>
  <c r="H6070" i="1"/>
  <c r="K6070" i="1"/>
  <c r="F7646" i="1"/>
  <c r="G7646" i="1"/>
  <c r="H7646" i="1"/>
  <c r="K7646" i="1"/>
  <c r="F4744" i="1"/>
  <c r="G4744" i="1"/>
  <c r="H4744" i="1"/>
  <c r="K4744" i="1"/>
  <c r="F7647" i="1"/>
  <c r="G7647" i="1"/>
  <c r="H7647" i="1"/>
  <c r="K7647" i="1"/>
  <c r="F7648" i="1"/>
  <c r="G7648" i="1"/>
  <c r="H7648" i="1"/>
  <c r="K7648" i="1"/>
  <c r="F6071" i="1"/>
  <c r="G6071" i="1"/>
  <c r="H6071" i="1"/>
  <c r="K6071" i="1"/>
  <c r="F6072" i="1"/>
  <c r="G6072" i="1"/>
  <c r="H6072" i="1"/>
  <c r="K6072" i="1"/>
  <c r="F2016" i="1"/>
  <c r="G2016" i="1"/>
  <c r="H2016" i="1"/>
  <c r="K2016" i="1"/>
  <c r="F6073" i="1"/>
  <c r="G6073" i="1"/>
  <c r="H6073" i="1"/>
  <c r="K6073" i="1"/>
  <c r="F7649" i="1"/>
  <c r="G7649" i="1"/>
  <c r="H7649" i="1"/>
  <c r="K7649" i="1"/>
  <c r="F2017" i="1"/>
  <c r="G2017" i="1"/>
  <c r="H2017" i="1"/>
  <c r="K2017" i="1"/>
  <c r="F2018" i="1"/>
  <c r="G2018" i="1"/>
  <c r="H2018" i="1"/>
  <c r="K2018" i="1"/>
  <c r="F7650" i="1"/>
  <c r="G7650" i="1"/>
  <c r="H7650" i="1"/>
  <c r="K7650" i="1"/>
  <c r="F7651" i="1"/>
  <c r="G7651" i="1"/>
  <c r="H7651" i="1"/>
  <c r="K7651" i="1"/>
  <c r="F7652" i="1"/>
  <c r="G7652" i="1"/>
  <c r="H7652" i="1"/>
  <c r="K7652" i="1"/>
  <c r="F7653" i="1"/>
  <c r="G7653" i="1"/>
  <c r="H7653" i="1"/>
  <c r="K7653" i="1"/>
  <c r="F4745" i="1"/>
  <c r="G4745" i="1"/>
  <c r="H4745" i="1"/>
  <c r="K4745" i="1"/>
  <c r="F7654" i="1"/>
  <c r="G7654" i="1"/>
  <c r="H7654" i="1"/>
  <c r="K7654" i="1"/>
  <c r="F7655" i="1"/>
  <c r="G7655" i="1"/>
  <c r="H7655" i="1"/>
  <c r="K7655" i="1"/>
  <c r="F7656" i="1"/>
  <c r="G7656" i="1"/>
  <c r="H7656" i="1"/>
  <c r="K7656" i="1"/>
  <c r="F7657" i="1"/>
  <c r="G7657" i="1"/>
  <c r="H7657" i="1"/>
  <c r="K7657" i="1"/>
  <c r="F2019" i="1"/>
  <c r="G2019" i="1"/>
  <c r="H2019" i="1"/>
  <c r="K2019" i="1"/>
  <c r="F3260" i="1"/>
  <c r="G3260" i="1"/>
  <c r="H3260" i="1"/>
  <c r="K3260" i="1"/>
  <c r="F4746" i="1"/>
  <c r="G4746" i="1"/>
  <c r="H4746" i="1"/>
  <c r="K4746" i="1"/>
  <c r="F6074" i="1"/>
  <c r="G6074" i="1"/>
  <c r="H6074" i="1"/>
  <c r="K6074" i="1"/>
  <c r="F3261" i="1"/>
  <c r="G3261" i="1"/>
  <c r="H3261" i="1"/>
  <c r="K3261" i="1"/>
  <c r="F3262" i="1"/>
  <c r="G3262" i="1"/>
  <c r="H3262" i="1"/>
  <c r="K3262" i="1"/>
  <c r="F6075" i="1"/>
  <c r="G6075" i="1"/>
  <c r="H6075" i="1"/>
  <c r="K6075" i="1"/>
  <c r="F2020" i="1"/>
  <c r="G2020" i="1"/>
  <c r="H2020" i="1"/>
  <c r="K2020" i="1"/>
  <c r="F7658" i="1"/>
  <c r="G7658" i="1"/>
  <c r="H7658" i="1"/>
  <c r="K7658" i="1"/>
  <c r="F3263" i="1"/>
  <c r="G3263" i="1"/>
  <c r="H3263" i="1"/>
  <c r="K3263" i="1"/>
  <c r="F3264" i="1"/>
  <c r="G3264" i="1"/>
  <c r="H3264" i="1"/>
  <c r="K3264" i="1"/>
  <c r="F4747" i="1"/>
  <c r="G4747" i="1"/>
  <c r="H4747" i="1"/>
  <c r="K4747" i="1"/>
  <c r="F4748" i="1"/>
  <c r="G4748" i="1"/>
  <c r="H4748" i="1"/>
  <c r="K4748" i="1"/>
  <c r="F6076" i="1"/>
  <c r="G6076" i="1"/>
  <c r="H6076" i="1"/>
  <c r="K6076" i="1"/>
  <c r="F6077" i="1"/>
  <c r="G6077" i="1"/>
  <c r="H6077" i="1"/>
  <c r="K6077" i="1"/>
  <c r="F2021" i="1"/>
  <c r="G2021" i="1"/>
  <c r="H2021" i="1"/>
  <c r="K2021" i="1"/>
  <c r="F6078" i="1"/>
  <c r="G6078" i="1"/>
  <c r="H6078" i="1"/>
  <c r="K6078" i="1"/>
  <c r="F2022" i="1"/>
  <c r="G2022" i="1"/>
  <c r="H2022" i="1"/>
  <c r="K2022" i="1"/>
  <c r="F3265" i="1"/>
  <c r="G3265" i="1"/>
  <c r="H3265" i="1"/>
  <c r="K3265" i="1"/>
  <c r="F6079" i="1"/>
  <c r="G6079" i="1"/>
  <c r="H6079" i="1"/>
  <c r="K6079" i="1"/>
  <c r="F7659" i="1"/>
  <c r="G7659" i="1"/>
  <c r="H7659" i="1"/>
  <c r="K7659" i="1"/>
  <c r="F6080" i="1"/>
  <c r="G6080" i="1"/>
  <c r="H6080" i="1"/>
  <c r="K6080" i="1"/>
  <c r="F6081" i="1"/>
  <c r="G6081" i="1"/>
  <c r="H6081" i="1"/>
  <c r="K6081" i="1"/>
  <c r="F2023" i="1"/>
  <c r="G2023" i="1"/>
  <c r="H2023" i="1"/>
  <c r="K2023" i="1"/>
  <c r="F2024" i="1"/>
  <c r="G2024" i="1"/>
  <c r="H2024" i="1"/>
  <c r="K2024" i="1"/>
  <c r="F4749" i="1"/>
  <c r="G4749" i="1"/>
  <c r="H4749" i="1"/>
  <c r="K4749" i="1"/>
  <c r="F2025" i="1"/>
  <c r="G2025" i="1"/>
  <c r="H2025" i="1"/>
  <c r="K2025" i="1"/>
  <c r="F2026" i="1"/>
  <c r="G2026" i="1"/>
  <c r="H2026" i="1"/>
  <c r="K2026" i="1"/>
  <c r="F2027" i="1"/>
  <c r="G2027" i="1"/>
  <c r="H2027" i="1"/>
  <c r="K2027" i="1"/>
  <c r="F7660" i="1"/>
  <c r="G7660" i="1"/>
  <c r="H7660" i="1"/>
  <c r="K7660" i="1"/>
  <c r="F7661" i="1"/>
  <c r="G7661" i="1"/>
  <c r="H7661" i="1"/>
  <c r="K7661" i="1"/>
  <c r="F7662" i="1"/>
  <c r="G7662" i="1"/>
  <c r="H7662" i="1"/>
  <c r="K7662" i="1"/>
  <c r="F7663" i="1"/>
  <c r="G7663" i="1"/>
  <c r="H7663" i="1"/>
  <c r="K7663" i="1"/>
  <c r="F3266" i="1"/>
  <c r="G3266" i="1"/>
  <c r="H3266" i="1"/>
  <c r="K3266" i="1"/>
  <c r="F4750" i="1"/>
  <c r="G4750" i="1"/>
  <c r="H4750" i="1"/>
  <c r="K4750" i="1"/>
  <c r="F3267" i="1"/>
  <c r="G3267" i="1"/>
  <c r="H3267" i="1"/>
  <c r="K3267" i="1"/>
  <c r="F2028" i="1"/>
  <c r="G2028" i="1"/>
  <c r="H2028" i="1"/>
  <c r="K2028" i="1"/>
  <c r="F2029" i="1"/>
  <c r="G2029" i="1"/>
  <c r="H2029" i="1"/>
  <c r="K2029" i="1"/>
  <c r="F4751" i="1"/>
  <c r="G4751" i="1"/>
  <c r="H4751" i="1"/>
  <c r="K4751" i="1"/>
  <c r="F4752" i="1"/>
  <c r="G4752" i="1"/>
  <c r="H4752" i="1"/>
  <c r="K4752" i="1"/>
  <c r="F4753" i="1"/>
  <c r="G4753" i="1"/>
  <c r="H4753" i="1"/>
  <c r="K4753" i="1"/>
  <c r="F4754" i="1"/>
  <c r="G4754" i="1"/>
  <c r="H4754" i="1"/>
  <c r="K4754" i="1"/>
  <c r="F4755" i="1"/>
  <c r="G4755" i="1"/>
  <c r="H4755" i="1"/>
  <c r="K4755" i="1"/>
  <c r="F4756" i="1"/>
  <c r="G4756" i="1"/>
  <c r="H4756" i="1"/>
  <c r="K4756" i="1"/>
  <c r="F3268" i="1"/>
  <c r="G3268" i="1"/>
  <c r="H3268" i="1"/>
  <c r="K3268" i="1"/>
  <c r="F3269" i="1"/>
  <c r="G3269" i="1"/>
  <c r="H3269" i="1"/>
  <c r="K3269" i="1"/>
  <c r="F2030" i="1"/>
  <c r="G2030" i="1"/>
  <c r="H2030" i="1"/>
  <c r="K2030" i="1"/>
  <c r="F2031" i="1"/>
  <c r="G2031" i="1"/>
  <c r="H2031" i="1"/>
  <c r="K2031" i="1"/>
  <c r="F2032" i="1"/>
  <c r="G2032" i="1"/>
  <c r="H2032" i="1"/>
  <c r="K2032" i="1"/>
  <c r="F2033" i="1"/>
  <c r="G2033" i="1"/>
  <c r="H2033" i="1"/>
  <c r="K2033" i="1"/>
  <c r="F2034" i="1"/>
  <c r="G2034" i="1"/>
  <c r="H2034" i="1"/>
  <c r="K2034" i="1"/>
  <c r="F2035" i="1"/>
  <c r="G2035" i="1"/>
  <c r="H2035" i="1"/>
  <c r="K2035" i="1"/>
  <c r="F2036" i="1"/>
  <c r="G2036" i="1"/>
  <c r="H2036" i="1"/>
  <c r="K2036" i="1"/>
  <c r="F6082" i="1"/>
  <c r="G6082" i="1"/>
  <c r="H6082" i="1"/>
  <c r="K6082" i="1"/>
  <c r="F6083" i="1"/>
  <c r="G6083" i="1"/>
  <c r="H6083" i="1"/>
  <c r="K6083" i="1"/>
  <c r="F6084" i="1"/>
  <c r="G6084" i="1"/>
  <c r="H6084" i="1"/>
  <c r="K6084" i="1"/>
  <c r="F6085" i="1"/>
  <c r="G6085" i="1"/>
  <c r="H6085" i="1"/>
  <c r="K6085" i="1"/>
  <c r="F6086" i="1"/>
  <c r="G6086" i="1"/>
  <c r="H6086" i="1"/>
  <c r="K6086" i="1"/>
  <c r="F6087" i="1"/>
  <c r="G6087" i="1"/>
  <c r="H6087" i="1"/>
  <c r="K6087" i="1"/>
  <c r="F6088" i="1"/>
  <c r="G6088" i="1"/>
  <c r="H6088" i="1"/>
  <c r="K6088" i="1"/>
  <c r="F6089" i="1"/>
  <c r="G6089" i="1"/>
  <c r="H6089" i="1"/>
  <c r="K6089" i="1"/>
  <c r="F6090" i="1"/>
  <c r="G6090" i="1"/>
  <c r="H6090" i="1"/>
  <c r="K6090" i="1"/>
  <c r="F6091" i="1"/>
  <c r="G6091" i="1"/>
  <c r="H6091" i="1"/>
  <c r="K6091" i="1"/>
  <c r="F6092" i="1"/>
  <c r="G6092" i="1"/>
  <c r="H6092" i="1"/>
  <c r="K6092" i="1"/>
  <c r="F6093" i="1"/>
  <c r="G6093" i="1"/>
  <c r="H6093" i="1"/>
  <c r="K6093" i="1"/>
  <c r="F4757" i="1"/>
  <c r="G4757" i="1"/>
  <c r="H4757" i="1"/>
  <c r="K4757" i="1"/>
  <c r="F2037" i="1"/>
  <c r="G2037" i="1"/>
  <c r="H2037" i="1"/>
  <c r="K2037" i="1"/>
  <c r="F6094" i="1"/>
  <c r="G6094" i="1"/>
  <c r="H6094" i="1"/>
  <c r="K6094" i="1"/>
  <c r="F7664" i="1"/>
  <c r="G7664" i="1"/>
  <c r="H7664" i="1"/>
  <c r="K7664" i="1"/>
  <c r="F4758" i="1"/>
  <c r="G4758" i="1"/>
  <c r="H4758" i="1"/>
  <c r="K4758" i="1"/>
  <c r="F4759" i="1"/>
  <c r="G4759" i="1"/>
  <c r="H4759" i="1"/>
  <c r="K4759" i="1"/>
  <c r="F4760" i="1"/>
  <c r="G4760" i="1"/>
  <c r="H4760" i="1"/>
  <c r="K4760" i="1"/>
  <c r="F2038" i="1"/>
  <c r="G2038" i="1"/>
  <c r="H2038" i="1"/>
  <c r="K2038" i="1"/>
  <c r="F2039" i="1"/>
  <c r="G2039" i="1"/>
  <c r="H2039" i="1"/>
  <c r="K2039" i="1"/>
  <c r="F7665" i="1"/>
  <c r="G7665" i="1"/>
  <c r="H7665" i="1"/>
  <c r="K7665" i="1"/>
  <c r="F2040" i="1"/>
  <c r="G2040" i="1"/>
  <c r="H2040" i="1"/>
  <c r="K2040" i="1"/>
  <c r="F2041" i="1"/>
  <c r="G2041" i="1"/>
  <c r="H2041" i="1"/>
  <c r="K2041" i="1"/>
  <c r="F7666" i="1"/>
  <c r="G7666" i="1"/>
  <c r="H7666" i="1"/>
  <c r="K7666" i="1"/>
  <c r="F3270" i="1"/>
  <c r="G3270" i="1"/>
  <c r="H3270" i="1"/>
  <c r="K3270" i="1"/>
  <c r="F4761" i="1"/>
  <c r="G4761" i="1"/>
  <c r="H4761" i="1"/>
  <c r="K4761" i="1"/>
  <c r="F3271" i="1"/>
  <c r="G3271" i="1"/>
  <c r="H3271" i="1"/>
  <c r="K3271" i="1"/>
  <c r="F4762" i="1"/>
  <c r="G4762" i="1"/>
  <c r="H4762" i="1"/>
  <c r="K4762" i="1"/>
  <c r="F3272" i="1"/>
  <c r="G3272" i="1"/>
  <c r="H3272" i="1"/>
  <c r="K3272" i="1"/>
  <c r="F7667" i="1"/>
  <c r="G7667" i="1"/>
  <c r="H7667" i="1"/>
  <c r="K7667" i="1"/>
  <c r="F2042" i="1"/>
  <c r="G2042" i="1"/>
  <c r="H2042" i="1"/>
  <c r="K2042" i="1"/>
  <c r="F2043" i="1"/>
  <c r="G2043" i="1"/>
  <c r="H2043" i="1"/>
  <c r="K2043" i="1"/>
  <c r="F2044" i="1"/>
  <c r="G2044" i="1"/>
  <c r="H2044" i="1"/>
  <c r="K2044" i="1"/>
  <c r="F2045" i="1"/>
  <c r="G2045" i="1"/>
  <c r="H2045" i="1"/>
  <c r="K2045" i="1"/>
  <c r="F2046" i="1"/>
  <c r="G2046" i="1"/>
  <c r="H2046" i="1"/>
  <c r="K2046" i="1"/>
  <c r="F4763" i="1"/>
  <c r="G4763" i="1"/>
  <c r="H4763" i="1"/>
  <c r="K4763" i="1"/>
  <c r="F6095" i="1"/>
  <c r="G6095" i="1"/>
  <c r="H6095" i="1"/>
  <c r="K6095" i="1"/>
  <c r="F7668" i="1"/>
  <c r="G7668" i="1"/>
  <c r="H7668" i="1"/>
  <c r="K7668" i="1"/>
  <c r="F6096" i="1"/>
  <c r="G6096" i="1"/>
  <c r="H6096" i="1"/>
  <c r="K6096" i="1"/>
  <c r="F2047" i="1"/>
  <c r="G2047" i="1"/>
  <c r="H2047" i="1"/>
  <c r="K2047" i="1"/>
  <c r="F6097" i="1"/>
  <c r="G6097" i="1"/>
  <c r="H6097" i="1"/>
  <c r="K6097" i="1"/>
  <c r="F2048" i="1"/>
  <c r="G2048" i="1"/>
  <c r="H2048" i="1"/>
  <c r="K2048" i="1"/>
  <c r="F7669" i="1"/>
  <c r="G7669" i="1"/>
  <c r="H7669" i="1"/>
  <c r="K7669" i="1"/>
  <c r="F2049" i="1"/>
  <c r="G2049" i="1"/>
  <c r="H2049" i="1"/>
  <c r="K2049" i="1"/>
  <c r="F6098" i="1"/>
  <c r="G6098" i="1"/>
  <c r="H6098" i="1"/>
  <c r="K6098" i="1"/>
  <c r="F6099" i="1"/>
  <c r="G6099" i="1"/>
  <c r="H6099" i="1"/>
  <c r="K6099" i="1"/>
  <c r="F7670" i="1"/>
  <c r="G7670" i="1"/>
  <c r="H7670" i="1"/>
  <c r="K7670" i="1"/>
  <c r="F2050" i="1"/>
  <c r="G2050" i="1"/>
  <c r="H2050" i="1"/>
  <c r="K2050" i="1"/>
  <c r="F3273" i="1"/>
  <c r="G3273" i="1"/>
  <c r="H3273" i="1"/>
  <c r="K3273" i="1"/>
  <c r="F2051" i="1"/>
  <c r="G2051" i="1"/>
  <c r="H2051" i="1"/>
  <c r="K2051" i="1"/>
  <c r="F4764" i="1"/>
  <c r="G4764" i="1"/>
  <c r="H4764" i="1"/>
  <c r="K4764" i="1"/>
  <c r="F4765" i="1"/>
  <c r="G4765" i="1"/>
  <c r="H4765" i="1"/>
  <c r="K4765" i="1"/>
  <c r="F6100" i="1"/>
  <c r="G6100" i="1"/>
  <c r="H6100" i="1"/>
  <c r="K6100" i="1"/>
  <c r="F7671" i="1"/>
  <c r="G7671" i="1"/>
  <c r="H7671" i="1"/>
  <c r="K7671" i="1"/>
  <c r="F7672" i="1"/>
  <c r="G7672" i="1"/>
  <c r="H7672" i="1"/>
  <c r="K7672" i="1"/>
  <c r="F2052" i="1"/>
  <c r="G2052" i="1"/>
  <c r="H2052" i="1"/>
  <c r="K2052" i="1"/>
  <c r="F6101" i="1"/>
  <c r="G6101" i="1"/>
  <c r="H6101" i="1"/>
  <c r="K6101" i="1"/>
  <c r="F2053" i="1"/>
  <c r="G2053" i="1"/>
  <c r="H2053" i="1"/>
  <c r="K2053" i="1"/>
  <c r="F2054" i="1"/>
  <c r="G2054" i="1"/>
  <c r="H2054" i="1"/>
  <c r="K2054" i="1"/>
  <c r="F4766" i="1"/>
  <c r="G4766" i="1"/>
  <c r="H4766" i="1"/>
  <c r="K4766" i="1"/>
  <c r="F2055" i="1"/>
  <c r="G2055" i="1"/>
  <c r="H2055" i="1"/>
  <c r="K2055" i="1"/>
  <c r="F2056" i="1"/>
  <c r="G2056" i="1"/>
  <c r="H2056" i="1"/>
  <c r="K2056" i="1"/>
  <c r="F6102" i="1"/>
  <c r="G6102" i="1"/>
  <c r="H6102" i="1"/>
  <c r="K6102" i="1"/>
  <c r="F2057" i="1"/>
  <c r="G2057" i="1"/>
  <c r="H2057" i="1"/>
  <c r="K2057" i="1"/>
  <c r="F3274" i="1"/>
  <c r="G3274" i="1"/>
  <c r="H3274" i="1"/>
  <c r="K3274" i="1"/>
  <c r="F2058" i="1"/>
  <c r="G2058" i="1"/>
  <c r="H2058" i="1"/>
  <c r="K2058" i="1"/>
  <c r="F7673" i="1"/>
  <c r="G7673" i="1"/>
  <c r="H7673" i="1"/>
  <c r="K7673" i="1"/>
  <c r="F7674" i="1"/>
  <c r="G7674" i="1"/>
  <c r="H7674" i="1"/>
  <c r="K7674" i="1"/>
  <c r="F6103" i="1"/>
  <c r="G6103" i="1"/>
  <c r="H6103" i="1"/>
  <c r="K6103" i="1"/>
  <c r="F7675" i="1"/>
  <c r="G7675" i="1"/>
  <c r="H7675" i="1"/>
  <c r="K7675" i="1"/>
  <c r="F7676" i="1"/>
  <c r="G7676" i="1"/>
  <c r="H7676" i="1"/>
  <c r="K7676" i="1"/>
  <c r="F2059" i="1"/>
  <c r="G2059" i="1"/>
  <c r="H2059" i="1"/>
  <c r="K2059" i="1"/>
  <c r="F7677" i="1"/>
  <c r="G7677" i="1"/>
  <c r="H7677" i="1"/>
  <c r="K7677" i="1"/>
  <c r="F6104" i="1"/>
  <c r="G6104" i="1"/>
  <c r="H6104" i="1"/>
  <c r="K6104" i="1"/>
  <c r="F7678" i="1"/>
  <c r="G7678" i="1"/>
  <c r="H7678" i="1"/>
  <c r="K7678" i="1"/>
  <c r="F3275" i="1"/>
  <c r="G3275" i="1"/>
  <c r="H3275" i="1"/>
  <c r="K3275" i="1"/>
  <c r="F7679" i="1"/>
  <c r="G7679" i="1"/>
  <c r="H7679" i="1"/>
  <c r="K7679" i="1"/>
  <c r="F3276" i="1"/>
  <c r="G3276" i="1"/>
  <c r="H3276" i="1"/>
  <c r="K3276" i="1"/>
  <c r="F4767" i="1"/>
  <c r="G4767" i="1"/>
  <c r="H4767" i="1"/>
  <c r="K4767" i="1"/>
  <c r="F7680" i="1"/>
  <c r="G7680" i="1"/>
  <c r="H7680" i="1"/>
  <c r="K7680" i="1"/>
  <c r="F7681" i="1"/>
  <c r="G7681" i="1"/>
  <c r="H7681" i="1"/>
  <c r="K7681" i="1"/>
  <c r="F7682" i="1"/>
  <c r="G7682" i="1"/>
  <c r="H7682" i="1"/>
  <c r="K7682" i="1"/>
  <c r="F3277" i="1"/>
  <c r="G3277" i="1"/>
  <c r="H3277" i="1"/>
  <c r="K3277" i="1"/>
  <c r="F2060" i="1"/>
  <c r="G2060" i="1"/>
  <c r="H2060" i="1"/>
  <c r="K2060" i="1"/>
  <c r="F7683" i="1"/>
  <c r="G7683" i="1"/>
  <c r="H7683" i="1"/>
  <c r="K7683" i="1"/>
  <c r="F6105" i="1"/>
  <c r="G6105" i="1"/>
  <c r="H6105" i="1"/>
  <c r="K6105" i="1"/>
  <c r="F2061" i="1"/>
  <c r="G2061" i="1"/>
  <c r="H2061" i="1"/>
  <c r="K2061" i="1"/>
  <c r="F4768" i="1"/>
  <c r="G4768" i="1"/>
  <c r="H4768" i="1"/>
  <c r="K4768" i="1"/>
  <c r="F6106" i="1"/>
  <c r="G6106" i="1"/>
  <c r="H6106" i="1"/>
  <c r="K6106" i="1"/>
  <c r="F4769" i="1"/>
  <c r="G4769" i="1"/>
  <c r="H4769" i="1"/>
  <c r="K4769" i="1"/>
  <c r="F3278" i="1"/>
  <c r="G3278" i="1"/>
  <c r="H3278" i="1"/>
  <c r="K3278" i="1"/>
  <c r="F2062" i="1"/>
  <c r="G2062" i="1"/>
  <c r="H2062" i="1"/>
  <c r="K2062" i="1"/>
  <c r="F4770" i="1"/>
  <c r="G4770" i="1"/>
  <c r="H4770" i="1"/>
  <c r="K4770" i="1"/>
  <c r="F4771" i="1"/>
  <c r="G4771" i="1"/>
  <c r="H4771" i="1"/>
  <c r="K4771" i="1"/>
  <c r="F3279" i="1"/>
  <c r="G3279" i="1"/>
  <c r="H3279" i="1"/>
  <c r="K3279" i="1"/>
  <c r="F2063" i="1"/>
  <c r="G2063" i="1"/>
  <c r="H2063" i="1"/>
  <c r="K2063" i="1"/>
  <c r="F2064" i="1"/>
  <c r="G2064" i="1"/>
  <c r="H2064" i="1"/>
  <c r="K2064" i="1"/>
  <c r="F2065" i="1"/>
  <c r="G2065" i="1"/>
  <c r="H2065" i="1"/>
  <c r="K2065" i="1"/>
  <c r="F4772" i="1"/>
  <c r="G4772" i="1"/>
  <c r="H4772" i="1"/>
  <c r="K4772" i="1"/>
  <c r="F2066" i="1"/>
  <c r="G2066" i="1"/>
  <c r="H2066" i="1"/>
  <c r="K2066" i="1"/>
  <c r="F2067" i="1"/>
  <c r="G2067" i="1"/>
  <c r="H2067" i="1"/>
  <c r="K2067" i="1"/>
  <c r="F7684" i="1"/>
  <c r="G7684" i="1"/>
  <c r="H7684" i="1"/>
  <c r="K7684" i="1"/>
  <c r="F4773" i="1"/>
  <c r="G4773" i="1"/>
  <c r="H4773" i="1"/>
  <c r="K4773" i="1"/>
  <c r="F7685" i="1"/>
  <c r="G7685" i="1"/>
  <c r="H7685" i="1"/>
  <c r="K7685" i="1"/>
  <c r="F2068" i="1"/>
  <c r="G2068" i="1"/>
  <c r="H2068" i="1"/>
  <c r="K2068" i="1"/>
  <c r="F2069" i="1"/>
  <c r="G2069" i="1"/>
  <c r="H2069" i="1"/>
  <c r="K2069" i="1"/>
  <c r="F7686" i="1"/>
  <c r="G7686" i="1"/>
  <c r="H7686" i="1"/>
  <c r="K7686" i="1"/>
  <c r="F6107" i="1"/>
  <c r="G6107" i="1"/>
  <c r="H6107" i="1"/>
  <c r="K6107" i="1"/>
  <c r="F6108" i="1"/>
  <c r="G6108" i="1"/>
  <c r="H6108" i="1"/>
  <c r="K6108" i="1"/>
  <c r="F6109" i="1"/>
  <c r="G6109" i="1"/>
  <c r="H6109" i="1"/>
  <c r="K6109" i="1"/>
  <c r="F4774" i="1"/>
  <c r="G4774" i="1"/>
  <c r="H4774" i="1"/>
  <c r="K4774" i="1"/>
  <c r="F6110" i="1"/>
  <c r="G6110" i="1"/>
  <c r="H6110" i="1"/>
  <c r="K6110" i="1"/>
  <c r="F2070" i="1"/>
  <c r="G2070" i="1"/>
  <c r="H2070" i="1"/>
  <c r="K2070" i="1"/>
  <c r="F7687" i="1"/>
  <c r="G7687" i="1"/>
  <c r="H7687" i="1"/>
  <c r="K7687" i="1"/>
  <c r="F2071" i="1"/>
  <c r="G2071" i="1"/>
  <c r="H2071" i="1"/>
  <c r="K2071" i="1"/>
  <c r="F6111" i="1"/>
  <c r="G6111" i="1"/>
  <c r="H6111" i="1"/>
  <c r="K6111" i="1"/>
  <c r="F3280" i="1"/>
  <c r="G3280" i="1"/>
  <c r="H3280" i="1"/>
  <c r="K3280" i="1"/>
  <c r="F7688" i="1"/>
  <c r="G7688" i="1"/>
  <c r="H7688" i="1"/>
  <c r="K7688" i="1"/>
  <c r="F6112" i="1"/>
  <c r="G6112" i="1"/>
  <c r="H6112" i="1"/>
  <c r="K6112" i="1"/>
  <c r="F7689" i="1"/>
  <c r="G7689" i="1"/>
  <c r="H7689" i="1"/>
  <c r="K7689" i="1"/>
  <c r="F7690" i="1"/>
  <c r="G7690" i="1"/>
  <c r="H7690" i="1"/>
  <c r="K7690" i="1"/>
  <c r="F7691" i="1"/>
  <c r="G7691" i="1"/>
  <c r="H7691" i="1"/>
  <c r="K7691" i="1"/>
  <c r="F2072" i="1"/>
  <c r="G2072" i="1"/>
  <c r="H2072" i="1"/>
  <c r="K2072" i="1"/>
  <c r="F7692" i="1"/>
  <c r="G7692" i="1"/>
  <c r="H7692" i="1"/>
  <c r="K7692" i="1"/>
  <c r="F7693" i="1"/>
  <c r="G7693" i="1"/>
  <c r="H7693" i="1"/>
  <c r="K7693" i="1"/>
  <c r="F7694" i="1"/>
  <c r="G7694" i="1"/>
  <c r="H7694" i="1"/>
  <c r="K7694" i="1"/>
  <c r="F2073" i="1"/>
  <c r="G2073" i="1"/>
  <c r="H2073" i="1"/>
  <c r="K2073" i="1"/>
  <c r="F2074" i="1"/>
  <c r="G2074" i="1"/>
  <c r="H2074" i="1"/>
  <c r="K2074" i="1"/>
  <c r="F7695" i="1"/>
  <c r="G7695" i="1"/>
  <c r="H7695" i="1"/>
  <c r="K7695" i="1"/>
  <c r="F6113" i="1"/>
  <c r="G6113" i="1"/>
  <c r="H6113" i="1"/>
  <c r="K6113" i="1"/>
  <c r="F2075" i="1"/>
  <c r="G2075" i="1"/>
  <c r="H2075" i="1"/>
  <c r="K2075" i="1"/>
  <c r="F2076" i="1"/>
  <c r="G2076" i="1"/>
  <c r="H2076" i="1"/>
  <c r="K2076" i="1"/>
  <c r="F2077" i="1"/>
  <c r="G2077" i="1"/>
  <c r="H2077" i="1"/>
  <c r="K2077" i="1"/>
  <c r="F2078" i="1"/>
  <c r="G2078" i="1"/>
  <c r="H2078" i="1"/>
  <c r="K2078" i="1"/>
  <c r="F2079" i="1"/>
  <c r="G2079" i="1"/>
  <c r="H2079" i="1"/>
  <c r="K2079" i="1"/>
  <c r="F2080" i="1"/>
  <c r="G2080" i="1"/>
  <c r="H2080" i="1"/>
  <c r="K2080" i="1"/>
  <c r="F3281" i="1"/>
  <c r="G3281" i="1"/>
  <c r="H3281" i="1"/>
  <c r="K3281" i="1"/>
  <c r="F3282" i="1"/>
  <c r="G3282" i="1"/>
  <c r="H3282" i="1"/>
  <c r="K3282" i="1"/>
  <c r="F3283" i="1"/>
  <c r="G3283" i="1"/>
  <c r="H3283" i="1"/>
  <c r="K3283" i="1"/>
  <c r="F3284" i="1"/>
  <c r="G3284" i="1"/>
  <c r="H3284" i="1"/>
  <c r="K3284" i="1"/>
  <c r="F3285" i="1"/>
  <c r="G3285" i="1"/>
  <c r="H3285" i="1"/>
  <c r="K3285" i="1"/>
  <c r="F4775" i="1"/>
  <c r="G4775" i="1"/>
  <c r="H4775" i="1"/>
  <c r="K4775" i="1"/>
  <c r="F4776" i="1"/>
  <c r="G4776" i="1"/>
  <c r="H4776" i="1"/>
  <c r="K4776" i="1"/>
  <c r="F4777" i="1"/>
  <c r="G4777" i="1"/>
  <c r="H4777" i="1"/>
  <c r="K4777" i="1"/>
  <c r="F4778" i="1"/>
  <c r="G4778" i="1"/>
  <c r="H4778" i="1"/>
  <c r="K4778" i="1"/>
  <c r="F4779" i="1"/>
  <c r="G4779" i="1"/>
  <c r="H4779" i="1"/>
  <c r="K4779" i="1"/>
  <c r="F6114" i="1"/>
  <c r="G6114" i="1"/>
  <c r="H6114" i="1"/>
  <c r="K6114" i="1"/>
  <c r="F7696" i="1"/>
  <c r="G7696" i="1"/>
  <c r="H7696" i="1"/>
  <c r="K7696" i="1"/>
  <c r="F7697" i="1"/>
  <c r="G7697" i="1"/>
  <c r="H7697" i="1"/>
  <c r="K7697" i="1"/>
  <c r="F7698" i="1"/>
  <c r="G7698" i="1"/>
  <c r="H7698" i="1"/>
  <c r="K7698" i="1"/>
  <c r="F7699" i="1"/>
  <c r="G7699" i="1"/>
  <c r="H7699" i="1"/>
  <c r="K7699" i="1"/>
  <c r="F7700" i="1"/>
  <c r="G7700" i="1"/>
  <c r="H7700" i="1"/>
  <c r="K7700" i="1"/>
  <c r="F7701" i="1"/>
  <c r="G7701" i="1"/>
  <c r="H7701" i="1"/>
  <c r="K7701" i="1"/>
  <c r="F4780" i="1"/>
  <c r="G4780" i="1"/>
  <c r="H4780" i="1"/>
  <c r="K4780" i="1"/>
  <c r="F6115" i="1"/>
  <c r="G6115" i="1"/>
  <c r="H6115" i="1"/>
  <c r="K6115" i="1"/>
  <c r="F2081" i="1"/>
  <c r="G2081" i="1"/>
  <c r="H2081" i="1"/>
  <c r="K2081" i="1"/>
  <c r="F3286" i="1"/>
  <c r="G3286" i="1"/>
  <c r="H3286" i="1"/>
  <c r="K3286" i="1"/>
  <c r="F2082" i="1"/>
  <c r="G2082" i="1"/>
  <c r="H2082" i="1"/>
  <c r="K2082" i="1"/>
  <c r="F7702" i="1"/>
  <c r="G7702" i="1"/>
  <c r="H7702" i="1"/>
  <c r="K7702" i="1"/>
  <c r="F7703" i="1"/>
  <c r="G7703" i="1"/>
  <c r="H7703" i="1"/>
  <c r="K7703" i="1"/>
  <c r="F2083" i="1"/>
  <c r="G2083" i="1"/>
  <c r="H2083" i="1"/>
  <c r="K2083" i="1"/>
  <c r="F4781" i="1"/>
  <c r="G4781" i="1"/>
  <c r="H4781" i="1"/>
  <c r="K4781" i="1"/>
  <c r="F7704" i="1"/>
  <c r="G7704" i="1"/>
  <c r="H7704" i="1"/>
  <c r="K7704" i="1"/>
  <c r="F6116" i="1"/>
  <c r="G6116" i="1"/>
  <c r="H6116" i="1"/>
  <c r="K6116" i="1"/>
  <c r="F7705" i="1"/>
  <c r="G7705" i="1"/>
  <c r="H7705" i="1"/>
  <c r="K7705" i="1"/>
  <c r="F4782" i="1"/>
  <c r="G4782" i="1"/>
  <c r="H4782" i="1"/>
  <c r="K4782" i="1"/>
  <c r="F3287" i="1"/>
  <c r="G3287" i="1"/>
  <c r="H3287" i="1"/>
  <c r="K3287" i="1"/>
  <c r="F2084" i="1"/>
  <c r="G2084" i="1"/>
  <c r="H2084" i="1"/>
  <c r="K2084" i="1"/>
  <c r="F2085" i="1"/>
  <c r="G2085" i="1"/>
  <c r="H2085" i="1"/>
  <c r="K2085" i="1"/>
  <c r="F2086" i="1"/>
  <c r="G2086" i="1"/>
  <c r="H2086" i="1"/>
  <c r="K2086" i="1"/>
  <c r="F2087" i="1"/>
  <c r="G2087" i="1"/>
  <c r="H2087" i="1"/>
  <c r="K2087" i="1"/>
  <c r="F2088" i="1"/>
  <c r="G2088" i="1"/>
  <c r="H2088" i="1"/>
  <c r="K2088" i="1"/>
  <c r="F2089" i="1"/>
  <c r="G2089" i="1"/>
  <c r="H2089" i="1"/>
  <c r="K2089" i="1"/>
  <c r="F2090" i="1"/>
  <c r="G2090" i="1"/>
  <c r="H2090" i="1"/>
  <c r="K2090" i="1"/>
  <c r="F6117" i="1"/>
  <c r="G6117" i="1"/>
  <c r="H6117" i="1"/>
  <c r="K6117" i="1"/>
  <c r="F4783" i="1"/>
  <c r="G4783" i="1"/>
  <c r="H4783" i="1"/>
  <c r="K4783" i="1"/>
  <c r="F3288" i="1"/>
  <c r="G3288" i="1"/>
  <c r="H3288" i="1"/>
  <c r="K3288" i="1"/>
  <c r="F3289" i="1"/>
  <c r="G3289" i="1"/>
  <c r="H3289" i="1"/>
  <c r="K3289" i="1"/>
  <c r="F3290" i="1"/>
  <c r="G3290" i="1"/>
  <c r="H3290" i="1"/>
  <c r="K3290" i="1"/>
  <c r="F3291" i="1"/>
  <c r="G3291" i="1"/>
  <c r="H3291" i="1"/>
  <c r="K3291" i="1"/>
  <c r="F3292" i="1"/>
  <c r="G3292" i="1"/>
  <c r="H3292" i="1"/>
  <c r="K3292" i="1"/>
  <c r="F4784" i="1"/>
  <c r="G4784" i="1"/>
  <c r="H4784" i="1"/>
  <c r="K4784" i="1"/>
  <c r="F6118" i="1"/>
  <c r="G6118" i="1"/>
  <c r="H6118" i="1"/>
  <c r="K6118" i="1"/>
  <c r="F6119" i="1"/>
  <c r="G6119" i="1"/>
  <c r="H6119" i="1"/>
  <c r="K6119" i="1"/>
  <c r="F7706" i="1"/>
  <c r="G7706" i="1"/>
  <c r="H7706" i="1"/>
  <c r="K7706" i="1"/>
  <c r="F6120" i="1"/>
  <c r="G6120" i="1"/>
  <c r="H6120" i="1"/>
  <c r="K6120" i="1"/>
  <c r="F2091" i="1"/>
  <c r="G2091" i="1"/>
  <c r="H2091" i="1"/>
  <c r="K2091" i="1"/>
  <c r="F6121" i="1"/>
  <c r="G6121" i="1"/>
  <c r="H6121" i="1"/>
  <c r="K6121" i="1"/>
  <c r="F6122" i="1"/>
  <c r="G6122" i="1"/>
  <c r="H6122" i="1"/>
  <c r="K6122" i="1"/>
  <c r="F6123" i="1"/>
  <c r="G6123" i="1"/>
  <c r="H6123" i="1"/>
  <c r="K6123" i="1"/>
  <c r="F6124" i="1"/>
  <c r="G6124" i="1"/>
  <c r="H6124" i="1"/>
  <c r="K6124" i="1"/>
  <c r="F2092" i="1"/>
  <c r="G2092" i="1"/>
  <c r="H2092" i="1"/>
  <c r="K2092" i="1"/>
  <c r="F2093" i="1"/>
  <c r="G2093" i="1"/>
  <c r="H2093" i="1"/>
  <c r="K2093" i="1"/>
  <c r="F2094" i="1"/>
  <c r="G2094" i="1"/>
  <c r="H2094" i="1"/>
  <c r="K2094" i="1"/>
  <c r="F2095" i="1"/>
  <c r="G2095" i="1"/>
  <c r="H2095" i="1"/>
  <c r="K2095" i="1"/>
  <c r="F2096" i="1"/>
  <c r="G2096" i="1"/>
  <c r="H2096" i="1"/>
  <c r="K2096" i="1"/>
  <c r="F2097" i="1"/>
  <c r="G2097" i="1"/>
  <c r="H2097" i="1"/>
  <c r="K2097" i="1"/>
  <c r="F2098" i="1"/>
  <c r="G2098" i="1"/>
  <c r="H2098" i="1"/>
  <c r="K2098" i="1"/>
  <c r="F2099" i="1"/>
  <c r="G2099" i="1"/>
  <c r="H2099" i="1"/>
  <c r="K2099" i="1"/>
  <c r="F3293" i="1"/>
  <c r="G3293" i="1"/>
  <c r="H3293" i="1"/>
  <c r="K3293" i="1"/>
  <c r="F3294" i="1"/>
  <c r="G3294" i="1"/>
  <c r="H3294" i="1"/>
  <c r="K3294" i="1"/>
  <c r="F3295" i="1"/>
  <c r="G3295" i="1"/>
  <c r="H3295" i="1"/>
  <c r="K3295" i="1"/>
  <c r="F3296" i="1"/>
  <c r="G3296" i="1"/>
  <c r="H3296" i="1"/>
  <c r="K3296" i="1"/>
  <c r="F4785" i="1"/>
  <c r="G4785" i="1"/>
  <c r="H4785" i="1"/>
  <c r="K4785" i="1"/>
  <c r="F4786" i="1"/>
  <c r="G4786" i="1"/>
  <c r="H4786" i="1"/>
  <c r="K4786" i="1"/>
  <c r="F3297" i="1"/>
  <c r="G3297" i="1"/>
  <c r="H3297" i="1"/>
  <c r="K3297" i="1"/>
  <c r="F2100" i="1"/>
  <c r="G2100" i="1"/>
  <c r="H2100" i="1"/>
  <c r="K2100" i="1"/>
  <c r="F3298" i="1"/>
  <c r="G3298" i="1"/>
  <c r="H3298" i="1"/>
  <c r="K3298" i="1"/>
  <c r="F3299" i="1"/>
  <c r="G3299" i="1"/>
  <c r="H3299" i="1"/>
  <c r="K3299" i="1"/>
  <c r="F3300" i="1"/>
  <c r="G3300" i="1"/>
  <c r="H3300" i="1"/>
  <c r="K3300" i="1"/>
  <c r="F4787" i="1"/>
  <c r="G4787" i="1"/>
  <c r="H4787" i="1"/>
  <c r="K4787" i="1"/>
  <c r="F2101" i="1"/>
  <c r="G2101" i="1"/>
  <c r="H2101" i="1"/>
  <c r="K2101" i="1"/>
  <c r="F2102" i="1"/>
  <c r="G2102" i="1"/>
  <c r="H2102" i="1"/>
  <c r="K2102" i="1"/>
  <c r="F2103" i="1"/>
  <c r="G2103" i="1"/>
  <c r="H2103" i="1"/>
  <c r="K2103" i="1"/>
  <c r="F3301" i="1"/>
  <c r="G3301" i="1"/>
  <c r="H3301" i="1"/>
  <c r="K3301" i="1"/>
  <c r="F6125" i="1"/>
  <c r="G6125" i="1"/>
  <c r="H6125" i="1"/>
  <c r="K6125" i="1"/>
  <c r="F7707" i="1"/>
  <c r="G7707" i="1"/>
  <c r="H7707" i="1"/>
  <c r="K7707" i="1"/>
  <c r="F4788" i="1"/>
  <c r="G4788" i="1"/>
  <c r="H4788" i="1"/>
  <c r="K4788" i="1"/>
  <c r="F6126" i="1"/>
  <c r="G6126" i="1"/>
  <c r="H6126" i="1"/>
  <c r="K6126" i="1"/>
  <c r="F6127" i="1"/>
  <c r="G6127" i="1"/>
  <c r="H6127" i="1"/>
  <c r="K6127" i="1"/>
  <c r="F7708" i="1"/>
  <c r="G7708" i="1"/>
  <c r="H7708" i="1"/>
  <c r="K7708" i="1"/>
  <c r="F2104" i="1"/>
  <c r="G2104" i="1"/>
  <c r="H2104" i="1"/>
  <c r="K2104" i="1"/>
  <c r="F7709" i="1"/>
  <c r="G7709" i="1"/>
  <c r="H7709" i="1"/>
  <c r="K7709" i="1"/>
  <c r="F7710" i="1"/>
  <c r="G7710" i="1"/>
  <c r="H7710" i="1"/>
  <c r="K7710" i="1"/>
  <c r="F3302" i="1"/>
  <c r="G3302" i="1"/>
  <c r="H3302" i="1"/>
  <c r="K3302" i="1"/>
  <c r="F6128" i="1"/>
  <c r="G6128" i="1"/>
  <c r="H6128" i="1"/>
  <c r="K6128" i="1"/>
  <c r="F2105" i="1"/>
  <c r="G2105" i="1"/>
  <c r="H2105" i="1"/>
  <c r="K2105" i="1"/>
  <c r="F2106" i="1"/>
  <c r="G2106" i="1"/>
  <c r="H2106" i="1"/>
  <c r="K2106" i="1"/>
  <c r="F7711" i="1"/>
  <c r="G7711" i="1"/>
  <c r="H7711" i="1"/>
  <c r="K7711" i="1"/>
  <c r="F6129" i="1"/>
  <c r="G6129" i="1"/>
  <c r="H6129" i="1"/>
  <c r="K6129" i="1"/>
  <c r="F3303" i="1"/>
  <c r="G3303" i="1"/>
  <c r="H3303" i="1"/>
  <c r="K3303" i="1"/>
  <c r="F7712" i="1"/>
  <c r="G7712" i="1"/>
  <c r="H7712" i="1"/>
  <c r="K7712" i="1"/>
  <c r="F4789" i="1"/>
  <c r="G4789" i="1"/>
  <c r="H4789" i="1"/>
  <c r="K4789" i="1"/>
  <c r="F3304" i="1"/>
  <c r="G3304" i="1"/>
  <c r="H3304" i="1"/>
  <c r="K3304" i="1"/>
  <c r="F3305" i="1"/>
  <c r="G3305" i="1"/>
  <c r="H3305" i="1"/>
  <c r="K3305" i="1"/>
  <c r="F3306" i="1"/>
  <c r="G3306" i="1"/>
  <c r="H3306" i="1"/>
  <c r="K3306" i="1"/>
  <c r="F2107" i="1"/>
  <c r="G2107" i="1"/>
  <c r="H2107" i="1"/>
  <c r="K2107" i="1"/>
  <c r="F6130" i="1"/>
  <c r="G6130" i="1"/>
  <c r="H6130" i="1"/>
  <c r="K6130" i="1"/>
  <c r="F6131" i="1"/>
  <c r="G6131" i="1"/>
  <c r="H6131" i="1"/>
  <c r="K6131" i="1"/>
  <c r="F7713" i="1"/>
  <c r="G7713" i="1"/>
  <c r="H7713" i="1"/>
  <c r="K7713" i="1"/>
  <c r="F6132" i="1"/>
  <c r="G6132" i="1"/>
  <c r="H6132" i="1"/>
  <c r="K6132" i="1"/>
  <c r="F2108" i="1"/>
  <c r="G2108" i="1"/>
  <c r="H2108" i="1"/>
  <c r="K2108" i="1"/>
  <c r="F6133" i="1"/>
  <c r="G6133" i="1"/>
  <c r="H6133" i="1"/>
  <c r="K6133" i="1"/>
  <c r="F6134" i="1"/>
  <c r="G6134" i="1"/>
  <c r="H6134" i="1"/>
  <c r="K6134" i="1"/>
  <c r="F7714" i="1"/>
  <c r="G7714" i="1"/>
  <c r="H7714" i="1"/>
  <c r="K7714" i="1"/>
  <c r="F6135" i="1"/>
  <c r="G6135" i="1"/>
  <c r="H6135" i="1"/>
  <c r="K6135" i="1"/>
  <c r="F7715" i="1"/>
  <c r="G7715" i="1"/>
  <c r="H7715" i="1"/>
  <c r="K7715" i="1"/>
  <c r="F3307" i="1"/>
  <c r="G3307" i="1"/>
  <c r="H3307" i="1"/>
  <c r="K3307" i="1"/>
  <c r="F2109" i="1"/>
  <c r="G2109" i="1"/>
  <c r="H2109" i="1"/>
  <c r="K2109" i="1"/>
  <c r="F7716" i="1"/>
  <c r="G7716" i="1"/>
  <c r="H7716" i="1"/>
  <c r="K7716" i="1"/>
  <c r="F7717" i="1"/>
  <c r="G7717" i="1"/>
  <c r="H7717" i="1"/>
  <c r="K7717" i="1"/>
  <c r="F3308" i="1"/>
  <c r="G3308" i="1"/>
  <c r="H3308" i="1"/>
  <c r="K3308" i="1"/>
  <c r="F4790" i="1"/>
  <c r="G4790" i="1"/>
  <c r="H4790" i="1"/>
  <c r="K4790" i="1"/>
  <c r="F4791" i="1"/>
  <c r="G4791" i="1"/>
  <c r="H4791" i="1"/>
  <c r="K4791" i="1"/>
  <c r="F2110" i="1"/>
  <c r="G2110" i="1"/>
  <c r="H2110" i="1"/>
  <c r="K2110" i="1"/>
  <c r="F6136" i="1"/>
  <c r="G6136" i="1"/>
  <c r="H6136" i="1"/>
  <c r="K6136" i="1"/>
  <c r="F7718" i="1"/>
  <c r="G7718" i="1"/>
  <c r="H7718" i="1"/>
  <c r="K7718" i="1"/>
  <c r="F6137" i="1"/>
  <c r="G6137" i="1"/>
  <c r="H6137" i="1"/>
  <c r="K6137" i="1"/>
  <c r="F6138" i="1"/>
  <c r="G6138" i="1"/>
  <c r="H6138" i="1"/>
  <c r="K6138" i="1"/>
  <c r="F4792" i="1"/>
  <c r="G4792" i="1"/>
  <c r="H4792" i="1"/>
  <c r="K4792" i="1"/>
  <c r="F4793" i="1"/>
  <c r="G4793" i="1"/>
  <c r="H4793" i="1"/>
  <c r="K4793" i="1"/>
  <c r="F4794" i="1"/>
  <c r="G4794" i="1"/>
  <c r="H4794" i="1"/>
  <c r="K4794" i="1"/>
  <c r="F7719" i="1"/>
  <c r="G7719" i="1"/>
  <c r="H7719" i="1"/>
  <c r="K7719" i="1"/>
  <c r="F6139" i="1"/>
  <c r="G6139" i="1"/>
  <c r="H6139" i="1"/>
  <c r="K6139" i="1"/>
  <c r="F4795" i="1"/>
  <c r="G4795" i="1"/>
  <c r="H4795" i="1"/>
  <c r="K4795" i="1"/>
  <c r="F2111" i="1"/>
  <c r="G2111" i="1"/>
  <c r="H2111" i="1"/>
  <c r="K2111" i="1"/>
  <c r="F2112" i="1"/>
  <c r="G2112" i="1"/>
  <c r="H2112" i="1"/>
  <c r="K2112" i="1"/>
  <c r="F4796" i="1"/>
  <c r="G4796" i="1"/>
  <c r="H4796" i="1"/>
  <c r="K4796" i="1"/>
  <c r="F4797" i="1"/>
  <c r="G4797" i="1"/>
  <c r="H4797" i="1"/>
  <c r="K4797" i="1"/>
  <c r="F4798" i="1"/>
  <c r="G4798" i="1"/>
  <c r="H4798" i="1"/>
  <c r="K4798" i="1"/>
  <c r="F4799" i="1"/>
  <c r="G4799" i="1"/>
  <c r="H4799" i="1"/>
  <c r="K4799" i="1"/>
  <c r="F2113" i="1"/>
  <c r="G2113" i="1"/>
  <c r="H2113" i="1"/>
  <c r="K2113" i="1"/>
  <c r="F2114" i="1"/>
  <c r="G2114" i="1"/>
  <c r="H2114" i="1"/>
  <c r="K2114" i="1"/>
  <c r="F2115" i="1"/>
  <c r="G2115" i="1"/>
  <c r="H2115" i="1"/>
  <c r="K2115" i="1"/>
  <c r="F3309" i="1"/>
  <c r="G3309" i="1"/>
  <c r="H3309" i="1"/>
  <c r="K3309" i="1"/>
  <c r="F2116" i="1"/>
  <c r="G2116" i="1"/>
  <c r="H2116" i="1"/>
  <c r="K2116" i="1"/>
  <c r="F2117" i="1"/>
  <c r="G2117" i="1"/>
  <c r="H2117" i="1"/>
  <c r="K2117" i="1"/>
  <c r="F2118" i="1"/>
  <c r="G2118" i="1"/>
  <c r="H2118" i="1"/>
  <c r="K2118" i="1"/>
  <c r="F2119" i="1"/>
  <c r="G2119" i="1"/>
  <c r="H2119" i="1"/>
  <c r="K2119" i="1"/>
  <c r="F2120" i="1"/>
  <c r="G2120" i="1"/>
  <c r="H2120" i="1"/>
  <c r="K2120" i="1"/>
  <c r="F2121" i="1"/>
  <c r="G2121" i="1"/>
  <c r="H2121" i="1"/>
  <c r="K2121" i="1"/>
  <c r="F2122" i="1"/>
  <c r="G2122" i="1"/>
  <c r="H2122" i="1"/>
  <c r="K2122" i="1"/>
  <c r="F2123" i="1"/>
  <c r="G2123" i="1"/>
  <c r="H2123" i="1"/>
  <c r="K2123" i="1"/>
  <c r="F2124" i="1"/>
  <c r="G2124" i="1"/>
  <c r="H2124" i="1"/>
  <c r="K2124" i="1"/>
  <c r="F2125" i="1"/>
  <c r="G2125" i="1"/>
  <c r="H2125" i="1"/>
  <c r="K2125" i="1"/>
  <c r="F2126" i="1"/>
  <c r="G2126" i="1"/>
  <c r="H2126" i="1"/>
  <c r="K2126" i="1"/>
  <c r="F2127" i="1"/>
  <c r="G2127" i="1"/>
  <c r="H2127" i="1"/>
  <c r="K2127" i="1"/>
  <c r="F2128" i="1"/>
  <c r="G2128" i="1"/>
  <c r="H2128" i="1"/>
  <c r="K2128" i="1"/>
  <c r="F2129" i="1"/>
  <c r="G2129" i="1"/>
  <c r="H2129" i="1"/>
  <c r="K2129" i="1"/>
  <c r="F2130" i="1"/>
  <c r="G2130" i="1"/>
  <c r="H2130" i="1"/>
  <c r="K2130" i="1"/>
  <c r="F2131" i="1"/>
  <c r="G2131" i="1"/>
  <c r="H2131" i="1"/>
  <c r="K2131" i="1"/>
  <c r="F2132" i="1"/>
  <c r="G2132" i="1"/>
  <c r="H2132" i="1"/>
  <c r="K2132" i="1"/>
  <c r="F2133" i="1"/>
  <c r="G2133" i="1"/>
  <c r="H2133" i="1"/>
  <c r="K2133" i="1"/>
  <c r="F2134" i="1"/>
  <c r="G2134" i="1"/>
  <c r="H2134" i="1"/>
  <c r="K2134" i="1"/>
  <c r="F2135" i="1"/>
  <c r="G2135" i="1"/>
  <c r="H2135" i="1"/>
  <c r="K2135" i="1"/>
  <c r="F2136" i="1"/>
  <c r="G2136" i="1"/>
  <c r="H2136" i="1"/>
  <c r="K2136" i="1"/>
  <c r="F2137" i="1"/>
  <c r="G2137" i="1"/>
  <c r="H2137" i="1"/>
  <c r="K2137" i="1"/>
  <c r="F2138" i="1"/>
  <c r="G2138" i="1"/>
  <c r="H2138" i="1"/>
  <c r="K2138" i="1"/>
  <c r="F2139" i="1"/>
  <c r="G2139" i="1"/>
  <c r="H2139" i="1"/>
  <c r="K2139" i="1"/>
  <c r="F2140" i="1"/>
  <c r="G2140" i="1"/>
  <c r="H2140" i="1"/>
  <c r="K2140" i="1"/>
  <c r="F2141" i="1"/>
  <c r="G2141" i="1"/>
  <c r="H2141" i="1"/>
  <c r="K2141" i="1"/>
  <c r="F2142" i="1"/>
  <c r="G2142" i="1"/>
  <c r="H2142" i="1"/>
  <c r="K2142" i="1"/>
  <c r="F2143" i="1"/>
  <c r="G2143" i="1"/>
  <c r="H2143" i="1"/>
  <c r="K2143" i="1"/>
  <c r="F2144" i="1"/>
  <c r="G2144" i="1"/>
  <c r="H2144" i="1"/>
  <c r="K2144" i="1"/>
  <c r="F2145" i="1"/>
  <c r="G2145" i="1"/>
  <c r="H2145" i="1"/>
  <c r="K2145" i="1"/>
  <c r="F2146" i="1"/>
  <c r="G2146" i="1"/>
  <c r="H2146" i="1"/>
  <c r="K2146" i="1"/>
  <c r="F2147" i="1"/>
  <c r="G2147" i="1"/>
  <c r="H2147" i="1"/>
  <c r="K2147" i="1"/>
  <c r="F2148" i="1"/>
  <c r="G2148" i="1"/>
  <c r="H2148" i="1"/>
  <c r="K2148" i="1"/>
  <c r="F2149" i="1"/>
  <c r="G2149" i="1"/>
  <c r="H2149" i="1"/>
  <c r="K2149" i="1"/>
  <c r="F2150" i="1"/>
  <c r="G2150" i="1"/>
  <c r="H2150" i="1"/>
  <c r="K2150" i="1"/>
  <c r="F2151" i="1"/>
  <c r="G2151" i="1"/>
  <c r="H2151" i="1"/>
  <c r="K2151" i="1"/>
  <c r="F3310" i="1"/>
  <c r="G3310" i="1"/>
  <c r="H3310" i="1"/>
  <c r="K3310" i="1"/>
  <c r="F4800" i="1"/>
  <c r="G4800" i="1"/>
  <c r="H4800" i="1"/>
  <c r="K4800" i="1"/>
  <c r="F4801" i="1"/>
  <c r="G4801" i="1"/>
  <c r="H4801" i="1"/>
  <c r="K4801" i="1"/>
  <c r="F4802" i="1"/>
  <c r="G4802" i="1"/>
  <c r="H4802" i="1"/>
  <c r="K4802" i="1"/>
  <c r="F2152" i="1"/>
  <c r="G2152" i="1"/>
  <c r="H2152" i="1"/>
  <c r="K2152" i="1"/>
  <c r="F2153" i="1"/>
  <c r="G2153" i="1"/>
  <c r="H2153" i="1"/>
  <c r="K2153" i="1"/>
  <c r="F7720" i="1"/>
  <c r="G7720" i="1"/>
  <c r="H7720" i="1"/>
  <c r="K7720" i="1"/>
  <c r="F6140" i="1"/>
  <c r="G6140" i="1"/>
  <c r="H6140" i="1"/>
  <c r="K6140" i="1"/>
  <c r="F2154" i="1"/>
  <c r="G2154" i="1"/>
  <c r="H2154" i="1"/>
  <c r="K2154" i="1"/>
  <c r="F2155" i="1"/>
  <c r="G2155" i="1"/>
  <c r="H2155" i="1"/>
  <c r="K2155" i="1"/>
  <c r="F2156" i="1"/>
  <c r="G2156" i="1"/>
  <c r="H2156" i="1"/>
  <c r="K2156" i="1"/>
  <c r="F4803" i="1"/>
  <c r="G4803" i="1"/>
  <c r="H4803" i="1"/>
  <c r="K4803" i="1"/>
  <c r="F6141" i="1"/>
  <c r="G6141" i="1"/>
  <c r="H6141" i="1"/>
  <c r="K6141" i="1"/>
  <c r="F4804" i="1"/>
  <c r="G4804" i="1"/>
  <c r="H4804" i="1"/>
  <c r="K4804" i="1"/>
  <c r="F6142" i="1"/>
  <c r="G6142" i="1"/>
  <c r="H6142" i="1"/>
  <c r="K6142" i="1"/>
  <c r="F2157" i="1"/>
  <c r="G2157" i="1"/>
  <c r="H2157" i="1"/>
  <c r="K2157" i="1"/>
  <c r="F2158" i="1"/>
  <c r="G2158" i="1"/>
  <c r="H2158" i="1"/>
  <c r="K2158" i="1"/>
  <c r="F4805" i="1"/>
  <c r="G4805" i="1"/>
  <c r="H4805" i="1"/>
  <c r="K4805" i="1"/>
  <c r="F2159" i="1"/>
  <c r="G2159" i="1"/>
  <c r="H2159" i="1"/>
  <c r="K2159" i="1"/>
  <c r="F6143" i="1"/>
  <c r="G6143" i="1"/>
  <c r="H6143" i="1"/>
  <c r="K6143" i="1"/>
  <c r="F2160" i="1"/>
  <c r="G2160" i="1"/>
  <c r="H2160" i="1"/>
  <c r="K2160" i="1"/>
  <c r="F2161" i="1"/>
  <c r="G2161" i="1"/>
  <c r="H2161" i="1"/>
  <c r="K2161" i="1"/>
  <c r="F6144" i="1"/>
  <c r="G6144" i="1"/>
  <c r="H6144" i="1"/>
  <c r="K6144" i="1"/>
  <c r="F2162" i="1"/>
  <c r="G2162" i="1"/>
  <c r="H2162" i="1"/>
  <c r="K2162" i="1"/>
  <c r="F2163" i="1"/>
  <c r="G2163" i="1"/>
  <c r="H2163" i="1"/>
  <c r="K2163" i="1"/>
  <c r="F2164" i="1"/>
  <c r="G2164" i="1"/>
  <c r="H2164" i="1"/>
  <c r="K2164" i="1"/>
  <c r="F2165" i="1"/>
  <c r="G2165" i="1"/>
  <c r="H2165" i="1"/>
  <c r="K2165" i="1"/>
  <c r="F4806" i="1"/>
  <c r="G4806" i="1"/>
  <c r="H4806" i="1"/>
  <c r="K4806" i="1"/>
  <c r="F4807" i="1"/>
  <c r="G4807" i="1"/>
  <c r="H4807" i="1"/>
  <c r="K4807" i="1"/>
  <c r="F7721" i="1"/>
  <c r="G7721" i="1"/>
  <c r="H7721" i="1"/>
  <c r="K7721" i="1"/>
  <c r="F2166" i="1"/>
  <c r="G2166" i="1"/>
  <c r="H2166" i="1"/>
  <c r="K2166" i="1"/>
  <c r="F2167" i="1"/>
  <c r="G2167" i="1"/>
  <c r="H2167" i="1"/>
  <c r="K2167" i="1"/>
  <c r="F2168" i="1"/>
  <c r="G2168" i="1"/>
  <c r="H2168" i="1"/>
  <c r="K2168" i="1"/>
  <c r="F2169" i="1"/>
  <c r="G2169" i="1"/>
  <c r="H2169" i="1"/>
  <c r="K2169" i="1"/>
  <c r="F4808" i="1"/>
  <c r="G4808" i="1"/>
  <c r="H4808" i="1"/>
  <c r="K4808" i="1"/>
  <c r="F4809" i="1"/>
  <c r="G4809" i="1"/>
  <c r="H4809" i="1"/>
  <c r="K4809" i="1"/>
  <c r="F7722" i="1"/>
  <c r="G7722" i="1"/>
  <c r="H7722" i="1"/>
  <c r="K7722" i="1"/>
  <c r="F7723" i="1"/>
  <c r="G7723" i="1"/>
  <c r="H7723" i="1"/>
  <c r="K7723" i="1"/>
  <c r="F7724" i="1"/>
  <c r="G7724" i="1"/>
  <c r="H7724" i="1"/>
  <c r="K7724" i="1"/>
  <c r="F7725" i="1"/>
  <c r="G7725" i="1"/>
  <c r="H7725" i="1"/>
  <c r="K7725" i="1"/>
  <c r="F2170" i="1"/>
  <c r="G2170" i="1"/>
  <c r="H2170" i="1"/>
  <c r="K2170" i="1"/>
  <c r="F4810" i="1"/>
  <c r="G4810" i="1"/>
  <c r="H4810" i="1"/>
  <c r="K4810" i="1"/>
  <c r="F6145" i="1"/>
  <c r="G6145" i="1"/>
  <c r="H6145" i="1"/>
  <c r="K6145" i="1"/>
  <c r="F4811" i="1"/>
  <c r="G4811" i="1"/>
  <c r="H4811" i="1"/>
  <c r="K4811" i="1"/>
  <c r="F3311" i="1"/>
  <c r="G3311" i="1"/>
  <c r="H3311" i="1"/>
  <c r="K3311" i="1"/>
  <c r="F4812" i="1"/>
  <c r="G4812" i="1"/>
  <c r="H4812" i="1"/>
  <c r="K4812" i="1"/>
  <c r="F6146" i="1"/>
  <c r="G6146" i="1"/>
  <c r="H6146" i="1"/>
  <c r="K6146" i="1"/>
  <c r="F6147" i="1"/>
  <c r="G6147" i="1"/>
  <c r="H6147" i="1"/>
  <c r="K6147" i="1"/>
  <c r="F7726" i="1"/>
  <c r="G7726" i="1"/>
  <c r="H7726" i="1"/>
  <c r="K7726" i="1"/>
  <c r="F7727" i="1"/>
  <c r="G7727" i="1"/>
  <c r="H7727" i="1"/>
  <c r="K7727" i="1"/>
  <c r="F2171" i="1"/>
  <c r="G2171" i="1"/>
  <c r="H2171" i="1"/>
  <c r="K2171" i="1"/>
  <c r="F4813" i="1"/>
  <c r="G4813" i="1"/>
  <c r="H4813" i="1"/>
  <c r="K4813" i="1"/>
  <c r="F3312" i="1"/>
  <c r="G3312" i="1"/>
  <c r="H3312" i="1"/>
  <c r="K3312" i="1"/>
  <c r="F6148" i="1"/>
  <c r="G6148" i="1"/>
  <c r="H6148" i="1"/>
  <c r="K6148" i="1"/>
  <c r="F2172" i="1"/>
  <c r="G2172" i="1"/>
  <c r="H2172" i="1"/>
  <c r="K2172" i="1"/>
  <c r="F4814" i="1"/>
  <c r="G4814" i="1"/>
  <c r="H4814" i="1"/>
  <c r="K4814" i="1"/>
  <c r="F4815" i="1"/>
  <c r="G4815" i="1"/>
  <c r="H4815" i="1"/>
  <c r="K4815" i="1"/>
  <c r="F3313" i="1"/>
  <c r="G3313" i="1"/>
  <c r="H3313" i="1"/>
  <c r="K3313" i="1"/>
  <c r="F2173" i="1"/>
  <c r="G2173" i="1"/>
  <c r="H2173" i="1"/>
  <c r="K2173" i="1"/>
  <c r="F2174" i="1"/>
  <c r="G2174" i="1"/>
  <c r="H2174" i="1"/>
  <c r="K2174" i="1"/>
  <c r="F6149" i="1"/>
  <c r="G6149" i="1"/>
  <c r="H6149" i="1"/>
  <c r="K6149" i="1"/>
  <c r="F3314" i="1"/>
  <c r="G3314" i="1"/>
  <c r="H3314" i="1"/>
  <c r="K3314" i="1"/>
  <c r="F3315" i="1"/>
  <c r="G3315" i="1"/>
  <c r="H3315" i="1"/>
  <c r="K3315" i="1"/>
  <c r="F4816" i="1"/>
  <c r="G4816" i="1"/>
  <c r="H4816" i="1"/>
  <c r="K4816" i="1"/>
  <c r="F4817" i="1"/>
  <c r="G4817" i="1"/>
  <c r="H4817" i="1"/>
  <c r="K4817" i="1"/>
  <c r="F2175" i="1"/>
  <c r="G2175" i="1"/>
  <c r="H2175" i="1"/>
  <c r="K2175" i="1"/>
  <c r="F2176" i="1"/>
  <c r="G2176" i="1"/>
  <c r="H2176" i="1"/>
  <c r="K2176" i="1"/>
  <c r="F2177" i="1"/>
  <c r="G2177" i="1"/>
  <c r="H2177" i="1"/>
  <c r="K2177" i="1"/>
  <c r="F4818" i="1"/>
  <c r="G4818" i="1"/>
  <c r="H4818" i="1"/>
  <c r="K4818" i="1"/>
  <c r="F2178" i="1"/>
  <c r="G2178" i="1"/>
  <c r="H2178" i="1"/>
  <c r="K2178" i="1"/>
  <c r="F2179" i="1"/>
  <c r="G2179" i="1"/>
  <c r="H2179" i="1"/>
  <c r="K2179" i="1"/>
  <c r="F4819" i="1"/>
  <c r="G4819" i="1"/>
  <c r="H4819" i="1"/>
  <c r="K4819" i="1"/>
  <c r="F3316" i="1"/>
  <c r="G3316" i="1"/>
  <c r="H3316" i="1"/>
  <c r="K3316" i="1"/>
  <c r="F3317" i="1"/>
  <c r="G3317" i="1"/>
  <c r="H3317" i="1"/>
  <c r="K3317" i="1"/>
  <c r="F3318" i="1"/>
  <c r="G3318" i="1"/>
  <c r="H3318" i="1"/>
  <c r="K3318" i="1"/>
  <c r="F3319" i="1"/>
  <c r="G3319" i="1"/>
  <c r="H3319" i="1"/>
  <c r="K3319" i="1"/>
  <c r="F3320" i="1"/>
  <c r="G3320" i="1"/>
  <c r="H3320" i="1"/>
  <c r="K3320" i="1"/>
  <c r="F3321" i="1"/>
  <c r="G3321" i="1"/>
  <c r="H3321" i="1"/>
  <c r="K3321" i="1"/>
  <c r="F4820" i="1"/>
  <c r="G4820" i="1"/>
  <c r="H4820" i="1"/>
  <c r="K4820" i="1"/>
  <c r="F4821" i="1"/>
  <c r="G4821" i="1"/>
  <c r="H4821" i="1"/>
  <c r="K4821" i="1"/>
  <c r="F4822" i="1"/>
  <c r="G4822" i="1"/>
  <c r="H4822" i="1"/>
  <c r="K4822" i="1"/>
  <c r="F4823" i="1"/>
  <c r="G4823" i="1"/>
  <c r="H4823" i="1"/>
  <c r="K4823" i="1"/>
  <c r="F4824" i="1"/>
  <c r="G4824" i="1"/>
  <c r="H4824" i="1"/>
  <c r="K4824" i="1"/>
  <c r="F4825" i="1"/>
  <c r="G4825" i="1"/>
  <c r="H4825" i="1"/>
  <c r="K4825" i="1"/>
  <c r="F4826" i="1"/>
  <c r="G4826" i="1"/>
  <c r="H4826" i="1"/>
  <c r="K4826" i="1"/>
  <c r="F2180" i="1"/>
  <c r="G2180" i="1"/>
  <c r="H2180" i="1"/>
  <c r="K2180" i="1"/>
  <c r="F2181" i="1"/>
  <c r="G2181" i="1"/>
  <c r="H2181" i="1"/>
  <c r="K2181" i="1"/>
  <c r="F2182" i="1"/>
  <c r="G2182" i="1"/>
  <c r="H2182" i="1"/>
  <c r="K2182" i="1"/>
  <c r="F2183" i="1"/>
  <c r="G2183" i="1"/>
  <c r="H2183" i="1"/>
  <c r="K2183" i="1"/>
  <c r="F2184" i="1"/>
  <c r="G2184" i="1"/>
  <c r="H2184" i="1"/>
  <c r="K2184" i="1"/>
  <c r="F6150" i="1"/>
  <c r="G6150" i="1"/>
  <c r="H6150" i="1"/>
  <c r="K6150" i="1"/>
  <c r="F2185" i="1"/>
  <c r="G2185" i="1"/>
  <c r="H2185" i="1"/>
  <c r="K2185" i="1"/>
  <c r="F6151" i="1"/>
  <c r="G6151" i="1"/>
  <c r="H6151" i="1"/>
  <c r="K6151" i="1"/>
  <c r="F4827" i="1"/>
  <c r="G4827" i="1"/>
  <c r="H4827" i="1"/>
  <c r="K4827" i="1"/>
  <c r="F3322" i="1"/>
  <c r="G3322" i="1"/>
  <c r="H3322" i="1"/>
  <c r="K3322" i="1"/>
  <c r="F3323" i="1"/>
  <c r="G3323" i="1"/>
  <c r="H3323" i="1"/>
  <c r="K3323" i="1"/>
  <c r="F7728" i="1"/>
  <c r="G7728" i="1"/>
  <c r="H7728" i="1"/>
  <c r="K7728" i="1"/>
  <c r="F7729" i="1"/>
  <c r="G7729" i="1"/>
  <c r="H7729" i="1"/>
  <c r="K7729" i="1"/>
  <c r="F7730" i="1"/>
  <c r="G7730" i="1"/>
  <c r="H7730" i="1"/>
  <c r="K7730" i="1"/>
  <c r="F3324" i="1"/>
  <c r="G3324" i="1"/>
  <c r="H3324" i="1"/>
  <c r="K3324" i="1"/>
  <c r="F7731" i="1"/>
  <c r="G7731" i="1"/>
  <c r="H7731" i="1"/>
  <c r="K7731" i="1"/>
  <c r="F2186" i="1"/>
  <c r="G2186" i="1"/>
  <c r="H2186" i="1"/>
  <c r="K2186" i="1"/>
  <c r="F2187" i="1"/>
  <c r="G2187" i="1"/>
  <c r="H2187" i="1"/>
  <c r="K2187" i="1"/>
  <c r="F4828" i="1"/>
  <c r="G4828" i="1"/>
  <c r="H4828" i="1"/>
  <c r="K4828" i="1"/>
  <c r="F3325" i="1"/>
  <c r="G3325" i="1"/>
  <c r="H3325" i="1"/>
  <c r="K3325" i="1"/>
  <c r="F2188" i="1"/>
  <c r="G2188" i="1"/>
  <c r="H2188" i="1"/>
  <c r="K2188" i="1"/>
  <c r="F7732" i="1"/>
  <c r="G7732" i="1"/>
  <c r="H7732" i="1"/>
  <c r="K7732" i="1"/>
  <c r="F7733" i="1"/>
  <c r="G7733" i="1"/>
  <c r="H7733" i="1"/>
  <c r="K7733" i="1"/>
  <c r="F7734" i="1"/>
  <c r="G7734" i="1"/>
  <c r="H7734" i="1"/>
  <c r="K7734" i="1"/>
  <c r="F6152" i="1"/>
  <c r="G6152" i="1"/>
  <c r="H6152" i="1"/>
  <c r="K6152" i="1"/>
  <c r="F3326" i="1"/>
  <c r="G3326" i="1"/>
  <c r="H3326" i="1"/>
  <c r="K3326" i="1"/>
  <c r="F6153" i="1"/>
  <c r="G6153" i="1"/>
  <c r="H6153" i="1"/>
  <c r="K6153" i="1"/>
  <c r="F6154" i="1"/>
  <c r="G6154" i="1"/>
  <c r="H6154" i="1"/>
  <c r="K6154" i="1"/>
  <c r="F3327" i="1"/>
  <c r="G3327" i="1"/>
  <c r="H3327" i="1"/>
  <c r="K3327" i="1"/>
  <c r="F6155" i="1"/>
  <c r="G6155" i="1"/>
  <c r="H6155" i="1"/>
  <c r="K6155" i="1"/>
  <c r="F7735" i="1"/>
  <c r="G7735" i="1"/>
  <c r="H7735" i="1"/>
  <c r="K7735" i="1"/>
  <c r="F2189" i="1"/>
  <c r="G2189" i="1"/>
  <c r="H2189" i="1"/>
  <c r="K2189" i="1"/>
  <c r="F2190" i="1"/>
  <c r="G2190" i="1"/>
  <c r="H2190" i="1"/>
  <c r="K2190" i="1"/>
  <c r="F6156" i="1"/>
  <c r="G6156" i="1"/>
  <c r="H6156" i="1"/>
  <c r="K6156" i="1"/>
  <c r="F3328" i="1"/>
  <c r="G3328" i="1"/>
  <c r="H3328" i="1"/>
  <c r="K3328" i="1"/>
  <c r="F7736" i="1"/>
  <c r="G7736" i="1"/>
  <c r="H7736" i="1"/>
  <c r="K7736" i="1"/>
  <c r="F7737" i="1"/>
  <c r="G7737" i="1"/>
  <c r="H7737" i="1"/>
  <c r="K7737" i="1"/>
  <c r="F4829" i="1"/>
  <c r="G4829" i="1"/>
  <c r="H4829" i="1"/>
  <c r="K4829" i="1"/>
  <c r="F4830" i="1"/>
  <c r="G4830" i="1"/>
  <c r="H4830" i="1"/>
  <c r="K4830" i="1"/>
  <c r="F2191" i="1"/>
  <c r="G2191" i="1"/>
  <c r="H2191" i="1"/>
  <c r="K2191" i="1"/>
  <c r="F7738" i="1"/>
  <c r="G7738" i="1"/>
  <c r="H7738" i="1"/>
  <c r="K7738" i="1"/>
  <c r="F7739" i="1"/>
  <c r="G7739" i="1"/>
  <c r="H7739" i="1"/>
  <c r="K7739" i="1"/>
  <c r="F7740" i="1"/>
  <c r="G7740" i="1"/>
  <c r="H7740" i="1"/>
  <c r="K7740" i="1"/>
  <c r="F7741" i="1"/>
  <c r="G7741" i="1"/>
  <c r="H7741" i="1"/>
  <c r="K7741" i="1"/>
  <c r="F4831" i="1"/>
  <c r="G4831" i="1"/>
  <c r="H4831" i="1"/>
  <c r="K4831" i="1"/>
  <c r="F6157" i="1"/>
  <c r="G6157" i="1"/>
  <c r="H6157" i="1"/>
  <c r="K6157" i="1"/>
  <c r="F7742" i="1"/>
  <c r="G7742" i="1"/>
  <c r="H7742" i="1"/>
  <c r="K7742" i="1"/>
  <c r="F6158" i="1"/>
  <c r="G6158" i="1"/>
  <c r="H6158" i="1"/>
  <c r="K6158" i="1"/>
  <c r="F6159" i="1"/>
  <c r="G6159" i="1"/>
  <c r="H6159" i="1"/>
  <c r="K6159" i="1"/>
  <c r="F2192" i="1"/>
  <c r="G2192" i="1"/>
  <c r="H2192" i="1"/>
  <c r="K2192" i="1"/>
  <c r="F2193" i="1"/>
  <c r="G2193" i="1"/>
  <c r="H2193" i="1"/>
  <c r="K2193" i="1"/>
  <c r="F2194" i="1"/>
  <c r="G2194" i="1"/>
  <c r="H2194" i="1"/>
  <c r="K2194" i="1"/>
  <c r="F2195" i="1"/>
  <c r="G2195" i="1"/>
  <c r="H2195" i="1"/>
  <c r="K2195" i="1"/>
  <c r="F7743" i="1"/>
  <c r="G7743" i="1"/>
  <c r="H7743" i="1"/>
  <c r="K7743" i="1"/>
  <c r="F7744" i="1"/>
  <c r="G7744" i="1"/>
  <c r="H7744" i="1"/>
  <c r="K7744" i="1"/>
  <c r="F4832" i="1"/>
  <c r="G4832" i="1"/>
  <c r="H4832" i="1"/>
  <c r="K4832" i="1"/>
  <c r="F2196" i="1"/>
  <c r="G2196" i="1"/>
  <c r="H2196" i="1"/>
  <c r="K2196" i="1"/>
  <c r="F4833" i="1"/>
  <c r="G4833" i="1"/>
  <c r="H4833" i="1"/>
  <c r="K4833" i="1"/>
  <c r="F6160" i="1"/>
  <c r="G6160" i="1"/>
  <c r="H6160" i="1"/>
  <c r="K6160" i="1"/>
  <c r="F4834" i="1"/>
  <c r="G4834" i="1"/>
  <c r="H4834" i="1"/>
  <c r="K4834" i="1"/>
  <c r="F2197" i="1"/>
  <c r="G2197" i="1"/>
  <c r="H2197" i="1"/>
  <c r="K2197" i="1"/>
  <c r="F6161" i="1"/>
  <c r="G6161" i="1"/>
  <c r="H6161" i="1"/>
  <c r="K6161" i="1"/>
  <c r="F2198" i="1"/>
  <c r="G2198" i="1"/>
  <c r="H2198" i="1"/>
  <c r="K2198" i="1"/>
  <c r="F2199" i="1"/>
  <c r="G2199" i="1"/>
  <c r="H2199" i="1"/>
  <c r="K2199" i="1"/>
  <c r="F2200" i="1"/>
  <c r="G2200" i="1"/>
  <c r="H2200" i="1"/>
  <c r="K2200" i="1"/>
  <c r="F2201" i="1"/>
  <c r="G2201" i="1"/>
  <c r="H2201" i="1"/>
  <c r="K2201" i="1"/>
  <c r="F4835" i="1"/>
  <c r="G4835" i="1"/>
  <c r="H4835" i="1"/>
  <c r="K4835" i="1"/>
  <c r="F4836" i="1"/>
  <c r="G4836" i="1"/>
  <c r="H4836" i="1"/>
  <c r="K4836" i="1"/>
  <c r="F4837" i="1"/>
  <c r="G4837" i="1"/>
  <c r="H4837" i="1"/>
  <c r="K4837" i="1"/>
  <c r="F6162" i="1"/>
  <c r="G6162" i="1"/>
  <c r="H6162" i="1"/>
  <c r="K6162" i="1"/>
  <c r="F2202" i="1"/>
  <c r="G2202" i="1"/>
  <c r="H2202" i="1"/>
  <c r="K2202" i="1"/>
  <c r="F2203" i="1"/>
  <c r="G2203" i="1"/>
  <c r="H2203" i="1"/>
  <c r="K2203" i="1"/>
  <c r="F4838" i="1"/>
  <c r="G4838" i="1"/>
  <c r="H4838" i="1"/>
  <c r="K4838" i="1"/>
  <c r="F3329" i="1"/>
  <c r="G3329" i="1"/>
  <c r="H3329" i="1"/>
  <c r="K3329" i="1"/>
  <c r="F6163" i="1"/>
  <c r="G6163" i="1"/>
  <c r="H6163" i="1"/>
  <c r="K6163" i="1"/>
  <c r="F6164" i="1"/>
  <c r="G6164" i="1"/>
  <c r="H6164" i="1"/>
  <c r="K6164" i="1"/>
  <c r="F4839" i="1"/>
  <c r="G4839" i="1"/>
  <c r="H4839" i="1"/>
  <c r="K4839" i="1"/>
  <c r="F7745" i="1"/>
  <c r="G7745" i="1"/>
  <c r="H7745" i="1"/>
  <c r="K7745" i="1"/>
  <c r="F2204" i="1"/>
  <c r="G2204" i="1"/>
  <c r="H2204" i="1"/>
  <c r="K2204" i="1"/>
  <c r="F4840" i="1"/>
  <c r="G4840" i="1"/>
  <c r="H4840" i="1"/>
  <c r="K4840" i="1"/>
  <c r="F4841" i="1"/>
  <c r="G4841" i="1"/>
  <c r="H4841" i="1"/>
  <c r="K4841" i="1"/>
  <c r="F4842" i="1"/>
  <c r="G4842" i="1"/>
  <c r="H4842" i="1"/>
  <c r="K4842" i="1"/>
  <c r="F4843" i="1"/>
  <c r="G4843" i="1"/>
  <c r="H4843" i="1"/>
  <c r="K4843" i="1"/>
  <c r="F4844" i="1"/>
  <c r="G4844" i="1"/>
  <c r="H4844" i="1"/>
  <c r="K4844" i="1"/>
  <c r="F4845" i="1"/>
  <c r="G4845" i="1"/>
  <c r="H4845" i="1"/>
  <c r="K4845" i="1"/>
  <c r="F4846" i="1"/>
  <c r="G4846" i="1"/>
  <c r="H4846" i="1"/>
  <c r="K4846" i="1"/>
  <c r="F4847" i="1"/>
  <c r="G4847" i="1"/>
  <c r="H4847" i="1"/>
  <c r="K4847" i="1"/>
  <c r="F4848" i="1"/>
  <c r="G4848" i="1"/>
  <c r="H4848" i="1"/>
  <c r="K4848" i="1"/>
  <c r="F4849" i="1"/>
  <c r="G4849" i="1"/>
  <c r="H4849" i="1"/>
  <c r="K4849" i="1"/>
  <c r="F4850" i="1"/>
  <c r="G4850" i="1"/>
  <c r="H4850" i="1"/>
  <c r="K4850" i="1"/>
  <c r="F4851" i="1"/>
  <c r="G4851" i="1"/>
  <c r="H4851" i="1"/>
  <c r="K4851" i="1"/>
  <c r="F6165" i="1"/>
  <c r="G6165" i="1"/>
  <c r="H6165" i="1"/>
  <c r="K6165" i="1"/>
  <c r="F6166" i="1"/>
  <c r="G6166" i="1"/>
  <c r="H6166" i="1"/>
  <c r="K6166" i="1"/>
  <c r="F6167" i="1"/>
  <c r="G6167" i="1"/>
  <c r="H6167" i="1"/>
  <c r="K6167" i="1"/>
  <c r="F6168" i="1"/>
  <c r="G6168" i="1"/>
  <c r="H6168" i="1"/>
  <c r="K6168" i="1"/>
  <c r="F6169" i="1"/>
  <c r="G6169" i="1"/>
  <c r="H6169" i="1"/>
  <c r="K6169" i="1"/>
  <c r="F3330" i="1"/>
  <c r="G3330" i="1"/>
  <c r="H3330" i="1"/>
  <c r="K3330" i="1"/>
  <c r="F3331" i="1"/>
  <c r="G3331" i="1"/>
  <c r="H3331" i="1"/>
  <c r="K3331" i="1"/>
  <c r="F2205" i="1"/>
  <c r="G2205" i="1"/>
  <c r="H2205" i="1"/>
  <c r="K2205" i="1"/>
  <c r="F2206" i="1"/>
  <c r="G2206" i="1"/>
  <c r="H2206" i="1"/>
  <c r="K2206" i="1"/>
  <c r="F4852" i="1"/>
  <c r="G4852" i="1"/>
  <c r="H4852" i="1"/>
  <c r="K4852" i="1"/>
  <c r="F2207" i="1"/>
  <c r="G2207" i="1"/>
  <c r="H2207" i="1"/>
  <c r="K2207" i="1"/>
  <c r="F2208" i="1"/>
  <c r="G2208" i="1"/>
  <c r="H2208" i="1"/>
  <c r="K2208" i="1"/>
  <c r="F3332" i="1"/>
  <c r="G3332" i="1"/>
  <c r="H3332" i="1"/>
  <c r="K3332" i="1"/>
  <c r="F2209" i="1"/>
  <c r="G2209" i="1"/>
  <c r="H2209" i="1"/>
  <c r="K2209" i="1"/>
  <c r="F2210" i="1"/>
  <c r="G2210" i="1"/>
  <c r="H2210" i="1"/>
  <c r="K2210" i="1"/>
  <c r="F2211" i="1"/>
  <c r="G2211" i="1"/>
  <c r="H2211" i="1"/>
  <c r="K2211" i="1"/>
  <c r="F4853" i="1"/>
  <c r="G4853" i="1"/>
  <c r="H4853" i="1"/>
  <c r="K4853" i="1"/>
  <c r="F2212" i="1"/>
  <c r="G2212" i="1"/>
  <c r="H2212" i="1"/>
  <c r="K2212" i="1"/>
  <c r="F4854" i="1"/>
  <c r="G4854" i="1"/>
  <c r="H4854" i="1"/>
  <c r="K4854" i="1"/>
  <c r="F2213" i="1"/>
  <c r="G2213" i="1"/>
  <c r="H2213" i="1"/>
  <c r="K2213" i="1"/>
  <c r="F4855" i="1"/>
  <c r="G4855" i="1"/>
  <c r="H4855" i="1"/>
  <c r="K4855" i="1"/>
  <c r="F4856" i="1"/>
  <c r="G4856" i="1"/>
  <c r="H4856" i="1"/>
  <c r="K4856" i="1"/>
  <c r="F7746" i="1"/>
  <c r="G7746" i="1"/>
  <c r="H7746" i="1"/>
  <c r="K7746" i="1"/>
  <c r="F7747" i="1"/>
  <c r="G7747" i="1"/>
  <c r="H7747" i="1"/>
  <c r="K7747" i="1"/>
  <c r="F2214" i="1"/>
  <c r="G2214" i="1"/>
  <c r="H2214" i="1"/>
  <c r="K2214" i="1"/>
  <c r="F6170" i="1"/>
  <c r="G6170" i="1"/>
  <c r="H6170" i="1"/>
  <c r="K6170" i="1"/>
  <c r="F2215" i="1"/>
  <c r="G2215" i="1"/>
  <c r="H2215" i="1"/>
  <c r="K2215" i="1"/>
  <c r="F4857" i="1"/>
  <c r="G4857" i="1"/>
  <c r="H4857" i="1"/>
  <c r="K4857" i="1"/>
  <c r="F2216" i="1"/>
  <c r="G2216" i="1"/>
  <c r="H2216" i="1"/>
  <c r="K2216" i="1"/>
  <c r="F6171" i="1"/>
  <c r="G6171" i="1"/>
  <c r="H6171" i="1"/>
  <c r="K6171" i="1"/>
  <c r="F2217" i="1"/>
  <c r="G2217" i="1"/>
  <c r="H2217" i="1"/>
  <c r="K2217" i="1"/>
  <c r="F7748" i="1"/>
  <c r="G7748" i="1"/>
  <c r="H7748" i="1"/>
  <c r="K7748" i="1"/>
  <c r="F2218" i="1"/>
  <c r="G2218" i="1"/>
  <c r="H2218" i="1"/>
  <c r="K2218" i="1"/>
  <c r="F7749" i="1"/>
  <c r="G7749" i="1"/>
  <c r="H7749" i="1"/>
  <c r="K7749" i="1"/>
  <c r="F4858" i="1"/>
  <c r="G4858" i="1"/>
  <c r="H4858" i="1"/>
  <c r="K4858" i="1"/>
  <c r="F4859" i="1"/>
  <c r="G4859" i="1"/>
  <c r="H4859" i="1"/>
  <c r="K4859" i="1"/>
  <c r="F2219" i="1"/>
  <c r="G2219" i="1"/>
  <c r="H2219" i="1"/>
  <c r="K2219" i="1"/>
  <c r="F2220" i="1"/>
  <c r="G2220" i="1"/>
  <c r="H2220" i="1"/>
  <c r="K2220" i="1"/>
  <c r="F2221" i="1"/>
  <c r="G2221" i="1"/>
  <c r="H2221" i="1"/>
  <c r="K2221" i="1"/>
  <c r="F4860" i="1"/>
  <c r="G4860" i="1"/>
  <c r="H4860" i="1"/>
  <c r="K4860" i="1"/>
  <c r="F6172" i="1"/>
  <c r="G6172" i="1"/>
  <c r="H6172" i="1"/>
  <c r="K6172" i="1"/>
  <c r="F3333" i="1"/>
  <c r="G3333" i="1"/>
  <c r="H3333" i="1"/>
  <c r="K3333" i="1"/>
  <c r="F2222" i="1"/>
  <c r="G2222" i="1"/>
  <c r="H2222" i="1"/>
  <c r="K2222" i="1"/>
  <c r="F3334" i="1"/>
  <c r="G3334" i="1"/>
  <c r="H3334" i="1"/>
  <c r="K3334" i="1"/>
  <c r="F4861" i="1"/>
  <c r="G4861" i="1"/>
  <c r="H4861" i="1"/>
  <c r="K4861" i="1"/>
  <c r="F4862" i="1"/>
  <c r="G4862" i="1"/>
  <c r="H4862" i="1"/>
  <c r="K4862" i="1"/>
  <c r="F7750" i="1"/>
  <c r="G7750" i="1"/>
  <c r="H7750" i="1"/>
  <c r="K7750" i="1"/>
  <c r="F6173" i="1"/>
  <c r="G6173" i="1"/>
  <c r="H6173" i="1"/>
  <c r="K6173" i="1"/>
  <c r="F2223" i="1"/>
  <c r="G2223" i="1"/>
  <c r="H2223" i="1"/>
  <c r="K2223" i="1"/>
  <c r="F2224" i="1"/>
  <c r="G2224" i="1"/>
  <c r="H2224" i="1"/>
  <c r="K2224" i="1"/>
  <c r="F2225" i="1"/>
  <c r="G2225" i="1"/>
  <c r="H2225" i="1"/>
  <c r="K2225" i="1"/>
  <c r="F6174" i="1"/>
  <c r="G6174" i="1"/>
  <c r="H6174" i="1"/>
  <c r="K6174" i="1"/>
  <c r="F7751" i="1"/>
  <c r="G7751" i="1"/>
  <c r="H7751" i="1"/>
  <c r="K7751" i="1"/>
  <c r="F2226" i="1"/>
  <c r="G2226" i="1"/>
  <c r="H2226" i="1"/>
  <c r="K2226" i="1"/>
  <c r="F2227" i="1"/>
  <c r="G2227" i="1"/>
  <c r="H2227" i="1"/>
  <c r="K2227" i="1"/>
  <c r="F2228" i="1"/>
  <c r="G2228" i="1"/>
  <c r="H2228" i="1"/>
  <c r="K2228" i="1"/>
  <c r="F6175" i="1"/>
  <c r="G6175" i="1"/>
  <c r="H6175" i="1"/>
  <c r="K6175" i="1"/>
  <c r="F4863" i="1"/>
  <c r="G4863" i="1"/>
  <c r="H4863" i="1"/>
  <c r="K4863" i="1"/>
  <c r="F2229" i="1"/>
  <c r="G2229" i="1"/>
  <c r="H2229" i="1"/>
  <c r="K2229" i="1"/>
  <c r="F3335" i="1"/>
  <c r="G3335" i="1"/>
  <c r="H3335" i="1"/>
  <c r="K3335" i="1"/>
  <c r="F2230" i="1"/>
  <c r="G2230" i="1"/>
  <c r="H2230" i="1"/>
  <c r="K2230" i="1"/>
  <c r="F2231" i="1"/>
  <c r="G2231" i="1"/>
  <c r="H2231" i="1"/>
  <c r="K2231" i="1"/>
  <c r="F4864" i="1"/>
  <c r="G4864" i="1"/>
  <c r="H4864" i="1"/>
  <c r="K4864" i="1"/>
  <c r="F3336" i="1"/>
  <c r="G3336" i="1"/>
  <c r="H3336" i="1"/>
  <c r="K3336" i="1"/>
  <c r="F2232" i="1"/>
  <c r="G2232" i="1"/>
  <c r="H2232" i="1"/>
  <c r="K2232" i="1"/>
  <c r="F3337" i="1"/>
  <c r="G3337" i="1"/>
  <c r="H3337" i="1"/>
  <c r="K3337" i="1"/>
  <c r="F2233" i="1"/>
  <c r="G2233" i="1"/>
  <c r="H2233" i="1"/>
  <c r="K2233" i="1"/>
</calcChain>
</file>

<file path=xl/sharedStrings.xml><?xml version="1.0" encoding="utf-8"?>
<sst xmlns="http://schemas.openxmlformats.org/spreadsheetml/2006/main" count="46445" uniqueCount="12642">
  <si>
    <t>Year</t>
  </si>
  <si>
    <t>Owner Name</t>
  </si>
  <si>
    <t>Owner Address</t>
  </si>
  <si>
    <t>City</t>
  </si>
  <si>
    <t>State</t>
  </si>
  <si>
    <t>Zip Code</t>
  </si>
  <si>
    <t>PIO Number</t>
  </si>
  <si>
    <t>Amount</t>
  </si>
  <si>
    <t>Agency Name</t>
  </si>
  <si>
    <t>Nature of Funds Description</t>
  </si>
  <si>
    <t>Check#</t>
  </si>
  <si>
    <t>1744 DUNCAN LLC</t>
  </si>
  <si>
    <t>4115 Piehl Rd</t>
  </si>
  <si>
    <t>Ottawa Lake</t>
  </si>
  <si>
    <t>MI</t>
  </si>
  <si>
    <t>Auditor</t>
  </si>
  <si>
    <t>Outstanding Checks Q2 2022</t>
  </si>
  <si>
    <t>1811 ADAMS STREET LLC</t>
  </si>
  <si>
    <t>4329 Bellvue Rd</t>
  </si>
  <si>
    <t>Toledo</t>
  </si>
  <si>
    <t>OH</t>
  </si>
  <si>
    <t>Outstanding Checks Q1 2023</t>
  </si>
  <si>
    <t>2921 LAWRENCE AVE LAND TR</t>
  </si>
  <si>
    <t>C/O Brenda Walton, Po Box 771</t>
  </si>
  <si>
    <t>Outstanding Checks Q1 2024</t>
  </si>
  <si>
    <t>53 BANK</t>
  </si>
  <si>
    <t>550 North Summit Street</t>
  </si>
  <si>
    <t>Clerk of Courts</t>
  </si>
  <si>
    <t>Criminal Outstanding Checks 2020</t>
  </si>
  <si>
    <t>A &amp; J Auto LLC</t>
  </si>
  <si>
    <t>3538 N Holland Sylvania Rd</t>
  </si>
  <si>
    <t>Auto Title Unclaimed Checks 2020</t>
  </si>
  <si>
    <t>AARON D NELSON WELCH</t>
  </si>
  <si>
    <t>2349 Berdan Ave</t>
  </si>
  <si>
    <t>2022 Outstanding Checks</t>
  </si>
  <si>
    <t>AARON G BERGER</t>
  </si>
  <si>
    <t>1340 Abbott Ave</t>
  </si>
  <si>
    <t>AARON GAMBY</t>
  </si>
  <si>
    <t>4569 Overland Pkwy</t>
  </si>
  <si>
    <t>Jury 2023 Outstanding Checks</t>
  </si>
  <si>
    <t>AARON JOHN MENASIAN</t>
  </si>
  <si>
    <t>2325 Shoreland Ave Apt 117</t>
  </si>
  <si>
    <t>Unclaimed 2019 Jury Checks</t>
  </si>
  <si>
    <t>AARON KEYER</t>
  </si>
  <si>
    <t>10804 Reed Rd</t>
  </si>
  <si>
    <t>Monclova</t>
  </si>
  <si>
    <t>AARON L CAMPOS</t>
  </si>
  <si>
    <t>2122 Green Valley Dr</t>
  </si>
  <si>
    <t>AARON M BYRAM</t>
  </si>
  <si>
    <t>5553 Kilburn Rd</t>
  </si>
  <si>
    <t>Sylvania</t>
  </si>
  <si>
    <t>Jury Unclaimed Checks 2020</t>
  </si>
  <si>
    <t>AARON M ESCARENO</t>
  </si>
  <si>
    <t>4650 Burnham Ave</t>
  </si>
  <si>
    <t>AARON M METZGER</t>
  </si>
  <si>
    <t>4032 Walker Ave</t>
  </si>
  <si>
    <t>AARON M PERRY</t>
  </si>
  <si>
    <t>1422 Eastland Dr</t>
  </si>
  <si>
    <t>Oregon</t>
  </si>
  <si>
    <t>AARON M RAWSON</t>
  </si>
  <si>
    <t>2426 Carriage Dr</t>
  </si>
  <si>
    <t>2021 Outstanding Checks</t>
  </si>
  <si>
    <t>AARON M SHEETS</t>
  </si>
  <si>
    <t>361 S River Rd</t>
  </si>
  <si>
    <t>Waterville</t>
  </si>
  <si>
    <t>AARON PARSONS</t>
  </si>
  <si>
    <t>2629 N Mccord Rd</t>
  </si>
  <si>
    <t>Aaron Prophet</t>
  </si>
  <si>
    <t>No Address</t>
  </si>
  <si>
    <t>Blue Springs</t>
  </si>
  <si>
    <t>MO</t>
  </si>
  <si>
    <t>Unclaimed 2019 Autotitle Checks</t>
  </si>
  <si>
    <t>AARON R SHIREY</t>
  </si>
  <si>
    <t>3547 Island Ave</t>
  </si>
  <si>
    <t>AARON WAINGROW</t>
  </si>
  <si>
    <t>871 Prouty Ave</t>
  </si>
  <si>
    <t>ABBEY M. FLYNN</t>
  </si>
  <si>
    <t>Domestic Relations Unclaimed Checks 2019-2020</t>
  </si>
  <si>
    <t>ABBIGAIL RAUSCH</t>
  </si>
  <si>
    <t>511 W Charles St</t>
  </si>
  <si>
    <t>Bucyrus</t>
  </si>
  <si>
    <t>7/1/2019 To 12/31/2019 Special Warrants</t>
  </si>
  <si>
    <t>ABDI AHMED</t>
  </si>
  <si>
    <t>3920 S Kenyon</t>
  </si>
  <si>
    <t>Seattle</t>
  </si>
  <si>
    <t>WA</t>
  </si>
  <si>
    <t>Sheriff</t>
  </si>
  <si>
    <t>Lc Sherriff Uf 11.01.2019 - 06.30.2021</t>
  </si>
  <si>
    <t>ABDUL MALIK,NADIYAH</t>
  </si>
  <si>
    <t>1262 Woodland Ave</t>
  </si>
  <si>
    <t>Outstanding Checks Q4 2020</t>
  </si>
  <si>
    <t>ABDULHAMID FAQI &amp; HAREDO GABOU</t>
  </si>
  <si>
    <t>4155 Piedmont Dr</t>
  </si>
  <si>
    <t>Outstanding Checks Q3 2022</t>
  </si>
  <si>
    <t>Abigail Galligan</t>
  </si>
  <si>
    <t>331 San Jose Dr.</t>
  </si>
  <si>
    <t>Domestic Relation Court - 2023 Outstanding Checks</t>
  </si>
  <si>
    <t>ABIGAIL HELDT</t>
  </si>
  <si>
    <t>1535 Forrester Dr</t>
  </si>
  <si>
    <t>ABIGAIL HOOK</t>
  </si>
  <si>
    <t>5078 Breezeway Dr</t>
  </si>
  <si>
    <t>ABIGAIL L BRENTLINGER</t>
  </si>
  <si>
    <t>6549 Woodhall Dr</t>
  </si>
  <si>
    <t>ABIGAIL SIEFERT</t>
  </si>
  <si>
    <t>7820 Harvest Gold Dr</t>
  </si>
  <si>
    <t>Holland</t>
  </si>
  <si>
    <t>ABOOD NORMAN A</t>
  </si>
  <si>
    <t>136 N Huron St</t>
  </si>
  <si>
    <t>2021 Clerk Of Courts - Civil Dept</t>
  </si>
  <si>
    <t>ABOUHASHISH ADAM</t>
  </si>
  <si>
    <t>664 Eastmore</t>
  </si>
  <si>
    <t>Columbus</t>
  </si>
  <si>
    <t>Access Support Services</t>
  </si>
  <si>
    <t>945 Nela Pkwy</t>
  </si>
  <si>
    <t>Outstanding Checks Q2 2020</t>
  </si>
  <si>
    <t>ADAM &amp; BRITTANY WILSON</t>
  </si>
  <si>
    <t>9648 Rolexia Ct</t>
  </si>
  <si>
    <t>Outstanding Checks Q1 2021</t>
  </si>
  <si>
    <t>ADAM ANTHONY FOREMAN</t>
  </si>
  <si>
    <t>14638 Wapakoneta Road</t>
  </si>
  <si>
    <t>Grand Rapids</t>
  </si>
  <si>
    <t>ADAM BASIL GINIER</t>
  </si>
  <si>
    <t>5001 South Ave Lot 183</t>
  </si>
  <si>
    <t>Adam Bohland</t>
  </si>
  <si>
    <t>905 W Wayne St</t>
  </si>
  <si>
    <t>Maumee</t>
  </si>
  <si>
    <t>Adam Conley</t>
  </si>
  <si>
    <t>909 Bradner Rd.</t>
  </si>
  <si>
    <t>Northwood</t>
  </si>
  <si>
    <t>ADAM ELLIOTT</t>
  </si>
  <si>
    <t>3251 N Reach Dr</t>
  </si>
  <si>
    <t>ADAM F WEISS</t>
  </si>
  <si>
    <t>1258 W Sylvania Ave Apt 1</t>
  </si>
  <si>
    <t>ADAM J DUBENDORFER</t>
  </si>
  <si>
    <t>2603 Elmridge Rd</t>
  </si>
  <si>
    <t>ADAM J LINKS</t>
  </si>
  <si>
    <t>4402 Grantley Rd</t>
  </si>
  <si>
    <t>Outstanding Checks Q1 2020</t>
  </si>
  <si>
    <t>ADAM LAURELL</t>
  </si>
  <si>
    <t>540 Lackawanna Ave</t>
  </si>
  <si>
    <t>ADAM M BAKER</t>
  </si>
  <si>
    <t>10309 Monclova Rd</t>
  </si>
  <si>
    <t>ADAM RAY PEINERT</t>
  </si>
  <si>
    <t>28 Naugatuck Way</t>
  </si>
  <si>
    <t>ADAM RUSGO</t>
  </si>
  <si>
    <t>3914 Fairwood Dr</t>
  </si>
  <si>
    <t>Adam Sugg</t>
  </si>
  <si>
    <t>3440 Corduroy Rd.</t>
  </si>
  <si>
    <t>Probate Court</t>
  </si>
  <si>
    <t>2023 Adp 000029 - Adp. (Sugg)</t>
  </si>
  <si>
    <t>ADAM TEBBE</t>
  </si>
  <si>
    <t>2302 Middlesex Dr</t>
  </si>
  <si>
    <t>ADAMCZEWSKI STEPHEN</t>
  </si>
  <si>
    <t>Homeless</t>
  </si>
  <si>
    <t>ADAMS APRIL</t>
  </si>
  <si>
    <t>P.O. Box 185</t>
  </si>
  <si>
    <t>Delta</t>
  </si>
  <si>
    <t>2021 Clerk Of Courts - Criminal Dept</t>
  </si>
  <si>
    <t>ADAMS AVANTE</t>
  </si>
  <si>
    <t>4125 Secor</t>
  </si>
  <si>
    <t>ADAMS CIARA</t>
  </si>
  <si>
    <t>3909 Airport</t>
  </si>
  <si>
    <t>ADAMS JOHN</t>
  </si>
  <si>
    <t>4594 Co. Rd. 3</t>
  </si>
  <si>
    <t>Swanton</t>
  </si>
  <si>
    <t>ADAMS JOSH</t>
  </si>
  <si>
    <t>ADAMS LETA</t>
  </si>
  <si>
    <t>1470 Pray Blvd. #116</t>
  </si>
  <si>
    <t>ADAMS STEVE</t>
  </si>
  <si>
    <t>Four Seagate Suite 400</t>
  </si>
  <si>
    <t>ADAMS STEVE   DAVID WISE ESQ</t>
  </si>
  <si>
    <t>Unclaimed 2019 Criminal Checks</t>
  </si>
  <si>
    <t>ADAMS VAN</t>
  </si>
  <si>
    <t>364 W Central</t>
  </si>
  <si>
    <t>ADAMSON,PETER</t>
  </si>
  <si>
    <t>3754 Barleyton Cir</t>
  </si>
  <si>
    <t>Outstanding Checks Q4 2022</t>
  </si>
  <si>
    <t>ADDO, RICHARD</t>
  </si>
  <si>
    <t>Health-November</t>
  </si>
  <si>
    <t>ADEBOWALE A ONABANJO</t>
  </si>
  <si>
    <t>3657 Dewlawn Dr</t>
  </si>
  <si>
    <t>ADELE DAHLIN</t>
  </si>
  <si>
    <t>3920 Wallwerth Dr</t>
  </si>
  <si>
    <t>Adeyemo, Fiyinfolvwa</t>
  </si>
  <si>
    <t>5656 Ryewyck Drive</t>
  </si>
  <si>
    <t>Outstanding Checks Q2 2024</t>
  </si>
  <si>
    <t>ADRAY JAMES</t>
  </si>
  <si>
    <t>Sandy Springs Road</t>
  </si>
  <si>
    <t>2023 Ci Outstanding Checks</t>
  </si>
  <si>
    <t>ADRENA JACKSON</t>
  </si>
  <si>
    <t>4228 Roundtree Drive</t>
  </si>
  <si>
    <t>ADRIAN A LIME</t>
  </si>
  <si>
    <t>1021 Berdan Ave</t>
  </si>
  <si>
    <t>Adrian Traynum</t>
  </si>
  <si>
    <t>905 Woodward</t>
  </si>
  <si>
    <t>2021 Clerk Of Courts - Auto Title Dept</t>
  </si>
  <si>
    <t>ADRIANA BINDER</t>
  </si>
  <si>
    <t>1111 Liberty St</t>
  </si>
  <si>
    <t>ADRIENNE OWENS</t>
  </si>
  <si>
    <t>1433 Tecumseh Street</t>
  </si>
  <si>
    <t>Unclaimed Funds - Bonds</t>
  </si>
  <si>
    <t>Advance Stores Company, Inc.</t>
  </si>
  <si>
    <t>Aap Financial Services, P.O. Box 742063</t>
  </si>
  <si>
    <t>Atlanta</t>
  </si>
  <si>
    <t>GA</t>
  </si>
  <si>
    <t>Outstanding Checks Q3 2023</t>
  </si>
  <si>
    <t>D.B.A. Advance Auto Parts   3139 King Rd.</t>
  </si>
  <si>
    <t>Outstanding Checks Q2 2021</t>
  </si>
  <si>
    <t>Advance Stores Company, Inc. dba Advance Auto Parts</t>
  </si>
  <si>
    <t>3139 King Rd</t>
  </si>
  <si>
    <t>AFJEH NASRIN</t>
  </si>
  <si>
    <t>3616 West Bancroft Street</t>
  </si>
  <si>
    <t>2019 Outstanding Checks</t>
  </si>
  <si>
    <t>AHEPA 118 INC</t>
  </si>
  <si>
    <t>Attn Paul M Jones Jr Esq, 435 E Main St Ste 220</t>
  </si>
  <si>
    <t>Greenwood</t>
  </si>
  <si>
    <t>IN</t>
  </si>
  <si>
    <t>Ahmad Alkhwiled</t>
  </si>
  <si>
    <t>5956 Red Oak Dr. Apt. 3</t>
  </si>
  <si>
    <t>Auto Title - 2023 Outstanding Checks</t>
  </si>
  <si>
    <t>AHMAD ATASSI</t>
  </si>
  <si>
    <t>5107 Chatham Vly</t>
  </si>
  <si>
    <t>Ahmad Kassem</t>
  </si>
  <si>
    <t>3916 Sheffield Dr.</t>
  </si>
  <si>
    <t>AHMAD KASSEM</t>
  </si>
  <si>
    <t>P O Box 350672</t>
  </si>
  <si>
    <t>AHMAD M AL-SYOOF</t>
  </si>
  <si>
    <t>1202 Sibley Rd</t>
  </si>
  <si>
    <t>AHMAD SN ABDULLAH</t>
  </si>
  <si>
    <t>4301 Woodmont Rd</t>
  </si>
  <si>
    <t>AHMED J SIMON</t>
  </si>
  <si>
    <t>330 Ponderosa Dr</t>
  </si>
  <si>
    <t>Aiden Yoon</t>
  </si>
  <si>
    <t>7415 Nightengale, Apt 9</t>
  </si>
  <si>
    <t>Outstanding Checks Q3 2021</t>
  </si>
  <si>
    <t>AIMEE HAGER</t>
  </si>
  <si>
    <t>2328 Charlestown Ave</t>
  </si>
  <si>
    <t>AISHA KELLY</t>
  </si>
  <si>
    <t>2928 Cheltenham</t>
  </si>
  <si>
    <t>Various Years (For Excess Funds)</t>
  </si>
  <si>
    <t>AKENBRANDT ROBERT</t>
  </si>
  <si>
    <t>323 W Broadway St</t>
  </si>
  <si>
    <t>AKIKI KRISTOPHER</t>
  </si>
  <si>
    <t>5856 Acres Unit 6C</t>
  </si>
  <si>
    <t>AL AZZAWI AZEEZ I</t>
  </si>
  <si>
    <t>3516 Granite Circle</t>
  </si>
  <si>
    <t>ALAA JIMENEZ</t>
  </si>
  <si>
    <t>5964 Red Oak Drive</t>
  </si>
  <si>
    <t>ALAN C BORDER</t>
  </si>
  <si>
    <t>6826 Greentree Ln</t>
  </si>
  <si>
    <t>ALAN KIRSHNER</t>
  </si>
  <si>
    <t>6800 W Central D 1</t>
  </si>
  <si>
    <t>Alan Kirshner</t>
  </si>
  <si>
    <t>6800 W. Central Ave., Ste. D-1</t>
  </si>
  <si>
    <t>2020 Est 002368 - Est. Of James L. Albring</t>
  </si>
  <si>
    <t>ALAN L MOLLENKAMP</t>
  </si>
  <si>
    <t>411 N Michigan Ste 300</t>
  </si>
  <si>
    <t>Civil Outstanding Checks 2020</t>
  </si>
  <si>
    <t>ALAN MICHAEL BORING</t>
  </si>
  <si>
    <t>1306 Cady St</t>
  </si>
  <si>
    <t>ALAN R KIRSHNER</t>
  </si>
  <si>
    <t>6800 W Central Ave D1</t>
  </si>
  <si>
    <t>2022 Clerk Of Courts - Civil Dept</t>
  </si>
  <si>
    <t>ALANA WHITE</t>
  </si>
  <si>
    <t>1240 Glenview Rd</t>
  </si>
  <si>
    <t>ALANNA R PALMER</t>
  </si>
  <si>
    <t>645 Marmion Ave</t>
  </si>
  <si>
    <t>ALASHIA NICOLE DAVIS</t>
  </si>
  <si>
    <t>2614 Westmar Ct Apt 318</t>
  </si>
  <si>
    <t>ALBERT LACOIEA</t>
  </si>
  <si>
    <t>4104 Fairview</t>
  </si>
  <si>
    <t>ALDO SHOE STORE</t>
  </si>
  <si>
    <t>5001 Monroe Street</t>
  </si>
  <si>
    <t>ALEAH BENEA FISCHER</t>
  </si>
  <si>
    <t>2278 Castlewood Dr</t>
  </si>
  <si>
    <t>ALEC BACON</t>
  </si>
  <si>
    <t>4723 Turnbridge Rd</t>
  </si>
  <si>
    <t>ALEC JAQUILLARD</t>
  </si>
  <si>
    <t>3018 Springwood St S</t>
  </si>
  <si>
    <t>ALEC PFAFF</t>
  </si>
  <si>
    <t>939 Oak St</t>
  </si>
  <si>
    <t>ALECIA DAVIS</t>
  </si>
  <si>
    <t>22 W. Streicher St, Apt 55</t>
  </si>
  <si>
    <t>ALEESHA K BOENING</t>
  </si>
  <si>
    <t>1310 Stanwix Dr</t>
  </si>
  <si>
    <t>ALEX C BOEHM</t>
  </si>
  <si>
    <t>832 Geneva Ave</t>
  </si>
  <si>
    <t>ALEX C CREEGER</t>
  </si>
  <si>
    <t>618 W John St</t>
  </si>
  <si>
    <t>ALEX FLOERING</t>
  </si>
  <si>
    <t>2836 Grantwood Dr</t>
  </si>
  <si>
    <t>ALEX LIM</t>
  </si>
  <si>
    <t>5364 Elmer Dr</t>
  </si>
  <si>
    <t>Alex Schaefer</t>
  </si>
  <si>
    <t>6035 Graystone Dr.</t>
  </si>
  <si>
    <t>7-1-2019 To 12-31-2019 Psoft Warrants</t>
  </si>
  <si>
    <t>ALEXAN LYCAON</t>
  </si>
  <si>
    <t>5608 Comet Ave</t>
  </si>
  <si>
    <t>ALEXANDAR RODRIGUEZ</t>
  </si>
  <si>
    <t>2009 Kelsey Ave</t>
  </si>
  <si>
    <t>ALEXANDER J RIEKER</t>
  </si>
  <si>
    <t>3237 Aldringham Rd</t>
  </si>
  <si>
    <t>ALEXANDER JEFFREY JACOBY</t>
  </si>
  <si>
    <t>6951 Williamsburg Dr</t>
  </si>
  <si>
    <t>ALEXANDER L WILLIAMS</t>
  </si>
  <si>
    <t>2209 Berdan Ave</t>
  </si>
  <si>
    <t>ALEXANDER M SCHRINEL</t>
  </si>
  <si>
    <t>617 Mcintyre Ln</t>
  </si>
  <si>
    <t>ALEXANDER NAPOLETANO</t>
  </si>
  <si>
    <t>4022 Penelope Dr</t>
  </si>
  <si>
    <t>ALEXANDER RAYMOND JR &amp; DOREANN D</t>
  </si>
  <si>
    <t>2825 Back Bay Dr</t>
  </si>
  <si>
    <t>ALEXANDER TIBOR MAK</t>
  </si>
  <si>
    <t>4312 N Holland Sylvania Rd  Apt 217</t>
  </si>
  <si>
    <t>ALEXANDER TITIONA</t>
  </si>
  <si>
    <t>1111 St Johns</t>
  </si>
  <si>
    <t>Lima</t>
  </si>
  <si>
    <t>ALEXANDER VAUGHN SOPER</t>
  </si>
  <si>
    <t>2250 Perrysburg Holland Rd</t>
  </si>
  <si>
    <t>ALEXANDRA JORDAN RIES</t>
  </si>
  <si>
    <t>4912 Oak Glen Dr</t>
  </si>
  <si>
    <t>ALEXANDRA KAREE HERTZFELD</t>
  </si>
  <si>
    <t>8423 Heller Rd</t>
  </si>
  <si>
    <t>Whitehouse</t>
  </si>
  <si>
    <t>ALEXANDRA KAY JAHNS</t>
  </si>
  <si>
    <t>1189 Bernath Pkwy</t>
  </si>
  <si>
    <t>ALEXANDRA LEIGH BACON</t>
  </si>
  <si>
    <t>4237 Harvest Ln</t>
  </si>
  <si>
    <t>ALEXANDRA M. GIBSON</t>
  </si>
  <si>
    <t>4445 Seagert</t>
  </si>
  <si>
    <t>ALEXANDRA RAVEN KANIA</t>
  </si>
  <si>
    <t>4033 Hillandale Rd Apt 4</t>
  </si>
  <si>
    <t>ALEXANDRA WALTON</t>
  </si>
  <si>
    <t>620 W Wayne St</t>
  </si>
  <si>
    <t>ALEXANDREA JOHNSON</t>
  </si>
  <si>
    <t>5923 Blossman Rd Apt 5</t>
  </si>
  <si>
    <t>ALEXANDRIA STOCKHAM</t>
  </si>
  <si>
    <t>4208 Asbury Dr</t>
  </si>
  <si>
    <t>ALEXIS LEEANN QUINLIVAN</t>
  </si>
  <si>
    <t>828 Cloverdale Rd</t>
  </si>
  <si>
    <t>Alfonzo Dixon</t>
  </si>
  <si>
    <t>205 South Fearing Blvd</t>
  </si>
  <si>
    <t>ALFRSANI FARIS</t>
  </si>
  <si>
    <t>2245 University Hills Boulevar</t>
  </si>
  <si>
    <t>ALGARIN LUIS</t>
  </si>
  <si>
    <t>1811 Oak</t>
  </si>
  <si>
    <t>ALI DARGHAM</t>
  </si>
  <si>
    <t>4040 Boynton Dr</t>
  </si>
  <si>
    <t>ALI M CHEAIB</t>
  </si>
  <si>
    <t>3021 Pinehurst Dr</t>
  </si>
  <si>
    <t>ALICE CLOUGH</t>
  </si>
  <si>
    <t>5735 Bernath Ct</t>
  </si>
  <si>
    <t>ALICE WINEINGER</t>
  </si>
  <si>
    <t>4615 Naomi Dr</t>
  </si>
  <si>
    <t>ALICE Y DUCK</t>
  </si>
  <si>
    <t>7245 Candlewood Ln</t>
  </si>
  <si>
    <t>ALICIA L LEONARD</t>
  </si>
  <si>
    <t>7519 Dorr St Lot 30</t>
  </si>
  <si>
    <t>Alicia Shepler</t>
  </si>
  <si>
    <t>845 Cherry St</t>
  </si>
  <si>
    <t>ALICIA SLAUGHTER</t>
  </si>
  <si>
    <t>3509 Woodmont Rd Apt 4</t>
  </si>
  <si>
    <t>Alicia Strong</t>
  </si>
  <si>
    <t>2265 Tingree</t>
  </si>
  <si>
    <t>Detroit</t>
  </si>
  <si>
    <t>ALIHEMMAT CHRISTOPHER</t>
  </si>
  <si>
    <t>2543 West Village</t>
  </si>
  <si>
    <t>ALISHA THOMAS</t>
  </si>
  <si>
    <t>1141 Northville Dr</t>
  </si>
  <si>
    <t>ALISIA KIMBRELL</t>
  </si>
  <si>
    <t>2720 Edwin St</t>
  </si>
  <si>
    <t>Alison Kucic</t>
  </si>
  <si>
    <t>4545 Deweese Rd</t>
  </si>
  <si>
    <t>Troy</t>
  </si>
  <si>
    <t>ALISON PRITCHARD</t>
  </si>
  <si>
    <t>2402 Oak Grove Pl</t>
  </si>
  <si>
    <t>ALISSA M LONG</t>
  </si>
  <si>
    <t>2447 S Fulton Lucas Rd</t>
  </si>
  <si>
    <t>ALLEN HENRY</t>
  </si>
  <si>
    <t>105 North Broad Street</t>
  </si>
  <si>
    <t>Canfield</t>
  </si>
  <si>
    <t>ALLEN MICHELLE</t>
  </si>
  <si>
    <t>3412 W Market St</t>
  </si>
  <si>
    <t>Akron</t>
  </si>
  <si>
    <t>ALLEN P HURTIG</t>
  </si>
  <si>
    <t>2714 Portland St</t>
  </si>
  <si>
    <t>ALLEN PARIS</t>
  </si>
  <si>
    <t>3049 Gorney Place</t>
  </si>
  <si>
    <t>ALLEN SHIRLEY</t>
  </si>
  <si>
    <t>936 Wall St</t>
  </si>
  <si>
    <t>Allen Sydnor</t>
  </si>
  <si>
    <t>2911 Lawrence Ave.</t>
  </si>
  <si>
    <t>2017 Est 1608 - Est. Of Gloria S. Reasonover</t>
  </si>
  <si>
    <t>ALLEN WAYNE SMITH</t>
  </si>
  <si>
    <t>5522 Cresthaven Ln</t>
  </si>
  <si>
    <t>Allen, Brandon S.</t>
  </si>
  <si>
    <t>2115 Price St</t>
  </si>
  <si>
    <t>Outstanding Checks Q4 2021</t>
  </si>
  <si>
    <t>ALLEN,JOHN</t>
  </si>
  <si>
    <t>505 Jefferson Ave, Apt 602</t>
  </si>
  <si>
    <t>ALLISON GUINARD</t>
  </si>
  <si>
    <t>3434 Rushland Ave</t>
  </si>
  <si>
    <t>ALLISON HOAG</t>
  </si>
  <si>
    <t>2222 Parkwood Ave</t>
  </si>
  <si>
    <t>ALLISON K JOHNSON</t>
  </si>
  <si>
    <t>3746 Sulphur Spring Rd</t>
  </si>
  <si>
    <t>ALLISON KATHLEEN SUCHOMMA</t>
  </si>
  <si>
    <t>7138 Bog Hollow Rd</t>
  </si>
  <si>
    <t>ALLISON N FREY</t>
  </si>
  <si>
    <t>3707 Rye Hill Ln</t>
  </si>
  <si>
    <t>Allison Wintrow</t>
  </si>
  <si>
    <t>237 Shrewsbury St</t>
  </si>
  <si>
    <t>Outstanding Checks Q1 2022</t>
  </si>
  <si>
    <t>ALLISSA MONIQUE NICHOLE GREEN</t>
  </si>
  <si>
    <t>3644 Wallace Blvd</t>
  </si>
  <si>
    <t>ALLSTATE INSURANCE COMPANY</t>
  </si>
  <si>
    <t>2775 Sanders Road</t>
  </si>
  <si>
    <t>Northbrook</t>
  </si>
  <si>
    <t>IL</t>
  </si>
  <si>
    <t>27555 Executive Dr      Ste 20</t>
  </si>
  <si>
    <t>Farmington Hills</t>
  </si>
  <si>
    <t>1360 East Ninth St</t>
  </si>
  <si>
    <t>Cleveland</t>
  </si>
  <si>
    <t>ALLSTATE PROPERTY AND CASUALTY</t>
  </si>
  <si>
    <t>75 Milford Dr</t>
  </si>
  <si>
    <t>Hudson</t>
  </si>
  <si>
    <t>Crossroads Property</t>
  </si>
  <si>
    <t>ALLYSON GIVENS</t>
  </si>
  <si>
    <t>2959 W Course Rd</t>
  </si>
  <si>
    <t>ALMA VICTORIA FULLER</t>
  </si>
  <si>
    <t>6649 Mill Ridge Rd</t>
  </si>
  <si>
    <t>ALTON JOSH</t>
  </si>
  <si>
    <t>1213 Prospect Ave E Ste 300</t>
  </si>
  <si>
    <t>Altoona Honda</t>
  </si>
  <si>
    <t>201 Valley View Blvd</t>
  </si>
  <si>
    <t>Altoona</t>
  </si>
  <si>
    <t>PA</t>
  </si>
  <si>
    <t>ALVARADO JOSE</t>
  </si>
  <si>
    <t>105 17Th</t>
  </si>
  <si>
    <t>ALVIN SHNIDER</t>
  </si>
  <si>
    <t>Po Box 206</t>
  </si>
  <si>
    <t>ALYCIA JOY MILLER</t>
  </si>
  <si>
    <t>4041 Bellevue Rd</t>
  </si>
  <si>
    <t>ALYSE M JOHNSON</t>
  </si>
  <si>
    <t>7427 Winterberry Ct</t>
  </si>
  <si>
    <t>ALYSSA J HECK</t>
  </si>
  <si>
    <t>549 S Berlin Ave</t>
  </si>
  <si>
    <t>ALYSSA KATHLEEN CATRI</t>
  </si>
  <si>
    <t>5362 Morrow Rd</t>
  </si>
  <si>
    <t>ALYSSA LITTON</t>
  </si>
  <si>
    <t>1214 Cribb St</t>
  </si>
  <si>
    <t>ALYSSA MARIE FISHER</t>
  </si>
  <si>
    <t>9058 S River Rd</t>
  </si>
  <si>
    <t>ALYSSA MARIE HAWES</t>
  </si>
  <si>
    <t>2625 Boxwood Rd</t>
  </si>
  <si>
    <t>ALYSSA MARIE SCHUMACHER</t>
  </si>
  <si>
    <t>2642 124Th St</t>
  </si>
  <si>
    <t>AMABEL M REESE</t>
  </si>
  <si>
    <t>4139 Boynton Dr</t>
  </si>
  <si>
    <t>Amanda A Ferko</t>
  </si>
  <si>
    <t>4835 Manor Ct  Apt 2</t>
  </si>
  <si>
    <t>Cape Coral</t>
  </si>
  <si>
    <t>FL</t>
  </si>
  <si>
    <t>AMANDA A HASHMI</t>
  </si>
  <si>
    <t>180 Kingswood Trail Dr</t>
  </si>
  <si>
    <t>AMANDA A SAWDY</t>
  </si>
  <si>
    <t>4225 Willis Blvd</t>
  </si>
  <si>
    <t>AMANDA B JUDKINS</t>
  </si>
  <si>
    <t>3133 Oak Grove Pl</t>
  </si>
  <si>
    <t>AMANDA CEGLIO</t>
  </si>
  <si>
    <t>2632 Hayden</t>
  </si>
  <si>
    <t>AMANDA E GLADIEUX</t>
  </si>
  <si>
    <t>1060 Heritage Ln</t>
  </si>
  <si>
    <t>AMANDA E WINCKOWSKI</t>
  </si>
  <si>
    <t>1607 Glenross Blvd</t>
  </si>
  <si>
    <t>AMANDA GILLESPIE</t>
  </si>
  <si>
    <t>5520 Heatherdowns #10</t>
  </si>
  <si>
    <t>AMANDA GRANDOWICZ</t>
  </si>
  <si>
    <t>5907 Pepperell Pl</t>
  </si>
  <si>
    <t>AMANDA LEE ZUNK</t>
  </si>
  <si>
    <t>340 S Reynolds Rd Lot 28</t>
  </si>
  <si>
    <t>AMANDA MEADE</t>
  </si>
  <si>
    <t>6527 Lincoln Green St</t>
  </si>
  <si>
    <t>AMANDA NICOLE HARSHMAN</t>
  </si>
  <si>
    <t>6001 Alexa Ln</t>
  </si>
  <si>
    <t>AMANDA PAIGE BACON</t>
  </si>
  <si>
    <t>2514 Taft Ave</t>
  </si>
  <si>
    <t>AMANDA ROCHELLE KIMBRELL</t>
  </si>
  <si>
    <t>3212 Chase St</t>
  </si>
  <si>
    <t>AMANDA ROSE KAISER</t>
  </si>
  <si>
    <t>4702 Brook Run</t>
  </si>
  <si>
    <t>AMANDA RUTH BELT</t>
  </si>
  <si>
    <t>2638 Glenwood Ave</t>
  </si>
  <si>
    <t>AMANDA SAWDON</t>
  </si>
  <si>
    <t>5955 Red Oak Dr</t>
  </si>
  <si>
    <t>Amanda Styer</t>
  </si>
  <si>
    <t>3040 Hardale Blvd, Apt A</t>
  </si>
  <si>
    <t>Ottawa Hills</t>
  </si>
  <si>
    <t>AMANDA WARMAN</t>
  </si>
  <si>
    <t>1635 S Mccord Rd Apt 121</t>
  </si>
  <si>
    <t>AMBER CLAY</t>
  </si>
  <si>
    <t>5901 Bear Creek Dr</t>
  </si>
  <si>
    <t>AMBER HENNESSY</t>
  </si>
  <si>
    <t>3514 Indian Oaks Ln</t>
  </si>
  <si>
    <t>AMBER HOLTON</t>
  </si>
  <si>
    <t>5202 Elaine Dr</t>
  </si>
  <si>
    <t>Amber J. Harmon</t>
  </si>
  <si>
    <t>3142 Cragmoor Ave.</t>
  </si>
  <si>
    <t>AMBER JACOBS</t>
  </si>
  <si>
    <t>3117 Darlington Rd</t>
  </si>
  <si>
    <t>AMBER L ARMSTRONG</t>
  </si>
  <si>
    <t>1524 Mustang Dr.</t>
  </si>
  <si>
    <t>Defiance</t>
  </si>
  <si>
    <t>AMBER L WHITEMAN</t>
  </si>
  <si>
    <t>317 E. Hillsdale Ln</t>
  </si>
  <si>
    <t>AMBER MARIE WALKER</t>
  </si>
  <si>
    <t>323 W Gramercy Ave</t>
  </si>
  <si>
    <t>Amber Packard</t>
  </si>
  <si>
    <t>3229 Dorian Court #2</t>
  </si>
  <si>
    <t>Juvenile Court</t>
  </si>
  <si>
    <t>AMBER PALOMIN</t>
  </si>
  <si>
    <t>2222 Angel Ave</t>
  </si>
  <si>
    <t>AMBER RHEA HAYES</t>
  </si>
  <si>
    <t>5141 Riviera Dr</t>
  </si>
  <si>
    <t>Amber Wallen</t>
  </si>
  <si>
    <t>701 Main St</t>
  </si>
  <si>
    <t>AMBRIEZ RICARDO PHILLIPE JR</t>
  </si>
  <si>
    <t>660 Dover Pl</t>
  </si>
  <si>
    <t>American Public Works Association</t>
  </si>
  <si>
    <t>D.B.A. Apwa Nw Ohio Chapter, 1189 W. Central Ave</t>
  </si>
  <si>
    <t>AMY &amp; JOSHUA HYMORE</t>
  </si>
  <si>
    <t>2163 Chalmette Dr</t>
  </si>
  <si>
    <t>AMY A KELLY</t>
  </si>
  <si>
    <t>6305 Jeffers Rd</t>
  </si>
  <si>
    <t>AMY BACON</t>
  </si>
  <si>
    <t>1010 E Fifth St</t>
  </si>
  <si>
    <t>Monroe</t>
  </si>
  <si>
    <t>AMY CHASCO</t>
  </si>
  <si>
    <t>2667 Tully Ave</t>
  </si>
  <si>
    <t>AMY CROWEL</t>
  </si>
  <si>
    <t>306 Elm St</t>
  </si>
  <si>
    <t>AMY JO FOX</t>
  </si>
  <si>
    <t>5206 Fern Dr</t>
  </si>
  <si>
    <t>AMY LINVILLE</t>
  </si>
  <si>
    <t>7106 Country Creek Rd</t>
  </si>
  <si>
    <t>AMY LYNN GALLAGHER</t>
  </si>
  <si>
    <t>2054 Bromford Rd</t>
  </si>
  <si>
    <t>AMY LYNN HENDERSON</t>
  </si>
  <si>
    <t>3001 Evergreen Rd</t>
  </si>
  <si>
    <t>AMY LYNN TRAUTWEIN</t>
  </si>
  <si>
    <t>3925 Torrance Drive 2</t>
  </si>
  <si>
    <t>AMY MICHELE CRAIG</t>
  </si>
  <si>
    <t>4315 Willis Blvd</t>
  </si>
  <si>
    <t>AMY MILLER</t>
  </si>
  <si>
    <t>1811 Middlesbrough Ct Apt 106</t>
  </si>
  <si>
    <t>AMY S RUSSELL</t>
  </si>
  <si>
    <t>2030 Miles Ave</t>
  </si>
  <si>
    <t>AMY WALLOW</t>
  </si>
  <si>
    <t>1796 Valley Way Dr</t>
  </si>
  <si>
    <t>Amy Warnimont</t>
  </si>
  <si>
    <t>4202 Ranchers Cir</t>
  </si>
  <si>
    <t>ANASTASIA MCCOY</t>
  </si>
  <si>
    <t>2216 Kenwood Apt 2, Apt 8</t>
  </si>
  <si>
    <t>Outstanding Checks 2024 Q3</t>
  </si>
  <si>
    <t>ANASTASIE CUNNINGHAM</t>
  </si>
  <si>
    <t>3933 Clareridge Dr Apt 2</t>
  </si>
  <si>
    <t>ANDERSON ANTHONY</t>
  </si>
  <si>
    <t>1920 Bryne   Apt #12</t>
  </si>
  <si>
    <t>ANDERSON JAMAR</t>
  </si>
  <si>
    <t>1328 E Broadway</t>
  </si>
  <si>
    <t>ANDERSON ROBERT</t>
  </si>
  <si>
    <t>3054 Pebble Court</t>
  </si>
  <si>
    <t>ANDERSON RONALD</t>
  </si>
  <si>
    <t>933 S Lallendorf</t>
  </si>
  <si>
    <t>ANDERSON TAWANA M</t>
  </si>
  <si>
    <t>3413 Polk Pl</t>
  </si>
  <si>
    <t>Andover Toledo LLC</t>
  </si>
  <si>
    <t>2647 Eastgate Rd</t>
  </si>
  <si>
    <t>ANDRE DUNKLIN</t>
  </si>
  <si>
    <t>3331 Arlington Ave Apt G316</t>
  </si>
  <si>
    <t>ANDRE L JACKSON</t>
  </si>
  <si>
    <t>3651 Wyckliffe Pkwy</t>
  </si>
  <si>
    <t>ANDREA CAVAZOS</t>
  </si>
  <si>
    <t>1334 Primrose Ave Apt 6</t>
  </si>
  <si>
    <t>ANDREA COLOMBARO</t>
  </si>
  <si>
    <t>2617 York St</t>
  </si>
  <si>
    <t>ANDREA D WHITENBURG</t>
  </si>
  <si>
    <t>2643 Boxwood Rd</t>
  </si>
  <si>
    <t>ANDREA F BIEDERMAN</t>
  </si>
  <si>
    <t>1461 Wilderness Dr</t>
  </si>
  <si>
    <t>ANDREA HENNING</t>
  </si>
  <si>
    <t>Po Box 353128</t>
  </si>
  <si>
    <t>ANDREA MARIE MURDOCK</t>
  </si>
  <si>
    <t>5940 Gany Mede Dr</t>
  </si>
  <si>
    <t>Andrea Marshall</t>
  </si>
  <si>
    <t>4345 Eastway St</t>
  </si>
  <si>
    <t>Outstanding Checks Q3 2020</t>
  </si>
  <si>
    <t>ANDREA MARSHALL</t>
  </si>
  <si>
    <t>543 Chickadee Ln</t>
  </si>
  <si>
    <t>Brodhead</t>
  </si>
  <si>
    <t>KY</t>
  </si>
  <si>
    <t>Andrea Renee Clair</t>
  </si>
  <si>
    <t>2036 Sandown Rd</t>
  </si>
  <si>
    <t>ANDREA RENEE GEHA</t>
  </si>
  <si>
    <t>5148 Honora Dr</t>
  </si>
  <si>
    <t>Andrea Vanderhorst</t>
  </si>
  <si>
    <t>1833 Boxelder</t>
  </si>
  <si>
    <t>ANDREW &amp; ROBYN CROSBY</t>
  </si>
  <si>
    <t>4554 Manorwood Rd</t>
  </si>
  <si>
    <t>ANDREW A DLUGOSIELSKI</t>
  </si>
  <si>
    <t>2533 Charlestown Ave</t>
  </si>
  <si>
    <t>ANDREW BRITTON</t>
  </si>
  <si>
    <t>2280 Big Hickory Run</t>
  </si>
  <si>
    <t>ANDREW CHARLES SHELLMAN</t>
  </si>
  <si>
    <t>11118 Temperance Ave</t>
  </si>
  <si>
    <t>ANDREW DAVIS</t>
  </si>
  <si>
    <t>8838 Cajun Ct</t>
  </si>
  <si>
    <t>Huber Heights</t>
  </si>
  <si>
    <t>ANDREW DUCKWORTH</t>
  </si>
  <si>
    <t>2051 San Lin Dr</t>
  </si>
  <si>
    <t>ANDREW ENGEL</t>
  </si>
  <si>
    <t>1629 K St Nw,   Suite 300</t>
  </si>
  <si>
    <t>Washington</t>
  </si>
  <si>
    <t>DC</t>
  </si>
  <si>
    <t>ANDREW FRANCIS QUATTROMANI</t>
  </si>
  <si>
    <t>3839 Elmhurst Rd</t>
  </si>
  <si>
    <t>ANDREW GAREY</t>
  </si>
  <si>
    <t>6238 Valley Stream Rd</t>
  </si>
  <si>
    <t>ANDREW GEORGE EBMEIER</t>
  </si>
  <si>
    <t>4618 Weldwood Ln</t>
  </si>
  <si>
    <t>ANDREW HALSTEAD</t>
  </si>
  <si>
    <t>3547 145Th St</t>
  </si>
  <si>
    <t>ANDREW HOFFMAN</t>
  </si>
  <si>
    <t>525 Wyman St</t>
  </si>
  <si>
    <t>ANDREW J AMES KORAL</t>
  </si>
  <si>
    <t>2222 Aberdeen Ave</t>
  </si>
  <si>
    <t>ANDREW J APPOLD</t>
  </si>
  <si>
    <t>3185 River Rd</t>
  </si>
  <si>
    <t>ANDREW J GRAEFF</t>
  </si>
  <si>
    <t>9740 S River Rd</t>
  </si>
  <si>
    <t>ANDREW J REICHERT</t>
  </si>
  <si>
    <t>5120 Pickle Rd</t>
  </si>
  <si>
    <t>ANDREW J SMITH</t>
  </si>
  <si>
    <t>838 Heidelberg Rd</t>
  </si>
  <si>
    <t>Andrew J. Ayers</t>
  </si>
  <si>
    <t>405 Madison Ave., 8Th Fl.</t>
  </si>
  <si>
    <t>2022 Est 1573 - Est. Of Richard May Jr.</t>
  </si>
  <si>
    <t>ANDREW JACOB RONAU</t>
  </si>
  <si>
    <t>6856 Queen Annes Ct</t>
  </si>
  <si>
    <t>ANDREW JACOB WHITE</t>
  </si>
  <si>
    <t>5706 Hunting Creek Rd</t>
  </si>
  <si>
    <t>ANDREW JAMES TEET</t>
  </si>
  <si>
    <t>12331 Archbold Whitehouse Rd</t>
  </si>
  <si>
    <t>ANDREW JOHNS KIADAS</t>
  </si>
  <si>
    <t>1528 W Sylvania Ave</t>
  </si>
  <si>
    <t>ANDREW JORDON WHIPPLE</t>
  </si>
  <si>
    <t>1415 Laurel Ave</t>
  </si>
  <si>
    <t>ANDREW JOSEPH HORVATH</t>
  </si>
  <si>
    <t>1250 S Lallendorf Rd</t>
  </si>
  <si>
    <t>ANDREW L SMITH</t>
  </si>
  <si>
    <t>3213 Waldmar Rd</t>
  </si>
  <si>
    <t>ANDREW LEE STYER</t>
  </si>
  <si>
    <t>2637 Lima Ave</t>
  </si>
  <si>
    <t>ANDREW M CIESLER</t>
  </si>
  <si>
    <t>1631 Archwood Ln</t>
  </si>
  <si>
    <t>ANDREW M ENGEL</t>
  </si>
  <si>
    <t>1629 K Street Nw, Suite 300</t>
  </si>
  <si>
    <t>ANDREW M MIKOLAJCZYK</t>
  </si>
  <si>
    <t>253 California Blvd</t>
  </si>
  <si>
    <t>ANDREW MICHAEL STEWART</t>
  </si>
  <si>
    <t>6027 Larchway Ct</t>
  </si>
  <si>
    <t>ANDREW MOORE</t>
  </si>
  <si>
    <t>5843 Burdette St</t>
  </si>
  <si>
    <t>ANDREW MYERS</t>
  </si>
  <si>
    <t>3830 Seckinger Dr</t>
  </si>
  <si>
    <t>Andrew O Viengmany</t>
  </si>
  <si>
    <t>330 Raymer Blvd</t>
  </si>
  <si>
    <t>ANDREW OSTER</t>
  </si>
  <si>
    <t>8005 Bittersweet Rd</t>
  </si>
  <si>
    <t>ANDREW RAY VANHART</t>
  </si>
  <si>
    <t>7944 Hill Ave</t>
  </si>
  <si>
    <t>ANDREW SETH KISTNER</t>
  </si>
  <si>
    <t>6022 Fallen Leaf Dr</t>
  </si>
  <si>
    <t>ANDREW SHUPE</t>
  </si>
  <si>
    <t>7438 Royal Timbers Ln</t>
  </si>
  <si>
    <t>ANDREW TRUMBULL</t>
  </si>
  <si>
    <t>2101 Alvin St</t>
  </si>
  <si>
    <t>ANDREW URBAN</t>
  </si>
  <si>
    <t>2663 Drummond Rd</t>
  </si>
  <si>
    <t>Andrew Zaborowski</t>
  </si>
  <si>
    <t>6138 Bahimar Road</t>
  </si>
  <si>
    <t>Unclaimed Funds Civil Mortgage Foreclosure List 10-10-2025</t>
  </si>
  <si>
    <t>ANDREW ZIELINSKI</t>
  </si>
  <si>
    <t>1852 Strathmoor Ave</t>
  </si>
  <si>
    <t>ANDREWS JEREMY</t>
  </si>
  <si>
    <t>912 Waybridge</t>
  </si>
  <si>
    <t>ANDRIANNE A JENNINGS</t>
  </si>
  <si>
    <t>6036 Greenacre Rd</t>
  </si>
  <si>
    <t>Angel P Castro Reyes</t>
  </si>
  <si>
    <t>518 Conrad Ave</t>
  </si>
  <si>
    <t>ANGELA A LI</t>
  </si>
  <si>
    <t>2456 Tiffany Village Blvd</t>
  </si>
  <si>
    <t>ANGELA CORRIE CHANDLER</t>
  </si>
  <si>
    <t>227 Langdon St.                         Apt 3</t>
  </si>
  <si>
    <t>ANGELA LYNN PAHL</t>
  </si>
  <si>
    <t>3629 Swallow Tail Ln</t>
  </si>
  <si>
    <t>ANGELA M ROVE</t>
  </si>
  <si>
    <t>8065 Littlefield Ct</t>
  </si>
  <si>
    <t>ANGELA MANZ</t>
  </si>
  <si>
    <t>11808 Benner Rd</t>
  </si>
  <si>
    <t>Rittman</t>
  </si>
  <si>
    <t>ANGELA MARIE BROYLES</t>
  </si>
  <si>
    <t>3947 Grantley Rd</t>
  </si>
  <si>
    <t>ANGELA MARIE LEUPOLD</t>
  </si>
  <si>
    <t>2320 Roseview Dr</t>
  </si>
  <si>
    <t>ANGELA MARIE MATZ</t>
  </si>
  <si>
    <t>101 W Hedgewood Ln</t>
  </si>
  <si>
    <t>ANGELA MARIE RAINEY</t>
  </si>
  <si>
    <t>6853 Deer Ridge Rd Apt 56</t>
  </si>
  <si>
    <t>ANGELA MORENO</t>
  </si>
  <si>
    <t>4336 Garden Park Dr</t>
  </si>
  <si>
    <t>ANGELA OSHEA</t>
  </si>
  <si>
    <t>3904 Rushland Ave Uppr</t>
  </si>
  <si>
    <t>ANGELA RENEE PANOS</t>
  </si>
  <si>
    <t>518 S Wheeling St</t>
  </si>
  <si>
    <t>ANGELA YEO</t>
  </si>
  <si>
    <t>4746 Ottawa Trail Dr</t>
  </si>
  <si>
    <t>Angela Zeno</t>
  </si>
  <si>
    <t>2211 Brendamar Ct.</t>
  </si>
  <si>
    <t>ANGELICA MARIE MARTINEZ</t>
  </si>
  <si>
    <t>6143 Holliday Dr</t>
  </si>
  <si>
    <t>ANGELINA ANN COLMENERO</t>
  </si>
  <si>
    <t>4821 New England Ln Apt 23</t>
  </si>
  <si>
    <t>ANGELO AHUMADA</t>
  </si>
  <si>
    <t>344 E Streicher St</t>
  </si>
  <si>
    <t>Anita Flynn</t>
  </si>
  <si>
    <t>2735 116Th Street</t>
  </si>
  <si>
    <t>ANITA SANDERS</t>
  </si>
  <si>
    <t>3255 Collingwood Blvd</t>
  </si>
  <si>
    <t>ANIYAH MARSHAY SMITH</t>
  </si>
  <si>
    <t>6022 Bapst Ave</t>
  </si>
  <si>
    <t>Aniyah Rowland</t>
  </si>
  <si>
    <t>2724 Elm St</t>
  </si>
  <si>
    <t>ANJELICA SMITH</t>
  </si>
  <si>
    <t>732 Dryden Dr</t>
  </si>
  <si>
    <t>ANKENBRANDT AMBER</t>
  </si>
  <si>
    <t>323 W Broadway</t>
  </si>
  <si>
    <t>ANN BARONAS</t>
  </si>
  <si>
    <t>413 N Michigan</t>
  </si>
  <si>
    <t>ANN BURNETT</t>
  </si>
  <si>
    <t>7664 Shadywood Ln</t>
  </si>
  <si>
    <t>ANN GALLAGHER</t>
  </si>
  <si>
    <t>417 Hiett Ave</t>
  </si>
  <si>
    <t>Ann Marie Jason</t>
  </si>
  <si>
    <t>5054 Ottawa River Rd.</t>
  </si>
  <si>
    <t>ANN MARIE MITCHELL</t>
  </si>
  <si>
    <t>2707 Randall Dr</t>
  </si>
  <si>
    <t>ANNA M BARTEL</t>
  </si>
  <si>
    <t>2764 Sweetbriar Ct</t>
  </si>
  <si>
    <t>ANNA M CARPENTER</t>
  </si>
  <si>
    <t>908 Village Trail Dr</t>
  </si>
  <si>
    <t>ANNA M MARTIN</t>
  </si>
  <si>
    <t>206 Van Buren Ave</t>
  </si>
  <si>
    <t>ANNA MARIE LINK</t>
  </si>
  <si>
    <t>7422 Dorr St</t>
  </si>
  <si>
    <t>ANNA VIRGINIA ALTMAN</t>
  </si>
  <si>
    <t>7320 Nightingale Dr Unit 14</t>
  </si>
  <si>
    <t>ANNA WOODWARD</t>
  </si>
  <si>
    <t>3142 Orchard Trail Dr</t>
  </si>
  <si>
    <t>ANNABELLE HAWKINS</t>
  </si>
  <si>
    <t>146 Maple St</t>
  </si>
  <si>
    <t>Rossford</t>
  </si>
  <si>
    <t>ANNE E ECKHARDT</t>
  </si>
  <si>
    <t>3319 W Lincolnshire Blvd</t>
  </si>
  <si>
    <t>ANNE M OWEN</t>
  </si>
  <si>
    <t>641 W Northgate Pkwy</t>
  </si>
  <si>
    <t>ANNE MARIE MCGEE</t>
  </si>
  <si>
    <t>3225 Rocksberry Ave</t>
  </si>
  <si>
    <t>ANNE SHEAFFER</t>
  </si>
  <si>
    <t>521 Platt St</t>
  </si>
  <si>
    <t>ANNE WOODRING</t>
  </si>
  <si>
    <t>2717 Stateview Dr</t>
  </si>
  <si>
    <t>ANNETA FERREIRA</t>
  </si>
  <si>
    <t>1631 Freeman St</t>
  </si>
  <si>
    <t>Annette Carter</t>
  </si>
  <si>
    <t>321 Austin St.</t>
  </si>
  <si>
    <t>Annette Erebia</t>
  </si>
  <si>
    <t>441 Weber</t>
  </si>
  <si>
    <t>ANTEAU ELIZABETH</t>
  </si>
  <si>
    <t>8133 Aiport Highway</t>
  </si>
  <si>
    <t>ANTHEM BLUE CROSS BLUE SHIELD</t>
  </si>
  <si>
    <t>Po Box 37180</t>
  </si>
  <si>
    <t>Louisville</t>
  </si>
  <si>
    <t>ANTHONY A NEFF</t>
  </si>
  <si>
    <t>2154 Mechanic St</t>
  </si>
  <si>
    <t>ANTHONY BRAATZ</t>
  </si>
  <si>
    <t>425 Anthony Wayne Trl Apt 109</t>
  </si>
  <si>
    <t>ANTHONY CABELL</t>
  </si>
  <si>
    <t>7519 Dorr St. Lot #27</t>
  </si>
  <si>
    <t>ANTHONY D HALL</t>
  </si>
  <si>
    <t>3111 Quarry Rd</t>
  </si>
  <si>
    <t>ANTHONY DOUGLAS CRAVEN</t>
  </si>
  <si>
    <t>2941 113Th St</t>
  </si>
  <si>
    <t>ANTHONY FALBO</t>
  </si>
  <si>
    <t>4253 288Th St</t>
  </si>
  <si>
    <t>ANTHONY FORBES</t>
  </si>
  <si>
    <t>5211 Elaine Dr</t>
  </si>
  <si>
    <t>ANTHONY GETZINGER</t>
  </si>
  <si>
    <t>1149 Shadow Lane</t>
  </si>
  <si>
    <t>Anthony Grubish</t>
  </si>
  <si>
    <t>5430 Whitehouse Spencer Rd</t>
  </si>
  <si>
    <t>2Nd Quarter 2021 Unclaimed Funds</t>
  </si>
  <si>
    <t>ANTHONY HARVEY</t>
  </si>
  <si>
    <t>ANTHONY HOOD</t>
  </si>
  <si>
    <t>322 E Manhattan Blvd</t>
  </si>
  <si>
    <t>ANTHONY JAMES COLEMAN</t>
  </si>
  <si>
    <t>817 Delence St</t>
  </si>
  <si>
    <t>ANTHONY JOHN GALATI</t>
  </si>
  <si>
    <t>4518 Woodbriar Dr</t>
  </si>
  <si>
    <t>ANTHONY JOSEPH SAMMUT</t>
  </si>
  <si>
    <t>3036 Elmview Dr</t>
  </si>
  <si>
    <t>Anthony Kreamer</t>
  </si>
  <si>
    <t>2271 Parkwood Avenue, Apt 3</t>
  </si>
  <si>
    <t>ANTHONY M WILSON</t>
  </si>
  <si>
    <t>2031 Crosswell Pl</t>
  </si>
  <si>
    <t>ANTHONY MAKEY</t>
  </si>
  <si>
    <t>3716 Garrison Rd</t>
  </si>
  <si>
    <t>ANTHONY N PALOMBO</t>
  </si>
  <si>
    <t>27730 Euclid Ave</t>
  </si>
  <si>
    <t>Euclid</t>
  </si>
  <si>
    <t>ANTHONY P CLAPSADDLE</t>
  </si>
  <si>
    <t>2623 Gunckel Blvd</t>
  </si>
  <si>
    <t>ANTHONY ROBERT BUGOCI</t>
  </si>
  <si>
    <t>6633 W Bancroft St Apt 125P</t>
  </si>
  <si>
    <t>ANTHONY SAMPSON</t>
  </si>
  <si>
    <t>5539 Hidden Pines Way</t>
  </si>
  <si>
    <t>ANTHONY THOMAS FERRARI</t>
  </si>
  <si>
    <t>4816 295Th St</t>
  </si>
  <si>
    <t>ANTHONY W GJURASIN</t>
  </si>
  <si>
    <t>1947 Marlow Rd</t>
  </si>
  <si>
    <t>ANTOINETTE NICOLE JACKSON</t>
  </si>
  <si>
    <t>1534 Avondale Ave</t>
  </si>
  <si>
    <t>ANTOINETTE RENEE MORABITO</t>
  </si>
  <si>
    <t>3320 Middlesex Dr Apt B</t>
  </si>
  <si>
    <t>ANTOINNE J WIGGINS</t>
  </si>
  <si>
    <t>4132 Berwick Ave</t>
  </si>
  <si>
    <t>Antonio Aponte</t>
  </si>
  <si>
    <t>6006 White Oak Dr</t>
  </si>
  <si>
    <t>Antonio J Rodriguez</t>
  </si>
  <si>
    <t>133 Eldred Ave.</t>
  </si>
  <si>
    <t>ANTONIO R WINFREE</t>
  </si>
  <si>
    <t>1415 Creekwood Ln</t>
  </si>
  <si>
    <t>ANTWAN SMITH</t>
  </si>
  <si>
    <t>624 S Detroit Ave</t>
  </si>
  <si>
    <t>ANTWONAE WILLIAMS</t>
  </si>
  <si>
    <t>2129 Dana St</t>
  </si>
  <si>
    <t>APRICATO FROZEN YOGURT</t>
  </si>
  <si>
    <t>4137 Talmadge</t>
  </si>
  <si>
    <t>APRIL DAWN MARIE ASCHEMEIER</t>
  </si>
  <si>
    <t>3402 Bellevue Rd</t>
  </si>
  <si>
    <t>APRIL LONG</t>
  </si>
  <si>
    <t>7424 Yawberg Rd</t>
  </si>
  <si>
    <t>APRIL LYNN ALTSTAETTER</t>
  </si>
  <si>
    <t>6405 Danny Ln</t>
  </si>
  <si>
    <t>APRIL MURTORFF</t>
  </si>
  <si>
    <t>1822 Stahlwood Ave</t>
  </si>
  <si>
    <t>AQYA Finance, Inc</t>
  </si>
  <si>
    <t>P O Box 844</t>
  </si>
  <si>
    <t>Wausau</t>
  </si>
  <si>
    <t>WI</t>
  </si>
  <si>
    <t>ARC SERVICES</t>
  </si>
  <si>
    <t>5139 Tractor Road #C</t>
  </si>
  <si>
    <t>ARCHIE DEONTE</t>
  </si>
  <si>
    <t>2039 Clinton</t>
  </si>
  <si>
    <t>ARDEN DAVID</t>
  </si>
  <si>
    <t>1934 Front</t>
  </si>
  <si>
    <t>ARDEN S BRION</t>
  </si>
  <si>
    <t>5942 Alexa Ln</t>
  </si>
  <si>
    <t>ARENDT DAVID</t>
  </si>
  <si>
    <t>4811 Farm Creek Lane</t>
  </si>
  <si>
    <t>ARENT CHRISTINA</t>
  </si>
  <si>
    <t>4304 Westway</t>
  </si>
  <si>
    <t>ARETINA MARIE DAVIS</t>
  </si>
  <si>
    <t>4205 Angelwood Dr</t>
  </si>
  <si>
    <t>ARGUETA FRANCISCO</t>
  </si>
  <si>
    <t>1481 Chariot Dr</t>
  </si>
  <si>
    <t>Murfreesboro</t>
  </si>
  <si>
    <t>TN</t>
  </si>
  <si>
    <t>Arias Silguero</t>
  </si>
  <si>
    <t>1237 Yates</t>
  </si>
  <si>
    <t>ARIC MICHAEL HEWITT</t>
  </si>
  <si>
    <t>1844 Lynbrook Dr</t>
  </si>
  <si>
    <t>ARIEL M BONNETTE</t>
  </si>
  <si>
    <t>3758 Hill Ave Apt 158</t>
  </si>
  <si>
    <t>Arielle Marie Boswell</t>
  </si>
  <si>
    <t>Unknown</t>
  </si>
  <si>
    <t>2019 Est 1981 - Est. Of Johnnie P. Price, Jr.</t>
  </si>
  <si>
    <t>ARLEY DALE PARTIN</t>
  </si>
  <si>
    <t>434 Lake Park Rd</t>
  </si>
  <si>
    <t>Curtice</t>
  </si>
  <si>
    <t>ARMSTRONG ROBERT</t>
  </si>
  <si>
    <t>124 Everett</t>
  </si>
  <si>
    <t>ARNHOLT PAUL</t>
  </si>
  <si>
    <t>4312 N Holland Sylvania Road 324</t>
  </si>
  <si>
    <t>ARNOLD JASON</t>
  </si>
  <si>
    <t>Arnoldo Escobar</t>
  </si>
  <si>
    <t>1312 Kelsey Ave</t>
  </si>
  <si>
    <t>Arnsby, John</t>
  </si>
  <si>
    <t>6613 Elmer Dr</t>
  </si>
  <si>
    <t>Outstanding Checks Q4 2024</t>
  </si>
  <si>
    <t>ARONICA FRANCIS</t>
  </si>
  <si>
    <t>2620 N Centennial Rd    Unit H</t>
  </si>
  <si>
    <t>ARONICA FRANCIS   THOMAS PIGOTT ESQ</t>
  </si>
  <si>
    <t>ARONICA LOU</t>
  </si>
  <si>
    <t>2620 N. Centennial Rd  Unit H</t>
  </si>
  <si>
    <t>ARONICA LOU   THOMAS PIGOTT ESQ</t>
  </si>
  <si>
    <t>ARRINGTON TERREN</t>
  </si>
  <si>
    <t>46 Pasadena</t>
  </si>
  <si>
    <t>ARRON JAMES MUIR</t>
  </si>
  <si>
    <t>416 Kent Ct</t>
  </si>
  <si>
    <t>Arrowhead MHC, LLC</t>
  </si>
  <si>
    <t>316 W 2Nd Street Ste 1104</t>
  </si>
  <si>
    <t>Los Angeles</t>
  </si>
  <si>
    <t>CA</t>
  </si>
  <si>
    <t>316 W. 2Nd St. Ste. 1104</t>
  </si>
  <si>
    <t>100 North Barranca St. Ste. 900 Office M</t>
  </si>
  <si>
    <t>West Covina</t>
  </si>
  <si>
    <t>316 W 2Nd St. Ste 1104</t>
  </si>
  <si>
    <t>5121 Whiteford Rd</t>
  </si>
  <si>
    <t>ARTHUR BROWN</t>
  </si>
  <si>
    <t>3634 Elmhurst Rd</t>
  </si>
  <si>
    <t>ARTHUR C INGRAM</t>
  </si>
  <si>
    <t>411 N Michigan Suite 300</t>
  </si>
  <si>
    <t>ARTURO &amp; EVELYN CAVAZOS</t>
  </si>
  <si>
    <t>8209 Hidden Forest Dr</t>
  </si>
  <si>
    <t>ASH DEREK</t>
  </si>
  <si>
    <t>3220 Jeannette</t>
  </si>
  <si>
    <t>ASHFORD FLOYD</t>
  </si>
  <si>
    <t>722 Lodge</t>
  </si>
  <si>
    <t>ASHLEE ANN DEVAUGHN</t>
  </si>
  <si>
    <t>5473 Fern Dr</t>
  </si>
  <si>
    <t>ASHLEE ANN WILMOTH</t>
  </si>
  <si>
    <t>4245 Northcroft Lane</t>
  </si>
  <si>
    <t>Ashlee Bender</t>
  </si>
  <si>
    <t>2954 W. Central Ave. Apt. 210</t>
  </si>
  <si>
    <t>ASHLEY CRAWFORD</t>
  </si>
  <si>
    <t>1800 N Mccord Rd Apt 121</t>
  </si>
  <si>
    <t>ASHLEY ELLEN SHAFFER</t>
  </si>
  <si>
    <t>7738 Berkey Southern Rd</t>
  </si>
  <si>
    <t>ASHLEY ERICA KODY</t>
  </si>
  <si>
    <t>110 Ottawa St Apt 5B</t>
  </si>
  <si>
    <t>ASHLEY GARZA</t>
  </si>
  <si>
    <t>7335 Northquay Ct</t>
  </si>
  <si>
    <t>ASHLEY JENEE WATSON</t>
  </si>
  <si>
    <t>4735 Ryan Ct</t>
  </si>
  <si>
    <t>ASHLEY KAY LAJTI</t>
  </si>
  <si>
    <t>4921 Heatherdowns Blvd Apt 1</t>
  </si>
  <si>
    <t>ASHLEY KUHR</t>
  </si>
  <si>
    <t>2320 Avondale Ave</t>
  </si>
  <si>
    <t>ASHLEY LONG</t>
  </si>
  <si>
    <t>2600 W. Sylvania</t>
  </si>
  <si>
    <t>ASHLEY LOUISE KLEIN</t>
  </si>
  <si>
    <t>107 N Berlin Ave</t>
  </si>
  <si>
    <t>ASHLEY MARIE ESTES</t>
  </si>
  <si>
    <t>5661 Clover Ln</t>
  </si>
  <si>
    <t>ASHLEY MARIE J ANICKI</t>
  </si>
  <si>
    <t>1959 Rose Arbor Dr</t>
  </si>
  <si>
    <t>ASHLEY MARIE KURTH</t>
  </si>
  <si>
    <t>2045 Robinwood Ave Apt 2</t>
  </si>
  <si>
    <t>Ashley Marie Strain</t>
  </si>
  <si>
    <t>4341 Harvest Lane</t>
  </si>
  <si>
    <t>2020 Adp 122 - Adp. (Strain)</t>
  </si>
  <si>
    <t>ASHLEY MIASHLEY</t>
  </si>
  <si>
    <t>3315 Arlington Ave  Apt 72</t>
  </si>
  <si>
    <t>ASHLEY MILLER</t>
  </si>
  <si>
    <t>602 W. Mt. Pleasant St.  Lot 49</t>
  </si>
  <si>
    <t>Burlington</t>
  </si>
  <si>
    <t>IA</t>
  </si>
  <si>
    <t>Ashley Morris</t>
  </si>
  <si>
    <t>1910 Garner Avenue</t>
  </si>
  <si>
    <t>ASHLEY MURD</t>
  </si>
  <si>
    <t>6657 Garden Rd</t>
  </si>
  <si>
    <t>Ashley Price</t>
  </si>
  <si>
    <t>410 Interlocken Blvd. Apt. 4313</t>
  </si>
  <si>
    <t>Broomfield</t>
  </si>
  <si>
    <t>CO</t>
  </si>
  <si>
    <t>2023 Est 983 Estate Of Mary Chandler</t>
  </si>
  <si>
    <t>ASHLEY RENEE DAWSON WALKER</t>
  </si>
  <si>
    <t>708 Waverly Ave</t>
  </si>
  <si>
    <t>ASHLEY TANNER</t>
  </si>
  <si>
    <t>3421 Anderson Pkwy</t>
  </si>
  <si>
    <t>Ashley Williams</t>
  </si>
  <si>
    <t>1711 W Bancroft St, Apt 8</t>
  </si>
  <si>
    <t>ASIELLE KAIMARI</t>
  </si>
  <si>
    <t>1937 Sunnylawn Dr</t>
  </si>
  <si>
    <t>Association of Travel Instruction</t>
  </si>
  <si>
    <t>P.O. Box 2747</t>
  </si>
  <si>
    <t>Chicago</t>
  </si>
  <si>
    <t>Assured Health Services, Inc.</t>
  </si>
  <si>
    <t>6545 W. Central Ave. Suite 106</t>
  </si>
  <si>
    <t>Atlanta Autos</t>
  </si>
  <si>
    <t>1001 Cobb Parkway North</t>
  </si>
  <si>
    <t>Marietta</t>
  </si>
  <si>
    <t>ATLANTICA LLC</t>
  </si>
  <si>
    <t>Po Box 39696</t>
  </si>
  <si>
    <t>Solon</t>
  </si>
  <si>
    <t>ATTERBERRY JESSICA</t>
  </si>
  <si>
    <t>3802 Doty</t>
  </si>
  <si>
    <t>Aubree Haack</t>
  </si>
  <si>
    <t>AUBREY MISHLER</t>
  </si>
  <si>
    <t>2210 Robinwood Ave</t>
  </si>
  <si>
    <t>AUBRY DOUG</t>
  </si>
  <si>
    <t>1724 Lois Ct.</t>
  </si>
  <si>
    <t>AUBRY SONNY GREENO</t>
  </si>
  <si>
    <t>5533 Forest Green Dr</t>
  </si>
  <si>
    <t>AUDREY STEWART &amp; OLLIE STURDIVANT</t>
  </si>
  <si>
    <t>920 Ranch Dr</t>
  </si>
  <si>
    <t>AUDREY SWEENEY</t>
  </si>
  <si>
    <t>P.O. Box 6451</t>
  </si>
  <si>
    <t>Audrey Sweeney</t>
  </si>
  <si>
    <t>1709 Spielbusch Ave. Ste. 100</t>
  </si>
  <si>
    <t>1709 Spielsbusch Avenue, Suite 100</t>
  </si>
  <si>
    <t>Audrey Taylor</t>
  </si>
  <si>
    <t>2736 Letchworth-Upper</t>
  </si>
  <si>
    <t>2023Est983 - Estate Of Mary Chandler</t>
  </si>
  <si>
    <t>AUGEST UNDERWOOD</t>
  </si>
  <si>
    <t>10130 Monclova Rd</t>
  </si>
  <si>
    <t>AUSTIN EDWARD WARCHOL</t>
  </si>
  <si>
    <t>3022 Powhattan Pkwy</t>
  </si>
  <si>
    <t>AUSTIN J MOLINA</t>
  </si>
  <si>
    <t>6413 Glenhurst Dr Apt 4</t>
  </si>
  <si>
    <t>AUSTIN J OSEPH WOLF</t>
  </si>
  <si>
    <t>5848 Main St</t>
  </si>
  <si>
    <t>AUSTIN J RITSON</t>
  </si>
  <si>
    <t>4606 Wickford Dr W</t>
  </si>
  <si>
    <t>AUSTIN J SHOLL</t>
  </si>
  <si>
    <t>5844 Ryewyck Dr.</t>
  </si>
  <si>
    <t>AUSTIN JAMES PAUL LEININGER</t>
  </si>
  <si>
    <t>5602 Vail Ave</t>
  </si>
  <si>
    <t>AUSTIN M HERNANDEZ</t>
  </si>
  <si>
    <t>4455 N Lockwood Ave</t>
  </si>
  <si>
    <t>AUSTIN PATTY</t>
  </si>
  <si>
    <t>3230 Central Park</t>
  </si>
  <si>
    <t>Austin Reed Baker</t>
  </si>
  <si>
    <t>5859 Gany Mede Dr</t>
  </si>
  <si>
    <t>AUSTIN WRIGHT</t>
  </si>
  <si>
    <t>3020 Berdan Ave</t>
  </si>
  <si>
    <t>Autism Society of America</t>
  </si>
  <si>
    <t>D.B.A. Autism Society Of Nw Ohio, 7140 Port Sylvania Dr</t>
  </si>
  <si>
    <t>Auto Forum Finance LLC</t>
  </si>
  <si>
    <t>2319 W Laskey Rd</t>
  </si>
  <si>
    <t>2319 W. Laskey Rd</t>
  </si>
  <si>
    <t>2319 Laskey Rd</t>
  </si>
  <si>
    <t>2595 Rauch Rd</t>
  </si>
  <si>
    <t>Temperance</t>
  </si>
  <si>
    <t>Auto Tech</t>
  </si>
  <si>
    <t>412 Rockingham</t>
  </si>
  <si>
    <t>412 Rockingham St</t>
  </si>
  <si>
    <t>Autobarn Nissan</t>
  </si>
  <si>
    <t>1015 Chicago Ave</t>
  </si>
  <si>
    <t>Evanston</t>
  </si>
  <si>
    <t>AUTOPAY DIRECT INC</t>
  </si>
  <si>
    <t>8055 E Tufts Ave. Ste. 1100</t>
  </si>
  <si>
    <t>Denver</t>
  </si>
  <si>
    <t>Autopay Direct Inc.</t>
  </si>
  <si>
    <t>8055 E Tufts Ave Ste 1100</t>
  </si>
  <si>
    <t>AUTUMN MOORE</t>
  </si>
  <si>
    <t>3619 Lakepointe Dt                      Apt 203</t>
  </si>
  <si>
    <t>AUTUMN ROSS</t>
  </si>
  <si>
    <t>109 Wabash St Unit D</t>
  </si>
  <si>
    <t>AUTUMN SUMONE THOMPKINS</t>
  </si>
  <si>
    <t>130 Gradolph St</t>
  </si>
  <si>
    <t>AVCAP Residental LLC</t>
  </si>
  <si>
    <t>Po Box 329</t>
  </si>
  <si>
    <t>Perrysburg</t>
  </si>
  <si>
    <t>2019 Unclaimed Funds</t>
  </si>
  <si>
    <t>AXK LLC</t>
  </si>
  <si>
    <t>2349 Portsmouth Ave</t>
  </si>
  <si>
    <t>AYRIKA JENELLE BALL</t>
  </si>
  <si>
    <t>816 Dryden Dr</t>
  </si>
  <si>
    <t>AZZIE LEE MCKINNEY</t>
  </si>
  <si>
    <t>1830 Perth St</t>
  </si>
  <si>
    <t>AZZOPARDI MARK &amp; BRENDA</t>
  </si>
  <si>
    <t>2331 Brookridge Dr</t>
  </si>
  <si>
    <t>B AND E LIMITED</t>
  </si>
  <si>
    <t>5800 Monroe St Bldg D Ste 3</t>
  </si>
  <si>
    <t>BABLE KEVIN</t>
  </si>
  <si>
    <t>2411 Paradise</t>
  </si>
  <si>
    <t>BAEZ GUSTAVO</t>
  </si>
  <si>
    <t>1201 E Mall Dr</t>
  </si>
  <si>
    <t>BAILEE WALBORN</t>
  </si>
  <si>
    <t>31 S Mccord Rd Apt 6A</t>
  </si>
  <si>
    <t>BAIR PATRICIA</t>
  </si>
  <si>
    <t>5224 302Nd St</t>
  </si>
  <si>
    <t>BAKER STEPHANIE N</t>
  </si>
  <si>
    <t>5868 Livingston Drive</t>
  </si>
  <si>
    <t>BAKER WADE</t>
  </si>
  <si>
    <t>1045 Walbridge</t>
  </si>
  <si>
    <t>BANC OF AMERICA LEASING &amp; CAPITAL</t>
  </si>
  <si>
    <t>Po Box 105578</t>
  </si>
  <si>
    <t>BANK OF AMERICA</t>
  </si>
  <si>
    <t>30455 Solon Road</t>
  </si>
  <si>
    <t>BANK OF NEW YORK MELLON</t>
  </si>
  <si>
    <t>4500 Courthouse Blvd Ste 400</t>
  </si>
  <si>
    <t>Stow</t>
  </si>
  <si>
    <t>BANKS IVORIONA</t>
  </si>
  <si>
    <t>2665 W Laskey</t>
  </si>
  <si>
    <t>BANNISTER ERIC</t>
  </si>
  <si>
    <t>1154 Pinewood</t>
  </si>
  <si>
    <t>BARBARA A FURR</t>
  </si>
  <si>
    <t>4429 Melleray Ct</t>
  </si>
  <si>
    <t>BARBARA ANNETTE RAMLER</t>
  </si>
  <si>
    <t>4606 290Th St</t>
  </si>
  <si>
    <t>BARBARA CLOYLENE KELM</t>
  </si>
  <si>
    <t>2053 Old Planke Rd</t>
  </si>
  <si>
    <t>BARBARA IMM</t>
  </si>
  <si>
    <t>5258 Burgess Dr</t>
  </si>
  <si>
    <t>BARBARA JACOBSEN</t>
  </si>
  <si>
    <t>904 W Gramercy Ave</t>
  </si>
  <si>
    <t>BARBARA L MOCK</t>
  </si>
  <si>
    <t>1208 Hunt St</t>
  </si>
  <si>
    <t>Barbara Lewis</t>
  </si>
  <si>
    <t>607 Waverly Ave</t>
  </si>
  <si>
    <t>BARBARA LYNN MOYE</t>
  </si>
  <si>
    <t>714 Lodge Ave</t>
  </si>
  <si>
    <t>BARBARA SUE BURDEN</t>
  </si>
  <si>
    <t>8315 W Bancroft St</t>
  </si>
  <si>
    <t>BARBARA TERRELL</t>
  </si>
  <si>
    <t>2402 South Ave</t>
  </si>
  <si>
    <t>BARBEE ARTES</t>
  </si>
  <si>
    <t>506 Morrison</t>
  </si>
  <si>
    <t>BARBER KEVIN</t>
  </si>
  <si>
    <t>10487 Co Rd 4</t>
  </si>
  <si>
    <t>Barnes, Sheena</t>
  </si>
  <si>
    <t>621 Lodge Avenue</t>
  </si>
  <si>
    <t>BARNETTE,HEIDI</t>
  </si>
  <si>
    <t>128 Bailey Dr</t>
  </si>
  <si>
    <t>Adrian</t>
  </si>
  <si>
    <t>BARNIER DANIELLE</t>
  </si>
  <si>
    <t>3790 Boardman Canfield Rd</t>
  </si>
  <si>
    <t>BARRETT,PATRICIA</t>
  </si>
  <si>
    <t>1045 Brookview Dr Apt 11</t>
  </si>
  <si>
    <t>BARRINGER MARCIE</t>
  </si>
  <si>
    <t>2138 Auburn Avenue</t>
  </si>
  <si>
    <t>BARRY AND FEIT</t>
  </si>
  <si>
    <t>420 Madison Ave Suite 1010</t>
  </si>
  <si>
    <t>BARRY AND FEIT ATTORNEYS</t>
  </si>
  <si>
    <t>BARRY BRANDON</t>
  </si>
  <si>
    <t>3334 Sunset</t>
  </si>
  <si>
    <t>BARRY LAWRENCE</t>
  </si>
  <si>
    <t>2111 N. 14Th Street</t>
  </si>
  <si>
    <t>BART VERBEKE</t>
  </si>
  <si>
    <t>611 Troon Rd</t>
  </si>
  <si>
    <t>BARTEL TYLER</t>
  </si>
  <si>
    <t>5337 Whitehouse</t>
  </si>
  <si>
    <t>BARTHOLOMEW HOFFMAN</t>
  </si>
  <si>
    <t>2507 Bexford Pl</t>
  </si>
  <si>
    <t>BAUMAN LOREN</t>
  </si>
  <si>
    <t>1360 East Ninth Street</t>
  </si>
  <si>
    <t>BAYLIE PENCHEFF</t>
  </si>
  <si>
    <t>5805 Spring Hollow Dr</t>
  </si>
  <si>
    <t>BAYVIEW LOAN SERVICING LLC</t>
  </si>
  <si>
    <t>120 East Fourth St 8Th Fl</t>
  </si>
  <si>
    <t>Cincinnati</t>
  </si>
  <si>
    <t>BAYVIEW PARK AM VET POST 222</t>
  </si>
  <si>
    <t>4133 N Summit Street</t>
  </si>
  <si>
    <t>BEACH JOYCE</t>
  </si>
  <si>
    <t>10430 Airport Highway,   Lot 182</t>
  </si>
  <si>
    <t>10430 Airport Highway,    Lot 182</t>
  </si>
  <si>
    <t>BEACH MARK</t>
  </si>
  <si>
    <t>3611 Greengate Dr</t>
  </si>
  <si>
    <t>Beacon Place USA, LLC</t>
  </si>
  <si>
    <t>426 Beacon St.</t>
  </si>
  <si>
    <t>BEAMON KENNEDY</t>
  </si>
  <si>
    <t>2276 Auburn</t>
  </si>
  <si>
    <t>Bear Stearns Asset Backed Securities Trust</t>
  </si>
  <si>
    <t>1771 West Diehl Road, Suite 120</t>
  </si>
  <si>
    <t>Naperville</t>
  </si>
  <si>
    <t>Sheriff's Department Uncashed Checks</t>
  </si>
  <si>
    <t>BECKY LEVECK</t>
  </si>
  <si>
    <t>2839 Trimble Rd</t>
  </si>
  <si>
    <t>Becky Underwood</t>
  </si>
  <si>
    <t>6037 Pinedale Dr</t>
  </si>
  <si>
    <t>BED BATH AND BEYOND</t>
  </si>
  <si>
    <t>5135 Monroe Street</t>
  </si>
  <si>
    <t>BEEBE JAMES</t>
  </si>
  <si>
    <t>152 Summitt Street</t>
  </si>
  <si>
    <t>Beebe, Paula</t>
  </si>
  <si>
    <t>728 High Street</t>
  </si>
  <si>
    <t>BEGLEY HELEN L</t>
  </si>
  <si>
    <t>1717 Delmonte Dr</t>
  </si>
  <si>
    <t>BELANGA,TAMARA</t>
  </si>
  <si>
    <t>1501 Carlyle St</t>
  </si>
  <si>
    <t>BELINDA PEREZ</t>
  </si>
  <si>
    <t>262 Mont Royal Dr</t>
  </si>
  <si>
    <t>BELINDA R WERTZ</t>
  </si>
  <si>
    <t>C/O Brandy N Valadez, 554 Orchard St</t>
  </si>
  <si>
    <t>BELINDA RAE OREBE</t>
  </si>
  <si>
    <t>615 Cherry St Apt 621</t>
  </si>
  <si>
    <t>BELL DONELL L</t>
  </si>
  <si>
    <t>1032 Pinewood</t>
  </si>
  <si>
    <t>BELL MICHAEL</t>
  </si>
  <si>
    <t>16862 Karshner</t>
  </si>
  <si>
    <t>Laurelville</t>
  </si>
  <si>
    <t>Bella Senise</t>
  </si>
  <si>
    <t>2716 Collingwood</t>
  </si>
  <si>
    <t>Bell-Carr, JoAnne</t>
  </si>
  <si>
    <t>1438 Ogontz Avenue</t>
  </si>
  <si>
    <t>BELLEVILLE ERIK</t>
  </si>
  <si>
    <t>2216 Stirrup Unit 5</t>
  </si>
  <si>
    <t>BELTRAN CASSANDRA</t>
  </si>
  <si>
    <t>6101 Trust</t>
  </si>
  <si>
    <t>BENARTH LINDA</t>
  </si>
  <si>
    <t>5401 Secor Rd</t>
  </si>
  <si>
    <t>BENJAMIN C STALETS</t>
  </si>
  <si>
    <t>535 Virginia St</t>
  </si>
  <si>
    <t>BENJAMIN D TROUT</t>
  </si>
  <si>
    <t>3657 Garrison Rd</t>
  </si>
  <si>
    <t>BENJAMIN DAVID HASBROUCK</t>
  </si>
  <si>
    <t>729 River Glen Rd</t>
  </si>
  <si>
    <t>BENJAMIN E DUNCAN</t>
  </si>
  <si>
    <t>2423 S Holland Sylvania Rd Apt</t>
  </si>
  <si>
    <t>BENJAMIN EDWARD PICKETT</t>
  </si>
  <si>
    <t>6219 Sylvan Green Rd</t>
  </si>
  <si>
    <t>BENJAMIN HOWARD</t>
  </si>
  <si>
    <t>4523 Ruxton Rd</t>
  </si>
  <si>
    <t>BENJAMIN J MCGEORGE</t>
  </si>
  <si>
    <t>1940 Glen Arbor Dr</t>
  </si>
  <si>
    <t>BENJAMIN K MOHR</t>
  </si>
  <si>
    <t>Po Box 314</t>
  </si>
  <si>
    <t>Neapolls</t>
  </si>
  <si>
    <t>BENJAMIN SILVERMAN</t>
  </si>
  <si>
    <t>4206 Bonnie Brae Cir</t>
  </si>
  <si>
    <t>BENJAMIN WONNELL</t>
  </si>
  <si>
    <t>2659 Wesleyan Dr</t>
  </si>
  <si>
    <t>BENJAMIN ZIEMKIEWICZ</t>
  </si>
  <si>
    <t>5945 Berkey Southern Rd</t>
  </si>
  <si>
    <t>BENNETT JENNIFER</t>
  </si>
  <si>
    <t>901 Napolean</t>
  </si>
  <si>
    <t>Bowling Green</t>
  </si>
  <si>
    <t>BENNETT NATHAN</t>
  </si>
  <si>
    <t>5223 Adella</t>
  </si>
  <si>
    <t>BENNINGTON ASSOCIATION</t>
  </si>
  <si>
    <t>6711 Monroe St,  Bldg 4 Ste A</t>
  </si>
  <si>
    <t>BENSON KEVIN</t>
  </si>
  <si>
    <t>823 Thornwood Drive, #2</t>
  </si>
  <si>
    <t>823 Thornwood Drive  #2</t>
  </si>
  <si>
    <t>BERG MITCHELL L</t>
  </si>
  <si>
    <t>13 Walnut Creek Dr</t>
  </si>
  <si>
    <t>BERNADETTE A GALLO</t>
  </si>
  <si>
    <t>2553 Lake Vista Dr</t>
  </si>
  <si>
    <t>BERNADINE KLEM</t>
  </si>
  <si>
    <t>5755 Comet Ave</t>
  </si>
  <si>
    <t>BERNAL JOVITA A</t>
  </si>
  <si>
    <t>BERNARD A GOKEY</t>
  </si>
  <si>
    <t>3922 Bellevue Rd</t>
  </si>
  <si>
    <t>BERNICE ANN PALUS</t>
  </si>
  <si>
    <t>7630 Grenlock Dr</t>
  </si>
  <si>
    <t>BERNITA KOEPFER</t>
  </si>
  <si>
    <t>1617 Key St</t>
  </si>
  <si>
    <t>BERRY,ELIZA</t>
  </si>
  <si>
    <t>1 S Erie St  Apt 312</t>
  </si>
  <si>
    <t>BEST BUY COMPANY</t>
  </si>
  <si>
    <t>4505 Monroe St</t>
  </si>
  <si>
    <t>BESTEDER MELISSA</t>
  </si>
  <si>
    <t>1736 Freeman Street</t>
  </si>
  <si>
    <t>BETH ROLLET</t>
  </si>
  <si>
    <t>3326 Westchester Rd</t>
  </si>
  <si>
    <t>BETH TEPPER</t>
  </si>
  <si>
    <t>621 Whisperwood Pkwy</t>
  </si>
  <si>
    <t>BETHANY CANNON COLLIER</t>
  </si>
  <si>
    <t>446 W Crawford Ave</t>
  </si>
  <si>
    <t>BETHANY COX</t>
  </si>
  <si>
    <t>5952 Foth</t>
  </si>
  <si>
    <t>BETTY J OAN WODRICH</t>
  </si>
  <si>
    <t>5735 Brown Rd</t>
  </si>
  <si>
    <t>BETZABETH HERRERA COURTS</t>
  </si>
  <si>
    <t>8950 Cedar Bend Rd</t>
  </si>
  <si>
    <t>Beverly Crammond</t>
  </si>
  <si>
    <t>2241 W Laskey Rd   Apt 24</t>
  </si>
  <si>
    <t>BEVERLY SHIRLEY</t>
  </si>
  <si>
    <t>9625 Angola Rd</t>
  </si>
  <si>
    <t>BEVINGTON ESTHER</t>
  </si>
  <si>
    <t>1657 Dartmoor Drive</t>
  </si>
  <si>
    <t>BIALY ERIN</t>
  </si>
  <si>
    <t>840 W Elm</t>
  </si>
  <si>
    <t>Wauseon</t>
  </si>
  <si>
    <t>Bianca I Chavez</t>
  </si>
  <si>
    <t>5338 Clover Lane</t>
  </si>
  <si>
    <t>BILLIAN COURTNEY</t>
  </si>
  <si>
    <t>3045 135Th Street</t>
  </si>
  <si>
    <t>BILLY EUGENE THREET</t>
  </si>
  <si>
    <t>3525 Blairmont Ave</t>
  </si>
  <si>
    <t>BILLY J COLLEY</t>
  </si>
  <si>
    <t>1280 Glenview Rd</t>
  </si>
  <si>
    <t>BILLY JO JADLOCKI</t>
  </si>
  <si>
    <t>1622 Lagundovie Rd</t>
  </si>
  <si>
    <t>Billy Wertz</t>
  </si>
  <si>
    <t>12046 Sylvania Metamora Rd</t>
  </si>
  <si>
    <t>Berkey</t>
  </si>
  <si>
    <t>BIODRI MICHIGAN LLC</t>
  </si>
  <si>
    <t>3000 West 40Th Street</t>
  </si>
  <si>
    <t>Orlando</t>
  </si>
  <si>
    <t>BISCHOFF AMY</t>
  </si>
  <si>
    <t>271 Graham</t>
  </si>
  <si>
    <t>BizPulser, LLC</t>
  </si>
  <si>
    <t>646 Grandview Ct</t>
  </si>
  <si>
    <t>Elmore</t>
  </si>
  <si>
    <t>BLAKLEY JANIEN</t>
  </si>
  <si>
    <t>72 Wolfridge</t>
  </si>
  <si>
    <t>BLANCA MENJIVAR</t>
  </si>
  <si>
    <t>1226 Noble St</t>
  </si>
  <si>
    <t>BLAND DOUGLAS</t>
  </si>
  <si>
    <t>609 Oswald #3</t>
  </si>
  <si>
    <t>BOBBIE OBERLE</t>
  </si>
  <si>
    <t>2444 Bucklew Dr</t>
  </si>
  <si>
    <t>BOBBY &amp; LESLIE CHERIAN</t>
  </si>
  <si>
    <t>5549 Maple Creek Blvd</t>
  </si>
  <si>
    <t>BOBBY HILL</t>
  </si>
  <si>
    <t>4301 S Terrace View St</t>
  </si>
  <si>
    <t>BOCANEGRA ALICE</t>
  </si>
  <si>
    <t>6545 W Central Ave Suite 202</t>
  </si>
  <si>
    <t>BOECKER TINA</t>
  </si>
  <si>
    <t>746 Annabelle Drive</t>
  </si>
  <si>
    <t>BOLLINGER,ERNEST</t>
  </si>
  <si>
    <t>409 Georgetown Dr</t>
  </si>
  <si>
    <t>Outstanding Checks Q4 2023</t>
  </si>
  <si>
    <t>BOLTZ LUCAS</t>
  </si>
  <si>
    <t>4 Eddy</t>
  </si>
  <si>
    <t>Luckey</t>
  </si>
  <si>
    <t>BONITA ANN MOREHEAD</t>
  </si>
  <si>
    <t>4150 Willys Pkwy</t>
  </si>
  <si>
    <t>BONNIE FLENNER</t>
  </si>
  <si>
    <t>7028 Heathwyck Rd</t>
  </si>
  <si>
    <t>BONNIE GOMEZ</t>
  </si>
  <si>
    <t>7055 Cinnamon Teal Ct</t>
  </si>
  <si>
    <t>BONNIE J BAIS</t>
  </si>
  <si>
    <t>2757 Tremainsville Rd Lot</t>
  </si>
  <si>
    <t>BONNIE J. RICKERT ESQ</t>
  </si>
  <si>
    <t>719 S Shireline Blvd</t>
  </si>
  <si>
    <t>Corpus Christi</t>
  </si>
  <si>
    <t>TX</t>
  </si>
  <si>
    <t>BONNIE LOU DOTSON</t>
  </si>
  <si>
    <t>6318 Hill Ave</t>
  </si>
  <si>
    <t>BONNIE SCHELL</t>
  </si>
  <si>
    <t>1387 Gage Rd</t>
  </si>
  <si>
    <t>BONNY HAKKEN</t>
  </si>
  <si>
    <t>2200 Scottwood Ave Unit 309</t>
  </si>
  <si>
    <t>BOSMAN MATTHEW</t>
  </si>
  <si>
    <t>1129 North Byrne Road</t>
  </si>
  <si>
    <t>BOUGHEY LEE J</t>
  </si>
  <si>
    <t>4723 293Rd St</t>
  </si>
  <si>
    <t>BOULER JON</t>
  </si>
  <si>
    <t>627 Ranch</t>
  </si>
  <si>
    <t>BOULER TERRANCE</t>
  </si>
  <si>
    <t>1039 Coulburn</t>
  </si>
  <si>
    <t>BOWEN DEANDRAE</t>
  </si>
  <si>
    <t>808 Mason</t>
  </si>
  <si>
    <t>Bowen Hall, Mellody</t>
  </si>
  <si>
    <t>340 S Irwin Rd</t>
  </si>
  <si>
    <t>BOWER ALICIA</t>
  </si>
  <si>
    <t>77 Milford Dr Suite 283</t>
  </si>
  <si>
    <t>BOWIE WILLIAM</t>
  </si>
  <si>
    <t>1471 Milburn</t>
  </si>
  <si>
    <t>BOYD CHESTER</t>
  </si>
  <si>
    <t>3710 Terrace</t>
  </si>
  <si>
    <t>BOYD,IDA</t>
  </si>
  <si>
    <t>2049 Parkwood Ave Apt 2</t>
  </si>
  <si>
    <t>BOYER VANWORNER SCOTT FUNERAL</t>
  </si>
  <si>
    <t>3453 Heatherdowns Blvd</t>
  </si>
  <si>
    <t>BOYKIN PARKER BEVERLY JEAN</t>
  </si>
  <si>
    <t>2582 Briar Lane</t>
  </si>
  <si>
    <t>BRAD COUTURIER</t>
  </si>
  <si>
    <t>6061 Chaney Dr</t>
  </si>
  <si>
    <t>BRAD MCDONALD</t>
  </si>
  <si>
    <t>1943 Bucklew Dr</t>
  </si>
  <si>
    <t>BRADEN HEBERT</t>
  </si>
  <si>
    <t>3706 Bowen Rd</t>
  </si>
  <si>
    <t>BRADLEY A MITCHELL</t>
  </si>
  <si>
    <t>6733 Sue Ln</t>
  </si>
  <si>
    <t>BRADLEY ARTHUR CROUCH</t>
  </si>
  <si>
    <t>5012 Sandra Dr</t>
  </si>
  <si>
    <t>BRADLEY CROUCH</t>
  </si>
  <si>
    <t>BRADLEY FULLER</t>
  </si>
  <si>
    <t>11055 Bunting Rd</t>
  </si>
  <si>
    <t>BRADLEY GARZA</t>
  </si>
  <si>
    <t>4748 285Th St</t>
  </si>
  <si>
    <t>BRADLEY JOHN KURON</t>
  </si>
  <si>
    <t>1736 Cambridge Park E</t>
  </si>
  <si>
    <t>BRADLEY L JANKOWSKI</t>
  </si>
  <si>
    <t>4124 Garden Park Dr</t>
  </si>
  <si>
    <t>BRADLEY MCCLOUD</t>
  </si>
  <si>
    <t>2450 N Reynolds Rd</t>
  </si>
  <si>
    <t>BRADLEY OATMAN</t>
  </si>
  <si>
    <t>7750 Grenlock Dr</t>
  </si>
  <si>
    <t>BRADLEY RAYMOND MCMICHAEL</t>
  </si>
  <si>
    <t>1976 Northtowne Dr</t>
  </si>
  <si>
    <t>BRADLEY RIGGS</t>
  </si>
  <si>
    <t>2736 E Rockridge Cir</t>
  </si>
  <si>
    <t>BRADY COYLE</t>
  </si>
  <si>
    <t>4052 Holland Sylvania</t>
  </si>
  <si>
    <t>BRADY JAMES ARTZ</t>
  </si>
  <si>
    <t>1648 Hagley Rd</t>
  </si>
  <si>
    <t>BRAGG MATTHEW</t>
  </si>
  <si>
    <t>575 Bragg</t>
  </si>
  <si>
    <t>Shady Spring</t>
  </si>
  <si>
    <t>WV</t>
  </si>
  <si>
    <t>BRAME,RUSSELL</t>
  </si>
  <si>
    <t>2930 S Crissey Rd</t>
  </si>
  <si>
    <t>BRAND-ADAMS ELIJAH</t>
  </si>
  <si>
    <t>5001 South Unit 180</t>
  </si>
  <si>
    <t>BRANDI LISABETH SPEARS</t>
  </si>
  <si>
    <t>6702 South Ave</t>
  </si>
  <si>
    <t>Brandi N. Cooper</t>
  </si>
  <si>
    <t>3825 Main St.</t>
  </si>
  <si>
    <t>Anderson</t>
  </si>
  <si>
    <t>Adult Probation</t>
  </si>
  <si>
    <t>2018 Est 2142 - Estate Of Gloria Lee Love</t>
  </si>
  <si>
    <t>BRANDI S WATSON</t>
  </si>
  <si>
    <t>1634 Amesbury Rd</t>
  </si>
  <si>
    <t>BRANDON ABNER</t>
  </si>
  <si>
    <t>6043 Curson Dr</t>
  </si>
  <si>
    <t>Brandon Crawford</t>
  </si>
  <si>
    <t>688 S Waverly St</t>
  </si>
  <si>
    <t>BRANDON GIPE</t>
  </si>
  <si>
    <t>7370 Grenlock Dr</t>
  </si>
  <si>
    <t>BRANDON HITTSON</t>
  </si>
  <si>
    <t>7736 Indian Town Road</t>
  </si>
  <si>
    <t>BRANDON HOSKINS</t>
  </si>
  <si>
    <t>2967 Gracewood Rd</t>
  </si>
  <si>
    <t>BRANDON JAMES RIDNER</t>
  </si>
  <si>
    <t>3742 Bellevue Rd</t>
  </si>
  <si>
    <t>BRANDON K ROBBINS</t>
  </si>
  <si>
    <t>3203 Muirfield Ave</t>
  </si>
  <si>
    <t>BRANDON LEE COLE</t>
  </si>
  <si>
    <t>7208 Jeffers Rd</t>
  </si>
  <si>
    <t>BRANDON M PALINSKI</t>
  </si>
  <si>
    <t>2332 Whitechapel Dr</t>
  </si>
  <si>
    <t>BRANDON M REYNOLDS</t>
  </si>
  <si>
    <t>11442 Rachel Rd</t>
  </si>
  <si>
    <t>BRANDON MICHAEL WEINSTEIN</t>
  </si>
  <si>
    <t>4727 Naomi Dr</t>
  </si>
  <si>
    <t>BRANDON ROBERT J.</t>
  </si>
  <si>
    <t>6853 Woodlake Dr.</t>
  </si>
  <si>
    <t>BRANDON T CZAJKA</t>
  </si>
  <si>
    <t>5026 Geer Ln</t>
  </si>
  <si>
    <t>BRANDUN YGLESIAS</t>
  </si>
  <si>
    <t>525 Celesta Dr</t>
  </si>
  <si>
    <t>BRANDY L MYERS</t>
  </si>
  <si>
    <t>1309 Scott St</t>
  </si>
  <si>
    <t>BRANDY L ROGERS</t>
  </si>
  <si>
    <t>313 W John St</t>
  </si>
  <si>
    <t>BRANDY LOU CHESSON</t>
  </si>
  <si>
    <t>4541 Belmar Ave</t>
  </si>
  <si>
    <t>BRATTON REBECCA L</t>
  </si>
  <si>
    <t>2012 Copley Dr</t>
  </si>
  <si>
    <t>Brea Rae Krumn</t>
  </si>
  <si>
    <t>5436 Brophy Dr</t>
  </si>
  <si>
    <t>Breanna L Martin</t>
  </si>
  <si>
    <t>2724 Wldora Dr</t>
  </si>
  <si>
    <t>BRECHT TONYA</t>
  </si>
  <si>
    <t>882 Dover Place</t>
  </si>
  <si>
    <t>BREHMER,KEVIN</t>
  </si>
  <si>
    <t>185 W Foulkes St</t>
  </si>
  <si>
    <t>BRELL THOMAS</t>
  </si>
  <si>
    <t>5916 Cresthaven Ln  #511A</t>
  </si>
  <si>
    <t>BRENDA HENDRICKS</t>
  </si>
  <si>
    <t>3316 Oakway Dr</t>
  </si>
  <si>
    <t>BRENDA HILL</t>
  </si>
  <si>
    <t>1029 Clymena St</t>
  </si>
  <si>
    <t>BRENDA L KUJAWA</t>
  </si>
  <si>
    <t>5944 Villamar Rd</t>
  </si>
  <si>
    <t>BRENDA LEE GILLESPIE</t>
  </si>
  <si>
    <t>7053 Convent Blvd</t>
  </si>
  <si>
    <t>BRENDA LIGGINS</t>
  </si>
  <si>
    <t>2718 7Th St Apt A</t>
  </si>
  <si>
    <t>BRENDA LUBINSKI</t>
  </si>
  <si>
    <t>1738 Eileen Rd</t>
  </si>
  <si>
    <t>BRENDA MARLENE PENNINGTON</t>
  </si>
  <si>
    <t>104 Springwood St E</t>
  </si>
  <si>
    <t>Brenda McKitric</t>
  </si>
  <si>
    <t>1822 Forest Ave</t>
  </si>
  <si>
    <t>BRENDA WATSON</t>
  </si>
  <si>
    <t>4224 Champlain Dr</t>
  </si>
  <si>
    <t>BRENNA LEIGH DUENAS</t>
  </si>
  <si>
    <t>226 Roseanna Dr</t>
  </si>
  <si>
    <t>Brennan Long</t>
  </si>
  <si>
    <t>6309 Glenhurst Dr. Apt. 7</t>
  </si>
  <si>
    <t>BRENT J CORNWELL</t>
  </si>
  <si>
    <t>3931 Almeda Dr</t>
  </si>
  <si>
    <t>BRENT MICHAEL RABIE</t>
  </si>
  <si>
    <t>3618 Leybourn Ave</t>
  </si>
  <si>
    <t>BRETT A FRIEND</t>
  </si>
  <si>
    <t>5062 Breezeway</t>
  </si>
  <si>
    <t>BRETT ALAN KRANZ</t>
  </si>
  <si>
    <t>2154 Queensdale Ct</t>
  </si>
  <si>
    <t>BRETT ARDNER</t>
  </si>
  <si>
    <t>2646 Gracewood Rd</t>
  </si>
  <si>
    <t>BRETT EDMUND HENDRICKS</t>
  </si>
  <si>
    <t>5254 Brookfield Ln</t>
  </si>
  <si>
    <t>BRETT L RICHARDS</t>
  </si>
  <si>
    <t>1024 Columbus St</t>
  </si>
  <si>
    <t>BRETT STRICKLAND</t>
  </si>
  <si>
    <t>475 Patriot Dr W</t>
  </si>
  <si>
    <t>BREVARD MYLENE</t>
  </si>
  <si>
    <t>20755 Greenfield Rd Ste 1100</t>
  </si>
  <si>
    <t>Southfield</t>
  </si>
  <si>
    <t>BREWER RICHARD</t>
  </si>
  <si>
    <t>7331 Gawil</t>
  </si>
  <si>
    <t>BREYON JONES</t>
  </si>
  <si>
    <t>546 Sylvandale Ave</t>
  </si>
  <si>
    <t>BRIAN AUSTIN TRACEY</t>
  </si>
  <si>
    <t>5400 Gay St</t>
  </si>
  <si>
    <t>BRIAN BEATY</t>
  </si>
  <si>
    <t>948 National Ave</t>
  </si>
  <si>
    <t>BRIAN BICKFORD</t>
  </si>
  <si>
    <t>10240 Veler Rd</t>
  </si>
  <si>
    <t>Brian Carroll</t>
  </si>
  <si>
    <t>11133 Waterville St</t>
  </si>
  <si>
    <t>BRIAN D VICENTE</t>
  </si>
  <si>
    <t>414 N Erie St 2Nd Floor</t>
  </si>
  <si>
    <t>BRIAN DANIEL REINEKE</t>
  </si>
  <si>
    <t>5038 Trimble Rd</t>
  </si>
  <si>
    <t>BRIAN ERIC PFAFFENBERGER</t>
  </si>
  <si>
    <t>616 Corey St</t>
  </si>
  <si>
    <t>BRIAN ERIC PYLE</t>
  </si>
  <si>
    <t>2209 Maple Tree Dr</t>
  </si>
  <si>
    <t>BRIAN F KAMPMAN</t>
  </si>
  <si>
    <t>1111 Superior Ave Suite 1100</t>
  </si>
  <si>
    <t>BRIAN FOORE</t>
  </si>
  <si>
    <t>4487 286Th St</t>
  </si>
  <si>
    <t>BRIAN HEADY</t>
  </si>
  <si>
    <t>9244 Twin Creek Ln</t>
  </si>
  <si>
    <t>BRIAN J AMES ROHR</t>
  </si>
  <si>
    <t>3536 Brant Ct</t>
  </si>
  <si>
    <t>BRIAN J RADDE</t>
  </si>
  <si>
    <t>8863 Galloway Ct</t>
  </si>
  <si>
    <t>BRIAN J RILEY</t>
  </si>
  <si>
    <t>6231 Sugarberry Ln</t>
  </si>
  <si>
    <t>BRIAN KAESTNER</t>
  </si>
  <si>
    <t>7941 Yawberg Rd</t>
  </si>
  <si>
    <t>BRIAN KEITH TUCKER</t>
  </si>
  <si>
    <t>5900 N River Rd Apt 20</t>
  </si>
  <si>
    <t>BRIAN KOSAKOWSKI</t>
  </si>
  <si>
    <t>6018 Vistamar Rd</t>
  </si>
  <si>
    <t>BRIAN L WALTON</t>
  </si>
  <si>
    <t>2327 Shoreland Ave Apt 121</t>
  </si>
  <si>
    <t>BRIAN M RAMSEY</t>
  </si>
  <si>
    <t>709 Madison Avenue Suite 309</t>
  </si>
  <si>
    <t>BRIAN MICHAEL BAUMGARTNER</t>
  </si>
  <si>
    <t>13600 Brint Road</t>
  </si>
  <si>
    <t>BRIAN MYSKO</t>
  </si>
  <si>
    <t>5020 Egger Rd</t>
  </si>
  <si>
    <t>BRIAN PYLE</t>
  </si>
  <si>
    <t>BRIAN R GAWRONSKI</t>
  </si>
  <si>
    <t>5650 Ashbrook Dr</t>
  </si>
  <si>
    <t>BRIAN S PRZESLAWSKI</t>
  </si>
  <si>
    <t>846 Liberty Dr</t>
  </si>
  <si>
    <t>BRIAN S SHAFFER</t>
  </si>
  <si>
    <t>2157 Old Planke Rd</t>
  </si>
  <si>
    <t>BRIAN YEAGER</t>
  </si>
  <si>
    <t>5737 Webster Dr</t>
  </si>
  <si>
    <t>Briana C Vazquez</t>
  </si>
  <si>
    <t>1213 N Ontario St</t>
  </si>
  <si>
    <t>BRIANA UPRIGHT</t>
  </si>
  <si>
    <t>2420 Ozark Road</t>
  </si>
  <si>
    <t>BRIANNA ROSE ANDERSEN</t>
  </si>
  <si>
    <t>3501 Torrance Dr</t>
  </si>
  <si>
    <t>Bridgett J. Root</t>
  </si>
  <si>
    <t>Four Seagate, 8Th Fl.</t>
  </si>
  <si>
    <t>2016 Est 288 - Est. Of Josephine M. Johnstone</t>
  </si>
  <si>
    <t>2021 Est 2350 - Est. Of Phyllis M. Garber</t>
  </si>
  <si>
    <t>2017 Est 2346 - Est. Of Arkadiusz Stanislaw Konik</t>
  </si>
  <si>
    <t>2019 Est 1195 - Est. Of Harriett J. Lehman</t>
  </si>
  <si>
    <t>2020 Gdn 000019 - Gdn. Of Mary Jo Harmon</t>
  </si>
  <si>
    <t>BRIDGITT Y BECKETT</t>
  </si>
  <si>
    <t>4233 Crompton Cir</t>
  </si>
  <si>
    <t>BRIGGS,JOANN</t>
  </si>
  <si>
    <t>229 Indiana Ave</t>
  </si>
  <si>
    <t>Bright Horizons</t>
  </si>
  <si>
    <t>6020 W. Bancroft St. #351414</t>
  </si>
  <si>
    <t>BRIGITTA ERIKA MATHEWS</t>
  </si>
  <si>
    <t>2170 S Berkey Southern Rd Lot</t>
  </si>
  <si>
    <t>BRINKS INC</t>
  </si>
  <si>
    <t>1265 Matzinger Road</t>
  </si>
  <si>
    <t>BRINKS US</t>
  </si>
  <si>
    <t>1265 Matzinger Rd</t>
  </si>
  <si>
    <t>BRINT JOSHUA</t>
  </si>
  <si>
    <t>1950 Parkside</t>
  </si>
  <si>
    <t>BRITNEY HOLLEY</t>
  </si>
  <si>
    <t>2632 Wyndale Rd</t>
  </si>
  <si>
    <t>BRITNY KRISTINE MURRAY</t>
  </si>
  <si>
    <t>263 Knower St</t>
  </si>
  <si>
    <t>BRITTANIE ELIZABETH KUHR</t>
  </si>
  <si>
    <t>5158 Brinthaven Dr</t>
  </si>
  <si>
    <t>BRITTANY JOY PIRL</t>
  </si>
  <si>
    <t>6516 Antoinette Ln</t>
  </si>
  <si>
    <t>Brittany M Fonseca</t>
  </si>
  <si>
    <t>341 Van Buren Ave</t>
  </si>
  <si>
    <t>BRITTANY M PAUTZ</t>
  </si>
  <si>
    <t>2305 Heysler Rd</t>
  </si>
  <si>
    <t>BRITTANY MEYERS</t>
  </si>
  <si>
    <t>3535 Havenhurst Blvd</t>
  </si>
  <si>
    <t>BRITTANY SHEA MURRELL</t>
  </si>
  <si>
    <t>1007 Woodward Ave</t>
  </si>
  <si>
    <t>BRITTANY SOLER</t>
  </si>
  <si>
    <t>1065 Keeler St</t>
  </si>
  <si>
    <t>BRITTANY STRICKLAND</t>
  </si>
  <si>
    <t>129 Dearborn Ave</t>
  </si>
  <si>
    <t>Brittany Whitten</t>
  </si>
  <si>
    <t>10430 Airport Hwy Lot 41</t>
  </si>
  <si>
    <t>BRITTNEY BERNING HERNANDEZ</t>
  </si>
  <si>
    <t>3309 Muirfield Ave</t>
  </si>
  <si>
    <t>BROADEN DEMETRIUS</t>
  </si>
  <si>
    <t>1042 Oakwood</t>
  </si>
  <si>
    <t>BRODERICK J HENRY</t>
  </si>
  <si>
    <t>4102 Talwood Ln</t>
  </si>
  <si>
    <t>Brondes Ford, Inc</t>
  </si>
  <si>
    <t>5539 Secor Rd</t>
  </si>
  <si>
    <t>BROOK KILL</t>
  </si>
  <si>
    <t>3557 Sherbrooke Rd</t>
  </si>
  <si>
    <t>BROOKE E PARKER</t>
  </si>
  <si>
    <t>720 S Hill Park Dr</t>
  </si>
  <si>
    <t>BROOKE MERSHON</t>
  </si>
  <si>
    <t>1134 S Coy Rd</t>
  </si>
  <si>
    <t>Brookelyn Phillips</t>
  </si>
  <si>
    <t>3333 Island Ave</t>
  </si>
  <si>
    <t>Brown Automotive</t>
  </si>
  <si>
    <t>5625 W. Central</t>
  </si>
  <si>
    <t>BROWN CHARLENE</t>
  </si>
  <si>
    <t>2615 N Erie</t>
  </si>
  <si>
    <t>BROWN CHARLIE</t>
  </si>
  <si>
    <t>4224 Berwick</t>
  </si>
  <si>
    <t>BROWN DENISE</t>
  </si>
  <si>
    <t>4044 Talmadge Court</t>
  </si>
  <si>
    <t>BROWN FAYNETT</t>
  </si>
  <si>
    <t>405 Madison Ave Ste 1200</t>
  </si>
  <si>
    <t>BROWN JIMMY O</t>
  </si>
  <si>
    <t>2533 N Erie #10</t>
  </si>
  <si>
    <t>BROWN JOHN F JR</t>
  </si>
  <si>
    <t>535 Earl St</t>
  </si>
  <si>
    <t>BROWN MARLAND</t>
  </si>
  <si>
    <t>409 Speaker Terrace</t>
  </si>
  <si>
    <t>Brown Motor Sales Co Inc. DBA Brown Honda</t>
  </si>
  <si>
    <t>6155 W. Central Ave.</t>
  </si>
  <si>
    <t>BROWN NICHOLAS B &amp; SHARON J</t>
  </si>
  <si>
    <t>6721 Long St</t>
  </si>
  <si>
    <t>Outstanding Checks Q2 2023</t>
  </si>
  <si>
    <t>BROWN OLIVIA</t>
  </si>
  <si>
    <t>3348 Arlington Unit 8</t>
  </si>
  <si>
    <t>BROWN ROBERT</t>
  </si>
  <si>
    <t>388 South Main St Ste 500</t>
  </si>
  <si>
    <t>BROWN ROBERT A</t>
  </si>
  <si>
    <t>1673 Avondale</t>
  </si>
  <si>
    <t>BROWN TYLON</t>
  </si>
  <si>
    <t>4032 Caroline</t>
  </si>
  <si>
    <t>Brown, Jeremine F</t>
  </si>
  <si>
    <t>5856 Settlers Ridge Cir</t>
  </si>
  <si>
    <t>BROWN,JEREMIE</t>
  </si>
  <si>
    <t>BROWN,LYNETTE</t>
  </si>
  <si>
    <t>4143 Rodeo Dr</t>
  </si>
  <si>
    <t>Bruce Bryan</t>
  </si>
  <si>
    <t>5636 Village Way</t>
  </si>
  <si>
    <t>Roanoke</t>
  </si>
  <si>
    <t>VA</t>
  </si>
  <si>
    <t>BRUCE FRANCISKY</t>
  </si>
  <si>
    <t>5305 Breezeway Dr Apt E-1</t>
  </si>
  <si>
    <t>BRUCE K FLOWERS</t>
  </si>
  <si>
    <t>440 Richards Rd</t>
  </si>
  <si>
    <t>BRYAN &amp; PEGGY MCCANDLISH TRS</t>
  </si>
  <si>
    <t>607 Reineck Dr</t>
  </si>
  <si>
    <t>BRYAN DANIELS</t>
  </si>
  <si>
    <t>741 Waybridge Rd</t>
  </si>
  <si>
    <t>Bryan Freeze</t>
  </si>
  <si>
    <t>706 Federal</t>
  </si>
  <si>
    <t>BRYAN JAMES SMITH</t>
  </si>
  <si>
    <t>6567 Field Ave Apt4</t>
  </si>
  <si>
    <t>BRYAN PORTER</t>
  </si>
  <si>
    <t>2131 Orchard Lakes Pl Apt 11</t>
  </si>
  <si>
    <t>BRYANNA NOWAK</t>
  </si>
  <si>
    <t>4133 Penelope Dr</t>
  </si>
  <si>
    <t>BRYANT KELLY</t>
  </si>
  <si>
    <t>1601 N Pebble Beach Blvd</t>
  </si>
  <si>
    <t>Sun City Center</t>
  </si>
  <si>
    <t>BRYANT LEGAL LLC</t>
  </si>
  <si>
    <t>3450 W Central Ave Ste 370</t>
  </si>
  <si>
    <t>BRYANT PATRICK</t>
  </si>
  <si>
    <t>BRYANT SHONTELLE</t>
  </si>
  <si>
    <t>2430 Broadway</t>
  </si>
  <si>
    <t>BRYANT,MAKEYLA</t>
  </si>
  <si>
    <t>4417 Asbury Dr</t>
  </si>
  <si>
    <t>BRYCE KNOTT</t>
  </si>
  <si>
    <t>6 W Capistrano Ave</t>
  </si>
  <si>
    <t>BRYCE LTD</t>
  </si>
  <si>
    <t>715 S Coy Rd</t>
  </si>
  <si>
    <t>BUCHANAN RODNEY</t>
  </si>
  <si>
    <t>3147 Sherbrooke</t>
  </si>
  <si>
    <t>BUCHER HARRY</t>
  </si>
  <si>
    <t>914 Stillman</t>
  </si>
  <si>
    <t>BUCKNER MOORE KAYLA</t>
  </si>
  <si>
    <t>405 Madison Ave Ste 1000</t>
  </si>
  <si>
    <t>Bud's Auto Service</t>
  </si>
  <si>
    <t>419 11Th St.</t>
  </si>
  <si>
    <t>BUERK JENNIFER</t>
  </si>
  <si>
    <t>8741 Birch Bark</t>
  </si>
  <si>
    <t>BUGBEE AND CONKLE LLP</t>
  </si>
  <si>
    <t>405 Madision Ave Suite 1900</t>
  </si>
  <si>
    <t>BUGBEE AND CUNKLE LLP</t>
  </si>
  <si>
    <t>405 Madiso Nave Ste 1900</t>
  </si>
  <si>
    <t>BUIE MALYUN</t>
  </si>
  <si>
    <t>4206 S. Detroit Ave.</t>
  </si>
  <si>
    <t>BUKOWSKI JENNIFER</t>
  </si>
  <si>
    <t>3361 Executive Parkway Ste 100</t>
  </si>
  <si>
    <t>Bumpus, Madeline</t>
  </si>
  <si>
    <t>2109 Robinwood Ave</t>
  </si>
  <si>
    <t>BURKE LISA</t>
  </si>
  <si>
    <t>9054 Oak Vallet</t>
  </si>
  <si>
    <t>BURMEISTER JOSEPH</t>
  </si>
  <si>
    <t>8133 Airport Hwy</t>
  </si>
  <si>
    <t>BURNOR JAMES E &amp; ERIN M</t>
  </si>
  <si>
    <t>2917 Pemberton Dr</t>
  </si>
  <si>
    <t>BURRESS DORIAN</t>
  </si>
  <si>
    <t>1760 Wynhurst</t>
  </si>
  <si>
    <t>Burruss, Makayla</t>
  </si>
  <si>
    <t>14 Southard Ave, Apt 304</t>
  </si>
  <si>
    <t>BURWELL MARCUS</t>
  </si>
  <si>
    <t>3007 Auburn</t>
  </si>
  <si>
    <t>BURZYNSKI JONATHAN</t>
  </si>
  <si>
    <t>6411 Lavon</t>
  </si>
  <si>
    <t>Dayton</t>
  </si>
  <si>
    <t>BUSH RONALD PATRICIA</t>
  </si>
  <si>
    <t>Four Seagate, Suite 400</t>
  </si>
  <si>
    <t>BUSH RONALD PATRICIA   DAVID WISE</t>
  </si>
  <si>
    <t>BUSSE AMY</t>
  </si>
  <si>
    <t>416 N Erie St Ste 100</t>
  </si>
  <si>
    <t>Buster Brake And Muffler Shops LLC</t>
  </si>
  <si>
    <t>5885 Dorr St</t>
  </si>
  <si>
    <t>BUTLER LAMARR</t>
  </si>
  <si>
    <t>216 Prescott</t>
  </si>
  <si>
    <t>BUTLER,MICAH</t>
  </si>
  <si>
    <t>1314 Juliet Dr</t>
  </si>
  <si>
    <t>BUTLER-CROSS LAMARR</t>
  </si>
  <si>
    <t>BUTTS TANKEEYA D</t>
  </si>
  <si>
    <t>1626 Dorr St</t>
  </si>
  <si>
    <t>BWIP Kenwood Owners, LLC</t>
  </si>
  <si>
    <t>Dba: The Flats At Douglas, 2200 W. 5Th Ave, Ste 120</t>
  </si>
  <si>
    <t>BYERS,KATHERINE</t>
  </si>
  <si>
    <t>6861 N River Rd</t>
  </si>
  <si>
    <t>BYRNE ROAD INVESTMENTS LTD</t>
  </si>
  <si>
    <t>C/O Stephanie Teaford Esq, 180 E Broad St 34Th Floor</t>
  </si>
  <si>
    <t>BYRON HANNA</t>
  </si>
  <si>
    <t>3739 Grantley Rd</t>
  </si>
  <si>
    <t>C JOSEPH MCCULLOUGH</t>
  </si>
  <si>
    <t>7587 Central Parke Blvd Ste B</t>
  </si>
  <si>
    <t>Mason</t>
  </si>
  <si>
    <t>C WILLIAM BAIR</t>
  </si>
  <si>
    <t>7445 Airport Hwy Suite B</t>
  </si>
  <si>
    <t>7445 Airport Hwy</t>
  </si>
  <si>
    <t>CABLE,WILLIE</t>
  </si>
  <si>
    <t>1711 Perth St</t>
  </si>
  <si>
    <t>CAIRL DANIEL R.</t>
  </si>
  <si>
    <t>602 Dean Road</t>
  </si>
  <si>
    <t>CAITLIN &amp; CHRISTOPHER SCHISSLER</t>
  </si>
  <si>
    <t>930 S Raab Rd</t>
  </si>
  <si>
    <t>CAITLIN ANN SULLIVAN</t>
  </si>
  <si>
    <t>2249 W Sylvania Ave</t>
  </si>
  <si>
    <t>CAITLIN CONNOR GLENN</t>
  </si>
  <si>
    <t>1125 Raymill Rd</t>
  </si>
  <si>
    <t>CAITLIN GRACE OSHEA</t>
  </si>
  <si>
    <t>6447 Seaman Rd</t>
  </si>
  <si>
    <t>CAITLIN OPEIL</t>
  </si>
  <si>
    <t>515 Myers St</t>
  </si>
  <si>
    <t>CAITLYN MARIE BRADFIELD</t>
  </si>
  <si>
    <t>1128 Anderson Ave</t>
  </si>
  <si>
    <t>CALEB JOSEPH STALLBAUM</t>
  </si>
  <si>
    <t>6222 Bahiamar Rd</t>
  </si>
  <si>
    <t>CALEB NATHANEAL WISE</t>
  </si>
  <si>
    <t>2319 108Th St</t>
  </si>
  <si>
    <t>CALEB NELSON</t>
  </si>
  <si>
    <t>2121 Nevada St</t>
  </si>
  <si>
    <t>CALI MARIE MYERS</t>
  </si>
  <si>
    <t>629 Clark St</t>
  </si>
  <si>
    <t>CALLAWAY MARK K</t>
  </si>
  <si>
    <t>P O Box 207</t>
  </si>
  <si>
    <t>Amelia</t>
  </si>
  <si>
    <t>CALLIE CHINISHA DURDEN</t>
  </si>
  <si>
    <t>3817 Burton</t>
  </si>
  <si>
    <t>CALLIE M CARPENTER</t>
  </si>
  <si>
    <t>1080 Westridge Dr</t>
  </si>
  <si>
    <t>CALVIN BARNETT</t>
  </si>
  <si>
    <t>1008 Belmont</t>
  </si>
  <si>
    <t>CALYN TAYLOR BABCOCK</t>
  </si>
  <si>
    <t>2808 Collingwood Blvd</t>
  </si>
  <si>
    <t>CAMACHO,AARON</t>
  </si>
  <si>
    <t>2554 Robinwood Ave</t>
  </si>
  <si>
    <t>CAMACHO,JEFFREY</t>
  </si>
  <si>
    <t>CAMARIA PHENIQUE GAMBLE</t>
  </si>
  <si>
    <t>210 Ivanhill Rd</t>
  </si>
  <si>
    <t>CAMERON BURGESS</t>
  </si>
  <si>
    <t>4848 Naomi Dr</t>
  </si>
  <si>
    <t>CAMERON JOHN ALLEN DAVIS</t>
  </si>
  <si>
    <t>5702 Angola Rd Lot 110</t>
  </si>
  <si>
    <t>CAMERON MILLS</t>
  </si>
  <si>
    <t>2528 Orchard Hills Blvd</t>
  </si>
  <si>
    <t>CAMERYN WISE</t>
  </si>
  <si>
    <t>341 Hickory Ln</t>
  </si>
  <si>
    <t>CAMPBELL TONYA M</t>
  </si>
  <si>
    <t>1531 Eaglebrook Rd</t>
  </si>
  <si>
    <t>CAMPBELL,MARKISHA</t>
  </si>
  <si>
    <t>1919 Cone St</t>
  </si>
  <si>
    <t>Camping World RV Sales</t>
  </si>
  <si>
    <t>8150 New Craft Rd</t>
  </si>
  <si>
    <t>Olive Branch</t>
  </si>
  <si>
    <t>MS</t>
  </si>
  <si>
    <t>4223 Airport Hwy</t>
  </si>
  <si>
    <t>Candace Darr</t>
  </si>
  <si>
    <t>440 Dorcas St</t>
  </si>
  <si>
    <t>CANDACE MARIE GRAF</t>
  </si>
  <si>
    <t>7709 Indian Town Rd</t>
  </si>
  <si>
    <t>CANDACE S HUDSON</t>
  </si>
  <si>
    <t>6032 Wild Ivy Ct</t>
  </si>
  <si>
    <t>Candice A Parker</t>
  </si>
  <si>
    <t>3000 Wilkins Rd</t>
  </si>
  <si>
    <t>Candie Seymour</t>
  </si>
  <si>
    <t>806 Main St Apt C</t>
  </si>
  <si>
    <t>Genoa</t>
  </si>
  <si>
    <t>CANDIS WILLIAMS</t>
  </si>
  <si>
    <t>602 Secor Rd</t>
  </si>
  <si>
    <t>CANDY J MEYERS</t>
  </si>
  <si>
    <t>1104 Branleigh Dr</t>
  </si>
  <si>
    <t>CAPITAL COIN FUNDS</t>
  </si>
  <si>
    <t>10 West Broad Street    Suite 23</t>
  </si>
  <si>
    <t>CAPITAL REAL ESTATE</t>
  </si>
  <si>
    <t>1300 Combermere Dr</t>
  </si>
  <si>
    <t>CARA CONDON</t>
  </si>
  <si>
    <t>19 Howard Ct</t>
  </si>
  <si>
    <t>Goshen</t>
  </si>
  <si>
    <t>NY</t>
  </si>
  <si>
    <t>CARA JO MORROW</t>
  </si>
  <si>
    <t>6011 Greenacre Rd</t>
  </si>
  <si>
    <t>CARA WEIS</t>
  </si>
  <si>
    <t>3856 Deer Valley Ln</t>
  </si>
  <si>
    <t>CARBE OLIVIA</t>
  </si>
  <si>
    <t>1328 Albert</t>
  </si>
  <si>
    <t>CAREW WILLIAM K</t>
  </si>
  <si>
    <t>547 Reineck Dr</t>
  </si>
  <si>
    <t>CARILYN BIEBER</t>
  </si>
  <si>
    <t>5353 Cedar Point Rd</t>
  </si>
  <si>
    <t>CARINA SARAHI DOMINGUEZ RODRIGUEZ</t>
  </si>
  <si>
    <t>4036 Talwood Ln</t>
  </si>
  <si>
    <t>CARISSA E CRABLE</t>
  </si>
  <si>
    <t>7200 Yawberg Rd</t>
  </si>
  <si>
    <t>CARL LAVITO WARREN</t>
  </si>
  <si>
    <t>5840 Stone Lane</t>
  </si>
  <si>
    <t>CARL MACKERT AND KERRY PORTER</t>
  </si>
  <si>
    <t>6647 Garden Rd</t>
  </si>
  <si>
    <t>CARLA B DAVIS</t>
  </si>
  <si>
    <t>341 N Superior St          Ste 200</t>
  </si>
  <si>
    <t>Carla Davis</t>
  </si>
  <si>
    <t>405 Madison Avenue Ste 1000</t>
  </si>
  <si>
    <t>CARLA YVETTE MURRAY</t>
  </si>
  <si>
    <t>2299 Kent St Apt 311</t>
  </si>
  <si>
    <t>Carlianne K. Brown</t>
  </si>
  <si>
    <t>745 Washington St.  Apt 309</t>
  </si>
  <si>
    <t>Carlie Hendricks</t>
  </si>
  <si>
    <t>3613 Lakepointe Dr. Apt. 103</t>
  </si>
  <si>
    <t>Carlitos Clark</t>
  </si>
  <si>
    <t>2705 W. Central Ave, Apt B2</t>
  </si>
  <si>
    <t>Carlsbad Chevrolet</t>
  </si>
  <si>
    <t>2155 S Canal</t>
  </si>
  <si>
    <t>Roswell</t>
  </si>
  <si>
    <t>NM</t>
  </si>
  <si>
    <t>CARLY ARLENE WAGNER</t>
  </si>
  <si>
    <t>5728 Harvest Ln</t>
  </si>
  <si>
    <t>Carmella V Yowpp</t>
  </si>
  <si>
    <t>2412-1/2 Lawrence Ave</t>
  </si>
  <si>
    <t>CARMODY ALICIA</t>
  </si>
  <si>
    <t>15 Bloomfield Avenue</t>
  </si>
  <si>
    <t>CARNES ROLLAND</t>
  </si>
  <si>
    <t>838 E Bancroft</t>
  </si>
  <si>
    <t>CAROL A CARRINGTON</t>
  </si>
  <si>
    <t>123 W Central Avenue</t>
  </si>
  <si>
    <t>CAROL E MAVIS</t>
  </si>
  <si>
    <t>5317 Jackman Rd Apt 5</t>
  </si>
  <si>
    <t>CAROL J HANLEY</t>
  </si>
  <si>
    <t>1973 Garner Ave</t>
  </si>
  <si>
    <t>CAROL NORORI</t>
  </si>
  <si>
    <t>1955 Marlow Rd</t>
  </si>
  <si>
    <t>CAROL QUILLET</t>
  </si>
  <si>
    <t>621 Howard Rd</t>
  </si>
  <si>
    <t>Carol S Cecil</t>
  </si>
  <si>
    <t>427 Bender Dr</t>
  </si>
  <si>
    <t>CAROL WEDDING</t>
  </si>
  <si>
    <t>4551 Carskaddon Ave</t>
  </si>
  <si>
    <t>CAROLIN KWIATKOWSKI</t>
  </si>
  <si>
    <t>7022 Westwind Dr #7022</t>
  </si>
  <si>
    <t>CAROLINE LYNN MURPHY</t>
  </si>
  <si>
    <t>8020 Claude Ct</t>
  </si>
  <si>
    <t>CAROLINE VIOLA MARTIN</t>
  </si>
  <si>
    <t>1650 Shady Dr</t>
  </si>
  <si>
    <t>Carolyn Day</t>
  </si>
  <si>
    <t>2345 Crissey Rd.</t>
  </si>
  <si>
    <t>2021 Adp 71 - Adp. (Marso)</t>
  </si>
  <si>
    <t>CAROLYN DRAYTON</t>
  </si>
  <si>
    <t>929 Indiana Ave</t>
  </si>
  <si>
    <t>CAROLYN JANE GRANT</t>
  </si>
  <si>
    <t>857 Village Pkwy</t>
  </si>
  <si>
    <t>CAROLYN KREINBRINK</t>
  </si>
  <si>
    <t>1915 Evansdale Ave</t>
  </si>
  <si>
    <t>CAROLYN MANDERS</t>
  </si>
  <si>
    <t>2964 Shoreland Ave</t>
  </si>
  <si>
    <t>CAROLYN RANVILLE</t>
  </si>
  <si>
    <t>915 Sandralee Dr</t>
  </si>
  <si>
    <t>CARPENTER MOLLY</t>
  </si>
  <si>
    <t>4511 Thackeray</t>
  </si>
  <si>
    <t>CARRELL,LYNNADENE</t>
  </si>
  <si>
    <t>3626 Beverly Dr</t>
  </si>
  <si>
    <t>CARRIE ANN DARR</t>
  </si>
  <si>
    <t>5573 Woods Ave</t>
  </si>
  <si>
    <t>CARRIE D WRAY</t>
  </si>
  <si>
    <t>6151 Herst Rd</t>
  </si>
  <si>
    <t>CARRIE HOHL</t>
  </si>
  <si>
    <t>714 E Pearl St</t>
  </si>
  <si>
    <t>CARRIE J LEMLE</t>
  </si>
  <si>
    <t>3714 Terrace Dr</t>
  </si>
  <si>
    <t>CARRIE L CHAMBERS</t>
  </si>
  <si>
    <t>4318 Grantley Rd</t>
  </si>
  <si>
    <t>Carrie Lemle</t>
  </si>
  <si>
    <t>3714 Terrrance Dr</t>
  </si>
  <si>
    <t>Carrie Spillis</t>
  </si>
  <si>
    <t>2697 Xanadu St</t>
  </si>
  <si>
    <t>Aurora</t>
  </si>
  <si>
    <t>CARRINGTON MORTGAGE SERVICES</t>
  </si>
  <si>
    <t>6725 Miami Ave Ste 202</t>
  </si>
  <si>
    <t>CARRISALEZ HANNAH LEE</t>
  </si>
  <si>
    <t>130 Friars Lane</t>
  </si>
  <si>
    <t>CARROLL TYRUS WILLIAM</t>
  </si>
  <si>
    <t>6591 West Central Ave Ste 200</t>
  </si>
  <si>
    <t>CARTER M STEUDE</t>
  </si>
  <si>
    <t>1211 Key St</t>
  </si>
  <si>
    <t>CARTER MAURICE</t>
  </si>
  <si>
    <t>872 Prouty Unit Upper</t>
  </si>
  <si>
    <t>CARTER MICHAEL</t>
  </si>
  <si>
    <t>2228 W Osborn</t>
  </si>
  <si>
    <t>Phoenix</t>
  </si>
  <si>
    <t>AZ</t>
  </si>
  <si>
    <t>CARTER, TANIKA</t>
  </si>
  <si>
    <t>Health-October</t>
  </si>
  <si>
    <t>CASANDRA MARIE DURFEY</t>
  </si>
  <si>
    <t>2957 Deep Water Ln</t>
  </si>
  <si>
    <t>CASE,MELANIE</t>
  </si>
  <si>
    <t>7801 Brint Rd</t>
  </si>
  <si>
    <t>CASEY ANN JONES</t>
  </si>
  <si>
    <t>2031 Key St Apt D</t>
  </si>
  <si>
    <t>CASEY CHRISTOPHER</t>
  </si>
  <si>
    <t>823 Toronto</t>
  </si>
  <si>
    <t>CASEY J BORTLES</t>
  </si>
  <si>
    <t>140 S Meilke Rd</t>
  </si>
  <si>
    <t>CASEY LEWIS LECHLAK</t>
  </si>
  <si>
    <t>3832 Drummond Rd</t>
  </si>
  <si>
    <t>CASH SMART</t>
  </si>
  <si>
    <t>2940 Monroe Street</t>
  </si>
  <si>
    <t>CASHLAND</t>
  </si>
  <si>
    <t>522 S. Reynolds Road</t>
  </si>
  <si>
    <t>83 W Dayton Yellow Springs Roa</t>
  </si>
  <si>
    <t>Fairborn</t>
  </si>
  <si>
    <t>CASHLAND FINANCIAL SERVICES IN</t>
  </si>
  <si>
    <t>2037 Woodville Road</t>
  </si>
  <si>
    <t>CASS SHARON</t>
  </si>
  <si>
    <t>515 W. Garfield,   Apt 2</t>
  </si>
  <si>
    <t>CASSANDRA LYNN BURKE</t>
  </si>
  <si>
    <t>5313 Amsden Ave</t>
  </si>
  <si>
    <t>CASSIDY ANNE SLOAN</t>
  </si>
  <si>
    <t>5430 Edgewater</t>
  </si>
  <si>
    <t>CASTELLESE ALEX</t>
  </si>
  <si>
    <t>6031 Thousand Oaks Dr</t>
  </si>
  <si>
    <t>Castellese, Sandra S</t>
  </si>
  <si>
    <t>916 East Broadway St</t>
  </si>
  <si>
    <t>Casual Country Campground LLC</t>
  </si>
  <si>
    <t>28475 Greenfield Rd, Suite 113, # 7059</t>
  </si>
  <si>
    <t>Casual Country Club</t>
  </si>
  <si>
    <t>28475 Greenfield Rd</t>
  </si>
  <si>
    <t>CATHERINE FIGLIOMENI</t>
  </si>
  <si>
    <t>4824 Laurel Hill Pl</t>
  </si>
  <si>
    <t>CATHERINE LOUISE EADES</t>
  </si>
  <si>
    <t>2281 Country Squire Ln</t>
  </si>
  <si>
    <t>CATHRYN A HUNYOR</t>
  </si>
  <si>
    <t>1025 Craig Rd</t>
  </si>
  <si>
    <t>CATHRYN FORD</t>
  </si>
  <si>
    <t>3334 Maher St</t>
  </si>
  <si>
    <t>CATHRYN KAMINSKI</t>
  </si>
  <si>
    <t>1903 Eastgate Rd</t>
  </si>
  <si>
    <t>CATHRYN THOMAS</t>
  </si>
  <si>
    <t>516 Sky Way Dr</t>
  </si>
  <si>
    <t>CATHY A COUSINO</t>
  </si>
  <si>
    <t>1540 Oakmont St</t>
  </si>
  <si>
    <t>Cathy Tscherne</t>
  </si>
  <si>
    <t>3340 N. Ridge Dr.</t>
  </si>
  <si>
    <t>Cathy Young</t>
  </si>
  <si>
    <t>229 E Main St</t>
  </si>
  <si>
    <t>Wayne</t>
  </si>
  <si>
    <t>CATRINA S WORMELY</t>
  </si>
  <si>
    <t>2016 Mason St</t>
  </si>
  <si>
    <t>CAUS ANDRE C MILLER</t>
  </si>
  <si>
    <t>1850 Booth Ave</t>
  </si>
  <si>
    <t>CAUSBY ANN ARVISO</t>
  </si>
  <si>
    <t>1847 1/2 Princeton Dr</t>
  </si>
  <si>
    <t>CAVELI HUNTER G</t>
  </si>
  <si>
    <t>600 Superior Avenue East</t>
  </si>
  <si>
    <t>Cayenne Colbert</t>
  </si>
  <si>
    <t>1066 Amanda Circle</t>
  </si>
  <si>
    <t>16 Nch 1091 - Name Change Of Micah Angelo Smith</t>
  </si>
  <si>
    <t>Cayvon Wells</t>
  </si>
  <si>
    <t>2002 Marlow</t>
  </si>
  <si>
    <t>CECILE ROGERS</t>
  </si>
  <si>
    <t>2905 Tremainsville Rd Apt 23</t>
  </si>
  <si>
    <t>CEDRIC MCBRIDE</t>
  </si>
  <si>
    <t>5040 Jamieson Dr Apt S8</t>
  </si>
  <si>
    <t>Cedrick Belmon Jr.</t>
  </si>
  <si>
    <t>3103 Cottage Ave</t>
  </si>
  <si>
    <t>CELLESTE ROSE BRAZEAU</t>
  </si>
  <si>
    <t>5259 Bridlington Dr</t>
  </si>
  <si>
    <t>CENICEROS VINCENT IAN</t>
  </si>
  <si>
    <t>2727 Pine Trace Dr</t>
  </si>
  <si>
    <t>Central Classic Cars</t>
  </si>
  <si>
    <t>8444 Central Ave</t>
  </si>
  <si>
    <t>CENTURY MAR AND JJD LLC</t>
  </si>
  <si>
    <t>5350 Airport Hwy 109</t>
  </si>
  <si>
    <t>CEREDA BLANCHARD</t>
  </si>
  <si>
    <t>665 Glen Abbey Ln</t>
  </si>
  <si>
    <t>CHAD ALLEN EASON MARTIN</t>
  </si>
  <si>
    <t>326 Tudor St.</t>
  </si>
  <si>
    <t>CHAD AVERY CHRISTENSON</t>
  </si>
  <si>
    <t>624 Brahier Ln</t>
  </si>
  <si>
    <t>Chad Berlean</t>
  </si>
  <si>
    <t>7164 Cloister Rd</t>
  </si>
  <si>
    <t>CHAD ELDRIDGE</t>
  </si>
  <si>
    <t>1814 Copley Dr</t>
  </si>
  <si>
    <t>CHAD GAMBY</t>
  </si>
  <si>
    <t>3123 Berdan Ave</t>
  </si>
  <si>
    <t>CHAD H WALTON</t>
  </si>
  <si>
    <t>1611 Circular Rd</t>
  </si>
  <si>
    <t>CHAD KUJAWA</t>
  </si>
  <si>
    <t>2002 Farragut Ave</t>
  </si>
  <si>
    <t>CHAD STALLSWORTH</t>
  </si>
  <si>
    <t>5933 Rega Dr</t>
  </si>
  <si>
    <t>CHAD WILLIAM FRANKLIN</t>
  </si>
  <si>
    <t>2730 Luverne Ave</t>
  </si>
  <si>
    <t>Champion Credit Union</t>
  </si>
  <si>
    <t>1347 S Detroit Ave</t>
  </si>
  <si>
    <t>CHANDA BAKER</t>
  </si>
  <si>
    <t>148 Carbon St</t>
  </si>
  <si>
    <t>CHANDLER JAKERRIUS</t>
  </si>
  <si>
    <t>332 Willard</t>
  </si>
  <si>
    <t>CHANDLER JASON</t>
  </si>
  <si>
    <t>2912 Gunckel</t>
  </si>
  <si>
    <t>CHANDLER R JOHNSON</t>
  </si>
  <si>
    <t>218 Raymer Blvd</t>
  </si>
  <si>
    <t>CHAPMAN GEORGE L TRUSTEE</t>
  </si>
  <si>
    <t>408 Broadway St</t>
  </si>
  <si>
    <t>CHAPMAN HELEN</t>
  </si>
  <si>
    <t>3547 Beechway Blvd</t>
  </si>
  <si>
    <t>CHARIS HOARD</t>
  </si>
  <si>
    <t>505 Jefferson Ave Apt 1506</t>
  </si>
  <si>
    <t>CHARITY ELMORE</t>
  </si>
  <si>
    <t>1548 Mott Ave</t>
  </si>
  <si>
    <t>Charity Krouse</t>
  </si>
  <si>
    <t>2537 Raintree Ln</t>
  </si>
  <si>
    <t>CHARLENE O WAGNER</t>
  </si>
  <si>
    <t>5635 Bannockburn Dr</t>
  </si>
  <si>
    <t>CHARLES A ROBINSON</t>
  </si>
  <si>
    <t>5305 State Line Rd</t>
  </si>
  <si>
    <t>CHARLES ADOLPH SCHRAMM</t>
  </si>
  <si>
    <t>560 N Decant Rd</t>
  </si>
  <si>
    <t>CHARLES ANDREW GIDDINGS</t>
  </si>
  <si>
    <t>2922 Hardale Blvd</t>
  </si>
  <si>
    <t>CHARLES ANTHONY PARCHER</t>
  </si>
  <si>
    <t>1901 Fernwood Ave</t>
  </si>
  <si>
    <t>Charles Darnell Brown Jr</t>
  </si>
  <si>
    <t>CHARLES E BOYK</t>
  </si>
  <si>
    <t>405 Madison Ave Suite 1200</t>
  </si>
  <si>
    <t>CHARLES E MORRISSEY</t>
  </si>
  <si>
    <t>4229 Willys Pkwy</t>
  </si>
  <si>
    <t>Charles Faircloth</t>
  </si>
  <si>
    <t>2219 Sheffield Pl</t>
  </si>
  <si>
    <t>CHARLES FRANKHAUSER</t>
  </si>
  <si>
    <t>4825 Fairfield Dr</t>
  </si>
  <si>
    <t>CHARLES FRERMANN</t>
  </si>
  <si>
    <t>4226 Robinhood Ln</t>
  </si>
  <si>
    <t>CHARLES GEISLER</t>
  </si>
  <si>
    <t>396 30Th Ave</t>
  </si>
  <si>
    <t>Sears</t>
  </si>
  <si>
    <t>CHARLES GUESS</t>
  </si>
  <si>
    <t>12805 Bono Rd</t>
  </si>
  <si>
    <t>CHARLES M SCOTT</t>
  </si>
  <si>
    <t>3433 Heatherdowns Blvd</t>
  </si>
  <si>
    <t>Charles M Winters</t>
  </si>
  <si>
    <t>45018 Fair Oaks Dr</t>
  </si>
  <si>
    <t>Canton</t>
  </si>
  <si>
    <t>CHARLES MITCHELL</t>
  </si>
  <si>
    <t>2226 Old Hickory Ln</t>
  </si>
  <si>
    <t>CHARLES NEVER</t>
  </si>
  <si>
    <t>5702 Angola Rd Lot 224</t>
  </si>
  <si>
    <t>CHARLES R LUMBREZER</t>
  </si>
  <si>
    <t>2410 Ida Dr</t>
  </si>
  <si>
    <t>CHARLES RENE DORIA</t>
  </si>
  <si>
    <t>7300 Apache Trl</t>
  </si>
  <si>
    <t>Charles Walker</t>
  </si>
  <si>
    <t>1765 Glastonberry Road</t>
  </si>
  <si>
    <t>CHARLIE CHARMING</t>
  </si>
  <si>
    <t>6001 Savoy Drive</t>
  </si>
  <si>
    <t>Houston</t>
  </si>
  <si>
    <t>CHARLIE FILES</t>
  </si>
  <si>
    <t>Charlies</t>
  </si>
  <si>
    <t>725 Illinois Ave</t>
  </si>
  <si>
    <t>CHARLINE ELIZABETH MONTGOMERY</t>
  </si>
  <si>
    <t>1324 Felt St</t>
  </si>
  <si>
    <t>CHARLOTTE HURST</t>
  </si>
  <si>
    <t>6410 Elmer Dr</t>
  </si>
  <si>
    <t>Charvelle Willoughby</t>
  </si>
  <si>
    <t>5234 Archer Rd</t>
  </si>
  <si>
    <t>Hope Mills</t>
  </si>
  <si>
    <t>NC</t>
  </si>
  <si>
    <t>CHARVETTE L BOYD</t>
  </si>
  <si>
    <t>3838 W Sylvania Ave Apt 307</t>
  </si>
  <si>
    <t>CHASE</t>
  </si>
  <si>
    <t>Po Box 182055</t>
  </si>
  <si>
    <t>Chase Auto Finance Corp</t>
  </si>
  <si>
    <t>P O Box 182055</t>
  </si>
  <si>
    <t>CHASE LAWNICZAK</t>
  </si>
  <si>
    <t>5863 Merle St</t>
  </si>
  <si>
    <t>CHASE RICHARD MCGETTIGAN</t>
  </si>
  <si>
    <t>2019 Alvin St</t>
  </si>
  <si>
    <t>CHATMAN BREANA</t>
  </si>
  <si>
    <t>2534 Key Unit 2</t>
  </si>
  <si>
    <t>CHATMAN KEVIN</t>
  </si>
  <si>
    <t>1313 Page</t>
  </si>
  <si>
    <t>Chauntacey Harris</t>
  </si>
  <si>
    <t>1083 Amanda Cir</t>
  </si>
  <si>
    <t>CHAUNTACEY HARRIS</t>
  </si>
  <si>
    <t>552 Nicholas St</t>
  </si>
  <si>
    <t>CHAZ ETZWILER &amp; RENEE KING</t>
  </si>
  <si>
    <t>5707 Rambo Ln</t>
  </si>
  <si>
    <t>CHEAIB MAYSSA</t>
  </si>
  <si>
    <t>706 Bush St</t>
  </si>
  <si>
    <t>CHECK SMART</t>
  </si>
  <si>
    <t>5801 Telegraph Road</t>
  </si>
  <si>
    <t>CHELSEA L MEISTER</t>
  </si>
  <si>
    <t>115 W. Washington St.                  Ste 110</t>
  </si>
  <si>
    <t>Napoleon</t>
  </si>
  <si>
    <t>717 Madison</t>
  </si>
  <si>
    <t>CHELSEA LIANE RIEGSECKER</t>
  </si>
  <si>
    <t>5666 Bernath Ct</t>
  </si>
  <si>
    <t>CHELSEA LYNN MARCHESE</t>
  </si>
  <si>
    <t>2626 Castleton Ave</t>
  </si>
  <si>
    <t>CHELSEA MARIE COPE</t>
  </si>
  <si>
    <t>533 Austin St</t>
  </si>
  <si>
    <t>CHELSEA MENKE</t>
  </si>
  <si>
    <t>3757 Sylvanwood Dr</t>
  </si>
  <si>
    <t>Chelsey Hamms</t>
  </si>
  <si>
    <t>131 Pebble Beach Dr</t>
  </si>
  <si>
    <t>CHELSEY RAE WASNICH</t>
  </si>
  <si>
    <t>5348 Monroe St Apt 12</t>
  </si>
  <si>
    <t>CHEREIA BEY</t>
  </si>
  <si>
    <t>1935 Wilson Ave.  Apt 13</t>
  </si>
  <si>
    <t>Calumet City</t>
  </si>
  <si>
    <t>CHERIE CHUNG</t>
  </si>
  <si>
    <t>3016 Indian Wells Ct</t>
  </si>
  <si>
    <t>CHERIE THEISS</t>
  </si>
  <si>
    <t>2004 Lakeside Ave</t>
  </si>
  <si>
    <t>Erie</t>
  </si>
  <si>
    <t>CHERONDAH D LOGAN</t>
  </si>
  <si>
    <t>4014 Nebraska Ave</t>
  </si>
  <si>
    <t>CHERYL A CONNORS</t>
  </si>
  <si>
    <t>6 Winterfield Ct</t>
  </si>
  <si>
    <t>CHERYL ANN BURZYNSKI</t>
  </si>
  <si>
    <t>4010 Southway Ct</t>
  </si>
  <si>
    <t>Cheryl Boyd</t>
  </si>
  <si>
    <t>107 Meadowview Dr.</t>
  </si>
  <si>
    <t>Cross Lanes</t>
  </si>
  <si>
    <t>2015 Est 2559 - Est. Of Phillip E. Randall</t>
  </si>
  <si>
    <t>CHERYL D SANDERS</t>
  </si>
  <si>
    <t>2428 Murray Dr</t>
  </si>
  <si>
    <t>CHERYL DEEN MULINIX</t>
  </si>
  <si>
    <t>6059 Bahiamar Rd</t>
  </si>
  <si>
    <t>CHERYL L CERCEK</t>
  </si>
  <si>
    <t>1346 Stanwix Dr</t>
  </si>
  <si>
    <t>CHERYL L THOMPSON</t>
  </si>
  <si>
    <t>2145 Laurel Valley Dr</t>
  </si>
  <si>
    <t>CHERYL R MCCURDY</t>
  </si>
  <si>
    <t>3717 Edgevale Rd</t>
  </si>
  <si>
    <t>CHERYL STEINMAN</t>
  </si>
  <si>
    <t>3927 Rushland Ave</t>
  </si>
  <si>
    <t>CHESSAR AMOS</t>
  </si>
  <si>
    <t>Po Box 13034</t>
  </si>
  <si>
    <t>CHESTER TAYLOR</t>
  </si>
  <si>
    <t>3713 Roanoke Rd</t>
  </si>
  <si>
    <t>CHEYENNE CUMMINGS</t>
  </si>
  <si>
    <t>5137 Tappan Ave</t>
  </si>
  <si>
    <t>Chhyritta Biddle</t>
  </si>
  <si>
    <t>4503 Cherry Creek Lane</t>
  </si>
  <si>
    <t>CHICAGO TITLE</t>
  </si>
  <si>
    <t>3131 Executive Pkwy Ste 10</t>
  </si>
  <si>
    <t>3131 Executive Pkwy, Ste 10</t>
  </si>
  <si>
    <t>Chicago Title Company, LLC</t>
  </si>
  <si>
    <t>3131 Executive Pkwy., Suite 103</t>
  </si>
  <si>
    <t>CHILDERS,CHARLES</t>
  </si>
  <si>
    <t>2539 Carriage Dr</t>
  </si>
  <si>
    <t>CHILDRESS JOWAN</t>
  </si>
  <si>
    <t>1112 Lincoln</t>
  </si>
  <si>
    <t>CHILDRESS,DARIS</t>
  </si>
  <si>
    <t>1204 Collingwood Blvd Apt 205, Apt 209</t>
  </si>
  <si>
    <t>CHLOE M ROZANSKI</t>
  </si>
  <si>
    <t>2901 Letchworth Pkwy</t>
  </si>
  <si>
    <t>CHRIS &amp; JAYNEE SAKELARIS</t>
  </si>
  <si>
    <t>8304 Cedar Point Rd</t>
  </si>
  <si>
    <t>CHRIS A LOVETTE</t>
  </si>
  <si>
    <t>10161 Blue Crk S</t>
  </si>
  <si>
    <t>CHRIS GARBER</t>
  </si>
  <si>
    <t>3149 1-B Navarre Ave</t>
  </si>
  <si>
    <t>CHRIS GOODWIN</t>
  </si>
  <si>
    <t>7115 Elli Harbour Lane</t>
  </si>
  <si>
    <t>CHRIS WARRINGTON</t>
  </si>
  <si>
    <t>2411 Saint James Woods Blvd</t>
  </si>
  <si>
    <t>CHRISTA ANNE HILL</t>
  </si>
  <si>
    <t>3449 Radisson Ave</t>
  </si>
  <si>
    <t>Christella Jackson</t>
  </si>
  <si>
    <t>512 Eleanor Ave</t>
  </si>
  <si>
    <t>CHRISTIAN J HOWARD</t>
  </si>
  <si>
    <t>1631 Sarasota Dr Lot 1D</t>
  </si>
  <si>
    <t>CHRISTIAN SERVICE INC</t>
  </si>
  <si>
    <t>Po Box 2962</t>
  </si>
  <si>
    <t>CHRISTIAN THOMAS</t>
  </si>
  <si>
    <t>1278 Oakland</t>
  </si>
  <si>
    <t>CHRISTIAN TYLER MEYERS</t>
  </si>
  <si>
    <t>1120 Eastgate Rd</t>
  </si>
  <si>
    <t>CHRISTIE SCOTT</t>
  </si>
  <si>
    <t>7519 Dorr Street, Lot 47</t>
  </si>
  <si>
    <t>CHRISTIE SHANE WILLIAM</t>
  </si>
  <si>
    <t>3515 Muirfield Ave</t>
  </si>
  <si>
    <t>Christina Cartlidge</t>
  </si>
  <si>
    <t>2056 Glen Arbor Dr</t>
  </si>
  <si>
    <t>CHRISTINA GRAVEN</t>
  </si>
  <si>
    <t>6241 Pimlico Rd</t>
  </si>
  <si>
    <t>CHRISTINA HOPE HOWARD</t>
  </si>
  <si>
    <t>5712 Acres Rd</t>
  </si>
  <si>
    <t>CHRISTINA L AUKERMAN</t>
  </si>
  <si>
    <t>8014 Indian Creek Ln</t>
  </si>
  <si>
    <t>CHRISTINA L M VASQUEZ</t>
  </si>
  <si>
    <t>658 Berry St</t>
  </si>
  <si>
    <t>CHRISTINA L ROBINSON</t>
  </si>
  <si>
    <t>2355 Heatherglen Dr</t>
  </si>
  <si>
    <t>CHRISTINA LOPEZ</t>
  </si>
  <si>
    <t>822 Yates St</t>
  </si>
  <si>
    <t>CHRISTINA M ANTOINE</t>
  </si>
  <si>
    <t>1930 Balkan Pl</t>
  </si>
  <si>
    <t>CHRISTINA THEBEAU</t>
  </si>
  <si>
    <t>1228 Erie St</t>
  </si>
  <si>
    <t>CHRISTINE A HAYES</t>
  </si>
  <si>
    <t>2864 Tremainsville Rd</t>
  </si>
  <si>
    <t>CHRISTINE ANN DAUER</t>
  </si>
  <si>
    <t>1315 Eastland Dr</t>
  </si>
  <si>
    <t>CHRISTINE MARIE PARKS</t>
  </si>
  <si>
    <t>2357 Robinwood Ave</t>
  </si>
  <si>
    <t>CHRISTINE PALMER</t>
  </si>
  <si>
    <t>2443 Collingwood Blvd</t>
  </si>
  <si>
    <t>Christopher A Coleman</t>
  </si>
  <si>
    <t>3825 Lockwood Ave</t>
  </si>
  <si>
    <t>CHRISTOPHER A JASIN</t>
  </si>
  <si>
    <t>4303 Talmadge Rd Ste 201</t>
  </si>
  <si>
    <t>CHRISTOPHER ANTHONY MAUCK</t>
  </si>
  <si>
    <t>570 Howland Ave</t>
  </si>
  <si>
    <t>CHRISTOPHER BAILEY</t>
  </si>
  <si>
    <t>1203 Greenwood Ave</t>
  </si>
  <si>
    <t>CHRISTOPHER BOLLETT</t>
  </si>
  <si>
    <t>116 Reed St</t>
  </si>
  <si>
    <t>CHRISTOPHER BRETT TRIMBATH</t>
  </si>
  <si>
    <t>2547 W Village Dr</t>
  </si>
  <si>
    <t>CHRISTOPHER CLOUSE</t>
  </si>
  <si>
    <t>1916 Berdan Ave</t>
  </si>
  <si>
    <t>Christopher Costa</t>
  </si>
  <si>
    <t>8738 Stone Post Rd</t>
  </si>
  <si>
    <t>CHRISTOPHER DAVID HELGERSON</t>
  </si>
  <si>
    <t>8913 Red Hawk Ct</t>
  </si>
  <si>
    <t>CHRISTOPHER DOUBLE</t>
  </si>
  <si>
    <t>13350 W Central Ave</t>
  </si>
  <si>
    <t>CHRISTOPHER DOUGLAS HOFFMAN</t>
  </si>
  <si>
    <t>2225 Whitechapel Dr</t>
  </si>
  <si>
    <t>CHRISTOPHER EDWARD SKIBINSKI</t>
  </si>
  <si>
    <t>1462 Eleanor Ave</t>
  </si>
  <si>
    <t>CHRISTOPHER F CONNELLY</t>
  </si>
  <si>
    <t>3260 Wichita Rd</t>
  </si>
  <si>
    <t>CHRISTOPHER F JONES</t>
  </si>
  <si>
    <t>Po Box 350095</t>
  </si>
  <si>
    <t>CHRISTOPHER HIGGINS</t>
  </si>
  <si>
    <t>215 Eastern Avenue</t>
  </si>
  <si>
    <t>CHRISTOPHER IGNACY CZECH</t>
  </si>
  <si>
    <t>626 Sandralee Dr</t>
  </si>
  <si>
    <t>CHRISTOPHER J FOY</t>
  </si>
  <si>
    <t>5820 Semoff Dr</t>
  </si>
  <si>
    <t>CHRISTOPHER JAMES DIMANDO</t>
  </si>
  <si>
    <t>3525 Havenhurst Blvd</t>
  </si>
  <si>
    <t>CHRISTOPHER L BERLANGA</t>
  </si>
  <si>
    <t>1150 Higley Street</t>
  </si>
  <si>
    <t>CHRISTOPHER L ESSIG</t>
  </si>
  <si>
    <t>3155 Wendover Dr</t>
  </si>
  <si>
    <t>Christopher L Jones</t>
  </si>
  <si>
    <t>3607 Watson Ave</t>
  </si>
  <si>
    <t>CHRISTOPHER L JONES</t>
  </si>
  <si>
    <t>3007 Cheltenham Rd</t>
  </si>
  <si>
    <t>CHRISTOPHER L WYLAND</t>
  </si>
  <si>
    <t>11950 Van Dyke Ave</t>
  </si>
  <si>
    <t>CHRISTOPHER LAUTERMILCH</t>
  </si>
  <si>
    <t>1232 Albon Rd</t>
  </si>
  <si>
    <t>CHRISTOPHER LEAMY</t>
  </si>
  <si>
    <t>6151 Capshore Dr</t>
  </si>
  <si>
    <t>CHRISTOPHER LEE BERLANGA</t>
  </si>
  <si>
    <t>CHRISTOPHER LELAND JOHNSON</t>
  </si>
  <si>
    <t>7253 Sawmill Run</t>
  </si>
  <si>
    <t>Christopher Levally</t>
  </si>
  <si>
    <t>64 Ponderosa Dr</t>
  </si>
  <si>
    <t>Christopher Lewallen</t>
  </si>
  <si>
    <t>6148 Sylvan Green Rd</t>
  </si>
  <si>
    <t>CHRISTOPHER M HARKEY</t>
  </si>
  <si>
    <t>1815 Wilkins Rd</t>
  </si>
  <si>
    <t>CHRISTOPHER M STAFFORD</t>
  </si>
  <si>
    <t>6333 Ravine Dr</t>
  </si>
  <si>
    <t>CHRISTOPHER NEUSER</t>
  </si>
  <si>
    <t>2445 Lark Ave</t>
  </si>
  <si>
    <t>CHRISTOPHER P CURRAN</t>
  </si>
  <si>
    <t>1209 Delence St</t>
  </si>
  <si>
    <t>CHRISTOPHER PORTER</t>
  </si>
  <si>
    <t>822 Secor Rd</t>
  </si>
  <si>
    <t>CHRISTOPHER R NAGY</t>
  </si>
  <si>
    <t>9809 Talonswood Rd</t>
  </si>
  <si>
    <t>CHRISTOPHER ROGERS</t>
  </si>
  <si>
    <t>510 East Broadway St</t>
  </si>
  <si>
    <t>CHRISTOPHER ROHRBACHER</t>
  </si>
  <si>
    <t>6157 Bonsels Pkwy</t>
  </si>
  <si>
    <t>CHRISTOPHER ROSENFIELD</t>
  </si>
  <si>
    <t>5044 Airport Hwy</t>
  </si>
  <si>
    <t>CHRISTOPHER RYAN ROSENTHAL</t>
  </si>
  <si>
    <t>3454 Southpoint Rd</t>
  </si>
  <si>
    <t>CHRISTOPHER S CLARK ESQ</t>
  </si>
  <si>
    <t>Po Box 315</t>
  </si>
  <si>
    <t>CHRISTOPHER T ADAIR</t>
  </si>
  <si>
    <t>5159 Davewood Dr</t>
  </si>
  <si>
    <t>CHRISTOPHER TORRES</t>
  </si>
  <si>
    <t>5721 Winona Dr</t>
  </si>
  <si>
    <t>CHRISTOPHER TRACY MARSHALL</t>
  </si>
  <si>
    <t>2047 Alvin St</t>
  </si>
  <si>
    <t>CHRISTOPHER VASKI</t>
  </si>
  <si>
    <t>130 Avondale Ave</t>
  </si>
  <si>
    <t>CHRISTOPHER WHITESCARVER</t>
  </si>
  <si>
    <t>1802 Calvert Pl</t>
  </si>
  <si>
    <t>CHRISTOPHER ZASADA</t>
  </si>
  <si>
    <t>3343 Sunset Dr</t>
  </si>
  <si>
    <t>Christy Johnson</t>
  </si>
  <si>
    <t>6023 White Oak Dr.</t>
  </si>
  <si>
    <t>CHRISTY NICHOLAS</t>
  </si>
  <si>
    <t>CHURCH CIERRA</t>
  </si>
  <si>
    <t>48583 Monroe St Blvd Ste 3</t>
  </si>
  <si>
    <t>CHURCH OF THE LIVING GOD</t>
  </si>
  <si>
    <t>C/O Janine L King, 6860 Clearview</t>
  </si>
  <si>
    <t>CHURCHILL ANNE MARIE</t>
  </si>
  <si>
    <t>5546 Swan Creek Dr</t>
  </si>
  <si>
    <t>Chyna McCant-Jordan</t>
  </si>
  <si>
    <t>1490 Ingomar Ave.</t>
  </si>
  <si>
    <t>CIANCANELLI LISA</t>
  </si>
  <si>
    <t>621 Sheafe Road, Lot 7</t>
  </si>
  <si>
    <t>Poughkeepsie</t>
  </si>
  <si>
    <t>CIARA N MOORE</t>
  </si>
  <si>
    <t>6958 Cloister Rd</t>
  </si>
  <si>
    <t>Cindy Kirby</t>
  </si>
  <si>
    <t>316 N. Michigan St. Ste. 818</t>
  </si>
  <si>
    <t>CINDY M KIRBY</t>
  </si>
  <si>
    <t>316 N Michigan St Suite 818</t>
  </si>
  <si>
    <t>316 N Michigan St  Suite 818</t>
  </si>
  <si>
    <t>316 N Michigan St                         Suite 818</t>
  </si>
  <si>
    <t>CIRCLE K</t>
  </si>
  <si>
    <t>2460 Navarre Avenue</t>
  </si>
  <si>
    <t>Ciriaco Cruz</t>
  </si>
  <si>
    <t>1054 Albert St</t>
  </si>
  <si>
    <t>CITI SECURITY AND INVESTIGATIV</t>
  </si>
  <si>
    <t>14700 Citicorp Drive</t>
  </si>
  <si>
    <t>Hagerstown</t>
  </si>
  <si>
    <t>MD</t>
  </si>
  <si>
    <t>CITIBANK</t>
  </si>
  <si>
    <t>8430 W Bryn Mawr Ave</t>
  </si>
  <si>
    <t>CITIZENS BANK</t>
  </si>
  <si>
    <t>2001 Nw 64Th St #130</t>
  </si>
  <si>
    <t>Fort Lauderdale</t>
  </si>
  <si>
    <t>City of Columbus, Ohio</t>
  </si>
  <si>
    <t>1000 North Hague Ave.</t>
  </si>
  <si>
    <t>City of Toledo</t>
  </si>
  <si>
    <t>Department Of Public Utilities, Ohio Building, P.O. Box 10017</t>
  </si>
  <si>
    <t>C/O Dept Of Public Utilities,Ohio Bldg, 420 Madison Ave Ste 100</t>
  </si>
  <si>
    <t>Dept Of Public Utilities, Ohio Building, P.O. Box 10017</t>
  </si>
  <si>
    <t>CLAES MARK</t>
  </si>
  <si>
    <t>300 Madison Ave #1100</t>
  </si>
  <si>
    <t>CLAIRE M GEMBOLIS</t>
  </si>
  <si>
    <t>5315 Quarry Side Dr</t>
  </si>
  <si>
    <t>Clara Cooper</t>
  </si>
  <si>
    <t>2001 Perrysburg Holland Rd.</t>
  </si>
  <si>
    <t>2021 Est 1791 - Est. Of Clarence E. Cooper</t>
  </si>
  <si>
    <t>CLARENCE H GAFENEY</t>
  </si>
  <si>
    <t>2420 Valentine St</t>
  </si>
  <si>
    <t>CLARENCE WINFIELD</t>
  </si>
  <si>
    <t>9143 Rolling Hill Rd</t>
  </si>
  <si>
    <t>CLARK EVELYN</t>
  </si>
  <si>
    <t>5159 Arbor Way</t>
  </si>
  <si>
    <t>CLARKE LAW, LTD.</t>
  </si>
  <si>
    <t>405 Madison Ave Ste 1101</t>
  </si>
  <si>
    <t>CLAY D SHAW</t>
  </si>
  <si>
    <t>42650 Whitman Way</t>
  </si>
  <si>
    <t>Novi</t>
  </si>
  <si>
    <t>CLAYTON L DAVIS</t>
  </si>
  <si>
    <t>11730 Pollack Rd</t>
  </si>
  <si>
    <t>Clean Wood Recycling, Inc.</t>
  </si>
  <si>
    <t>6505 W. Bancroft St</t>
  </si>
  <si>
    <t>Clear Images Promotional Products</t>
  </si>
  <si>
    <t>121 11Th St</t>
  </si>
  <si>
    <t>CLEVELAND BILL</t>
  </si>
  <si>
    <t>454 Spitzer Bldg 520 Madison A</t>
  </si>
  <si>
    <t>CLEVELAND BILL   JILL VARNES-RICHARDSON ESQ</t>
  </si>
  <si>
    <t>CLEVELAND TEVON</t>
  </si>
  <si>
    <t>634 Parker</t>
  </si>
  <si>
    <t>CLIFFORD L MAYES</t>
  </si>
  <si>
    <t>2649 Juniper Drive</t>
  </si>
  <si>
    <t>CLIFTON V BOWEN</t>
  </si>
  <si>
    <t>5405 S Glastonberry Rd</t>
  </si>
  <si>
    <t>CLINE COOK &amp; WEISENBURGER</t>
  </si>
  <si>
    <t>405 Madison Ave Ste 1100</t>
  </si>
  <si>
    <t>CLINE ROGER</t>
  </si>
  <si>
    <t>One Gevernment Center</t>
  </si>
  <si>
    <t>Clossick, Michelle</t>
  </si>
  <si>
    <t>187 Dartmouth Dr</t>
  </si>
  <si>
    <t>Clunk, Hoose CO., LPA</t>
  </si>
  <si>
    <t>4500 Courthouse Blvd</t>
  </si>
  <si>
    <t>COATS TYSON SGT</t>
  </si>
  <si>
    <t>Toledo Police Dept 525 N Erie</t>
  </si>
  <si>
    <t>CODY A MEINERT</t>
  </si>
  <si>
    <t>7631 Kings Run Rd</t>
  </si>
  <si>
    <t>CODY COLEMAN</t>
  </si>
  <si>
    <t>514 Pasadena Blvd</t>
  </si>
  <si>
    <t>CODY D MCGILVRAY</t>
  </si>
  <si>
    <t>2016 Northridge Dr</t>
  </si>
  <si>
    <t>CODY J MATHEWS</t>
  </si>
  <si>
    <t>1000 W State Line Rd Apt 304</t>
  </si>
  <si>
    <t>CODY S MANDERS</t>
  </si>
  <si>
    <t>4722 305Th St</t>
  </si>
  <si>
    <t>COGAN JONATHAN</t>
  </si>
  <si>
    <t>615 Cherry St Unit 507</t>
  </si>
  <si>
    <t>COLBERT CORY</t>
  </si>
  <si>
    <t>3447 Buckeye</t>
  </si>
  <si>
    <t>COLBERT GREGORY A &amp; SAMANTHA</t>
  </si>
  <si>
    <t>1731 Berkey Rd</t>
  </si>
  <si>
    <t>COLE HENNING</t>
  </si>
  <si>
    <t>3868 Sylvanwood Dr</t>
  </si>
  <si>
    <t>COLE ROBERT</t>
  </si>
  <si>
    <t>1206 Saywer</t>
  </si>
  <si>
    <t>COLE WEISHAMPEL</t>
  </si>
  <si>
    <t>4920 Lathrop Rd</t>
  </si>
  <si>
    <t>COLEMAN BARBARA</t>
  </si>
  <si>
    <t>916 S Byrne Unit 8</t>
  </si>
  <si>
    <t>COLEMAN,BARRY</t>
  </si>
  <si>
    <t>359 Kopernik Ave</t>
  </si>
  <si>
    <t>COLIN D LYONS</t>
  </si>
  <si>
    <t>1215 N Holland Sylvania Rd Apt</t>
  </si>
  <si>
    <t>COLIN HOLMES</t>
  </si>
  <si>
    <t>6635 Brancroft</t>
  </si>
  <si>
    <t>COLLEEN C BARRY</t>
  </si>
  <si>
    <t>7441 Jerusalem Rd</t>
  </si>
  <si>
    <t>COLLEEN M DEZSI</t>
  </si>
  <si>
    <t>1935 Mansfield Rd</t>
  </si>
  <si>
    <t>COLLEEN MARIE CARR</t>
  </si>
  <si>
    <t>2415 Airport Hwy</t>
  </si>
  <si>
    <t>COLLEEN TERESA WITTENMYER</t>
  </si>
  <si>
    <t>627 Manitou Dr</t>
  </si>
  <si>
    <t>Collier, Elbert</t>
  </si>
  <si>
    <t>708 W Bancroft St Apt 7</t>
  </si>
  <si>
    <t>COLLIN A OCONNOR</t>
  </si>
  <si>
    <t>6841 Greentree Ln</t>
  </si>
  <si>
    <t>COLLIN GRIFFIN</t>
  </si>
  <si>
    <t>923 Gibbs St Apt 23</t>
  </si>
  <si>
    <t>Collin O Connell</t>
  </si>
  <si>
    <t>15818 River View Pl.</t>
  </si>
  <si>
    <t>COLLINS DONALD N</t>
  </si>
  <si>
    <t>286 Wakefield Place</t>
  </si>
  <si>
    <t>COLTEN KUNEY</t>
  </si>
  <si>
    <t>2936 Broadway St Apt 3</t>
  </si>
  <si>
    <t>COLTON BLANTON</t>
  </si>
  <si>
    <t>3855 Torrance Dr</t>
  </si>
  <si>
    <t>Colton Love Hickman</t>
  </si>
  <si>
    <t>1512 E. 30Th St.</t>
  </si>
  <si>
    <t>COLTON THOMAS YONKER</t>
  </si>
  <si>
    <t>745 Washington St Apt 406</t>
  </si>
  <si>
    <t>Columbus Radiology c/o Frost-Arnett</t>
  </si>
  <si>
    <t>Po Box 198988</t>
  </si>
  <si>
    <t>Nashville</t>
  </si>
  <si>
    <t>2022 Est 1426 Estate Of Mary Edna Kobylansky</t>
  </si>
  <si>
    <t>ComDoc, Inc.</t>
  </si>
  <si>
    <t>P.O. Box 936697</t>
  </si>
  <si>
    <t>COMMUNITY LOAN SERVICING LLC</t>
  </si>
  <si>
    <t>Community Residential Services, Inc.</t>
  </si>
  <si>
    <t>151 N. Michigan St., Suite 217</t>
  </si>
  <si>
    <t>Compass Group USA, Inc</t>
  </si>
  <si>
    <t>2801 W Bancroft, Mail Stop 108</t>
  </si>
  <si>
    <t>CONDON MICHAEL</t>
  </si>
  <si>
    <t>1621 Colleen Ct</t>
  </si>
  <si>
    <t>CONE,DAVID</t>
  </si>
  <si>
    <t>6441 Hill Ave</t>
  </si>
  <si>
    <t>CONKLIN,DEBORAH</t>
  </si>
  <si>
    <t>9719 Schadel Rd</t>
  </si>
  <si>
    <t>Connie Schepflin</t>
  </si>
  <si>
    <t>2908 Collingwood Blvd</t>
  </si>
  <si>
    <t>CONNOR WITNEY</t>
  </si>
  <si>
    <t>1608 Crestwood Rd</t>
  </si>
  <si>
    <t>CONNOR YANEY</t>
  </si>
  <si>
    <t>12403 Frankfort Rd</t>
  </si>
  <si>
    <t>CONSENT RESOLUTION OF TOLEDO L   JEFF SAVAGE</t>
  </si>
  <si>
    <t>P.O. Box 614</t>
  </si>
  <si>
    <t>CONSOLIDATED AUTOMOTIVE SERVICES</t>
  </si>
  <si>
    <t>Po Box 1463</t>
  </si>
  <si>
    <t>CONSTANCE J EAN HUGUELET</t>
  </si>
  <si>
    <t>939 Schmidlin Rd</t>
  </si>
  <si>
    <t>CONSTANCE JEAN HUGUELET</t>
  </si>
  <si>
    <t>CONSTANCE M POSADNY</t>
  </si>
  <si>
    <t>6701 W Meadows Ln</t>
  </si>
  <si>
    <t>CONSTANCE Y WRIGHT</t>
  </si>
  <si>
    <t>5859 Ryewyck Dr                    Apt 2</t>
  </si>
  <si>
    <t>CONSTANTINE G KRINAS</t>
  </si>
  <si>
    <t>6591 W Central Ave Ste 201</t>
  </si>
  <si>
    <t>6591 W Central Ave</t>
  </si>
  <si>
    <t>CONSTANTINE KRINAS</t>
  </si>
  <si>
    <t>6591 W Central Ave Suite 201</t>
  </si>
  <si>
    <t>Constantine Krinas</t>
  </si>
  <si>
    <t>6591 W. Central Ave. Ste. 201</t>
  </si>
  <si>
    <t>CONTRADA AND ASSOCIATES</t>
  </si>
  <si>
    <t>6641 Sylvania Avenue Suite 8</t>
  </si>
  <si>
    <t>CONTRERAS ANTONIO</t>
  </si>
  <si>
    <t>219 Bronson</t>
  </si>
  <si>
    <t>CONYERS COREY</t>
  </si>
  <si>
    <t>612 E Oak</t>
  </si>
  <si>
    <t>Stockton</t>
  </si>
  <si>
    <t>COOKSON LINDSEY</t>
  </si>
  <si>
    <t>20440 Locust</t>
  </si>
  <si>
    <t>Weston</t>
  </si>
  <si>
    <t>COOPER MICHAEL CLAYTON JR</t>
  </si>
  <si>
    <t>2337 Bakewell</t>
  </si>
  <si>
    <t>COOPER TODD</t>
  </si>
  <si>
    <t>502 Morrison</t>
  </si>
  <si>
    <t>COOPER TYREE</t>
  </si>
  <si>
    <t>2056 South</t>
  </si>
  <si>
    <t>COPE BRANDON</t>
  </si>
  <si>
    <t>1111 Homeless</t>
  </si>
  <si>
    <t>COPELAND DAVID D</t>
  </si>
  <si>
    <t>702 S Crissey Rd</t>
  </si>
  <si>
    <t>CORA BAKER</t>
  </si>
  <si>
    <t>4831 Oak Glen Dr</t>
  </si>
  <si>
    <t>CORBIN JONNA</t>
  </si>
  <si>
    <t>718 N Byrne</t>
  </si>
  <si>
    <t>COREY BROWN</t>
  </si>
  <si>
    <t>289 Weiler Homes</t>
  </si>
  <si>
    <t>COREY HERHOLD</t>
  </si>
  <si>
    <t>325 Wrexham Ln Apt 103</t>
  </si>
  <si>
    <t>COREY J WIDMAN</t>
  </si>
  <si>
    <t>3339 Swan Ridge Ln</t>
  </si>
  <si>
    <t>COREY M CORBIN</t>
  </si>
  <si>
    <t>567 Colima</t>
  </si>
  <si>
    <t>COREY RYAN FRY</t>
  </si>
  <si>
    <t>1113 Heidelberg Rd</t>
  </si>
  <si>
    <t>COREY S MCKEAND</t>
  </si>
  <si>
    <t>3024 W. Alexis Rd</t>
  </si>
  <si>
    <t>CORIE B SMITH</t>
  </si>
  <si>
    <t>1849 Boxelder Rd</t>
  </si>
  <si>
    <t>CORNER DENTAL</t>
  </si>
  <si>
    <t>447 West Dusse Drive</t>
  </si>
  <si>
    <t>Cornerstone Community Finiancial</t>
  </si>
  <si>
    <t>2955 University Drive</t>
  </si>
  <si>
    <t>Auburn Hills</t>
  </si>
  <si>
    <t>2955 University Dr</t>
  </si>
  <si>
    <t>CORRIE A RUPLE</t>
  </si>
  <si>
    <t>5383 Lewis Ave #134</t>
  </si>
  <si>
    <t>CORTNEY DELEON DANIELS</t>
  </si>
  <si>
    <t>716 Quaker Rdg Apt 106</t>
  </si>
  <si>
    <t>CORTNEY M MILLER</t>
  </si>
  <si>
    <t>5910 Rolland Dr</t>
  </si>
  <si>
    <t>CORTNEY WILLIAMS</t>
  </si>
  <si>
    <t>11A Grandview Ct Nw</t>
  </si>
  <si>
    <t>Cartersville</t>
  </si>
  <si>
    <t>CORY RYAN DAHNKE</t>
  </si>
  <si>
    <t>306 W William St</t>
  </si>
  <si>
    <t>COTTRELL,RALPH</t>
  </si>
  <si>
    <t>209 W John St</t>
  </si>
  <si>
    <t>COURTNEY ANDRYC</t>
  </si>
  <si>
    <t>5516 Fortune Dr</t>
  </si>
  <si>
    <t>Courtney Stewart</t>
  </si>
  <si>
    <t>2120 Longport Dr</t>
  </si>
  <si>
    <t>COUSINO KAREN KAYE</t>
  </si>
  <si>
    <t>120 W Springwood Dr</t>
  </si>
  <si>
    <t>COUSINO RONALD</t>
  </si>
  <si>
    <t>675 Clarion</t>
  </si>
  <si>
    <t>COUTCHER KYLE R</t>
  </si>
  <si>
    <t>2247 Marcy St</t>
  </si>
  <si>
    <t>COVINGTON CHARITY</t>
  </si>
  <si>
    <t>729 Plymouth</t>
  </si>
  <si>
    <t>CRAIG BELL</t>
  </si>
  <si>
    <t>204 Islington Street</t>
  </si>
  <si>
    <t>Craig Bradley</t>
  </si>
  <si>
    <t>1001 Vance</t>
  </si>
  <si>
    <t>CRAIG C SCHAEFER</t>
  </si>
  <si>
    <t>4155 Bowen Road</t>
  </si>
  <si>
    <t>CRAIG D NUDING</t>
  </si>
  <si>
    <t>6614 Hill Ave</t>
  </si>
  <si>
    <t>CRAIG FISCHER</t>
  </si>
  <si>
    <t>612 Whisperlake Rd</t>
  </si>
  <si>
    <t>Craig Kendrick</t>
  </si>
  <si>
    <t>215 E. 25Th St., Apt. 108</t>
  </si>
  <si>
    <t>Sterline</t>
  </si>
  <si>
    <t>2015 Est 44 - Estate Of George F. Kendrick</t>
  </si>
  <si>
    <t>215 E. 25Th St.  Apt. 108</t>
  </si>
  <si>
    <t>Sterling</t>
  </si>
  <si>
    <t>CRAIG L  FRANTZ</t>
  </si>
  <si>
    <t>6113 Suffolk Ln</t>
  </si>
  <si>
    <t>CRAIG LARCENIA</t>
  </si>
  <si>
    <t>2525 Amara Dr</t>
  </si>
  <si>
    <t>CRAIG LEACH</t>
  </si>
  <si>
    <t>335 Ira Rd</t>
  </si>
  <si>
    <t>CRAIG OLANDER</t>
  </si>
  <si>
    <t>7743 Westbourne Ct</t>
  </si>
  <si>
    <t>CRAIG PETERS</t>
  </si>
  <si>
    <t>5317 Jackman Rd Apt 12</t>
  </si>
  <si>
    <t>CRAIG TRUST SUSAN</t>
  </si>
  <si>
    <t>5749 Park Center Court</t>
  </si>
  <si>
    <t>CRAIG,JANAE</t>
  </si>
  <si>
    <t>1825 Appledore Pl</t>
  </si>
  <si>
    <t>CRALEY SR,BILLY</t>
  </si>
  <si>
    <t>2305 N Summit St Apt 6</t>
  </si>
  <si>
    <t>CRAMPTON BETHANY</t>
  </si>
  <si>
    <t>1202 Avondale</t>
  </si>
  <si>
    <t>CRANDELL TYLER L</t>
  </si>
  <si>
    <t>316 N Michigan St Ste 416</t>
  </si>
  <si>
    <t>CRAWFORD,SUE</t>
  </si>
  <si>
    <t>2417 Broadway St</t>
  </si>
  <si>
    <t>CREAGER ALEX</t>
  </si>
  <si>
    <t>50 Lancaster Estates</t>
  </si>
  <si>
    <t>Mount Joy</t>
  </si>
  <si>
    <t>Creative Learning Academy, Inc.</t>
  </si>
  <si>
    <t>2440 South Ave.</t>
  </si>
  <si>
    <t>CREATIVE LIVING SERVICES</t>
  </si>
  <si>
    <t>4757 N Summit St</t>
  </si>
  <si>
    <t>CREDIT ADJUSTMENTS INC</t>
  </si>
  <si>
    <t>1250 Geneva Blvd</t>
  </si>
  <si>
    <t>CROMER LACEY</t>
  </si>
  <si>
    <t>433 Danberry</t>
  </si>
  <si>
    <t>CROOKS JOHN</t>
  </si>
  <si>
    <t>3361 Executive Parkway Suite 1</t>
  </si>
  <si>
    <t>CROSSCOUNTRY MORTGAGE LLC</t>
  </si>
  <si>
    <t>CROSSCROUNTRY MORTGAGE LLC</t>
  </si>
  <si>
    <t>CRUTCHER RYYAN</t>
  </si>
  <si>
    <t>3630 Almeda</t>
  </si>
  <si>
    <t>CRYSTAL ANDERSON</t>
  </si>
  <si>
    <t>3117 Beachwood Dr</t>
  </si>
  <si>
    <t>Crystal Brent</t>
  </si>
  <si>
    <t>1914 Shenandoah Rd</t>
  </si>
  <si>
    <t>CRYSTAL FRANKFORTHER</t>
  </si>
  <si>
    <t>1253 Scott St</t>
  </si>
  <si>
    <t>CRYSTAL JADE BUCKMAN</t>
  </si>
  <si>
    <t>5936 Jackman Rd</t>
  </si>
  <si>
    <t>CRYSTAL LYNN DAUNHAUER</t>
  </si>
  <si>
    <t>2811 East Sullivan Drive</t>
  </si>
  <si>
    <t>CRYSTAL WAGNER</t>
  </si>
  <si>
    <t>4209 Penelope Dr</t>
  </si>
  <si>
    <t>CSAA FIRE AND CASUALTY INSURAN</t>
  </si>
  <si>
    <t>1100 Superior Ave Ste 1850</t>
  </si>
  <si>
    <t>CSPC</t>
  </si>
  <si>
    <t>Po Box 182394</t>
  </si>
  <si>
    <t>CSRAMHC PORTFOLIO ONE HOMES</t>
  </si>
  <si>
    <t>3601 Hill Avenue     #155</t>
  </si>
  <si>
    <t>CUBBON &amp; ASSOCIATES</t>
  </si>
  <si>
    <t>One Seagate Suite 1845</t>
  </si>
  <si>
    <t>CULVER EVAN WHITEHEAD</t>
  </si>
  <si>
    <t>3322 Brantford Rd</t>
  </si>
  <si>
    <t>CUMBERLAND,BEVERLY</t>
  </si>
  <si>
    <t>5351 Nebraska Apt 223</t>
  </si>
  <si>
    <t>CUNNINGHAM DONTAE</t>
  </si>
  <si>
    <t>868 Geneva</t>
  </si>
  <si>
    <t>CURTIS CALEB</t>
  </si>
  <si>
    <t>906 Greenwood Avenue</t>
  </si>
  <si>
    <t>CURTIS DUANE</t>
  </si>
  <si>
    <t>11030 Bunting</t>
  </si>
  <si>
    <t>CURTIS E KNIGHT</t>
  </si>
  <si>
    <t>4029 Hearthstone Place</t>
  </si>
  <si>
    <t>CURTIS LEE MENKE</t>
  </si>
  <si>
    <t>CURTIS LOTT</t>
  </si>
  <si>
    <t>2465 Collingwood Blvd</t>
  </si>
  <si>
    <t>CURTIS STEVE</t>
  </si>
  <si>
    <t>16160 Pmb</t>
  </si>
  <si>
    <t>Rocky River</t>
  </si>
  <si>
    <t>CURTIS TURNER</t>
  </si>
  <si>
    <t>5559 Cresthaven Ln Apt 1</t>
  </si>
  <si>
    <t>CURTZWILER BRANDON</t>
  </si>
  <si>
    <t>658 Beckham</t>
  </si>
  <si>
    <t>CYNTHIA MITCHELL</t>
  </si>
  <si>
    <t>6150 W Bancroft St</t>
  </si>
  <si>
    <t>Cynthia Sweet</t>
  </si>
  <si>
    <t>3815 Weckerly Road</t>
  </si>
  <si>
    <t>CZERNIEJEWSKI PATRICIA</t>
  </si>
  <si>
    <t>2707 Pickle Road Apt 62</t>
  </si>
  <si>
    <t>CZERNIKIEWICZ LEOKADIA</t>
  </si>
  <si>
    <t>266 Windemere Blvd</t>
  </si>
  <si>
    <t>266 Windermere Blvd</t>
  </si>
  <si>
    <t>D AND G SUNSHINE PROPERTIES LL</t>
  </si>
  <si>
    <t>6862 Devil's Hole Road</t>
  </si>
  <si>
    <t>Pemberville</t>
  </si>
  <si>
    <t>D LEE JOHNSON</t>
  </si>
  <si>
    <t>3335 Meijer Drive Suite 200</t>
  </si>
  <si>
    <t>Daaiyah Triplett</t>
  </si>
  <si>
    <t>615 Ashwood</t>
  </si>
  <si>
    <t>DACQUISTO, DEBBIE</t>
  </si>
  <si>
    <t>DAIRY QUEEN</t>
  </si>
  <si>
    <t>5300 Monroe Street</t>
  </si>
  <si>
    <t>DAISY I CARUSO</t>
  </si>
  <si>
    <t>3304 Stanhope Dr</t>
  </si>
  <si>
    <t>DAISY LEE BAKER</t>
  </si>
  <si>
    <t>2653 Midwood Ave</t>
  </si>
  <si>
    <t>DAKOTA ALLEN VICT WOODBURY</t>
  </si>
  <si>
    <t>2536 110Th St</t>
  </si>
  <si>
    <t>DAKOTA BRENNEMAN</t>
  </si>
  <si>
    <t>6710 Manore Rd</t>
  </si>
  <si>
    <t>Dakota Jaegle</t>
  </si>
  <si>
    <t>4663 Penridge Road</t>
  </si>
  <si>
    <t>DAKOTA JOE SARTIN</t>
  </si>
  <si>
    <t>823 Koch Dr</t>
  </si>
  <si>
    <t>DAKOTA SOROSIAK</t>
  </si>
  <si>
    <t>3509 Eber Rd</t>
  </si>
  <si>
    <t>DALAN TERRELL DE LAYTON</t>
  </si>
  <si>
    <t>5054 Hallgate Ave</t>
  </si>
  <si>
    <t>DALE BRANDON</t>
  </si>
  <si>
    <t>3873 Upton Ave</t>
  </si>
  <si>
    <t>DALE ELLIOTT</t>
  </si>
  <si>
    <t>5841 Murnen Rd</t>
  </si>
  <si>
    <t>DALE REMUSAT</t>
  </si>
  <si>
    <t>6037 Christopher Dr</t>
  </si>
  <si>
    <t>DALE WARNKE</t>
  </si>
  <si>
    <t>306 Decatur St</t>
  </si>
  <si>
    <t>DALENE GRACE PORTER</t>
  </si>
  <si>
    <t>17 Winding Creek Pl</t>
  </si>
  <si>
    <t>DALENE THELMA SMITH</t>
  </si>
  <si>
    <t>4552 Vermaas Ave</t>
  </si>
  <si>
    <t>DALLAS CHRISTOPHER GOERLICH</t>
  </si>
  <si>
    <t>8760 Manore Rd</t>
  </si>
  <si>
    <t>DAMATO CHRISTINA</t>
  </si>
  <si>
    <t>2645 Spring Water</t>
  </si>
  <si>
    <t>Dameeka Manuel</t>
  </si>
  <si>
    <t>732 E Broadway St</t>
  </si>
  <si>
    <t>DAMIEN ALEXANDER DONBROSKY</t>
  </si>
  <si>
    <t>1825 Sugarbush Rd</t>
  </si>
  <si>
    <t>DAMON R SMITH</t>
  </si>
  <si>
    <t>5627 Cresthaven Ln</t>
  </si>
  <si>
    <t>DANA KNOWLES</t>
  </si>
  <si>
    <t>151 N Michigan</t>
  </si>
  <si>
    <t>DANA M DRUMMOND</t>
  </si>
  <si>
    <t>4427 Margrete Dr</t>
  </si>
  <si>
    <t>DANA RILEY</t>
  </si>
  <si>
    <t>118 Navarre Avenue</t>
  </si>
  <si>
    <t>DANA T BARTELL</t>
  </si>
  <si>
    <t>3106 Dorian Dr</t>
  </si>
  <si>
    <t>DANA WILHELM</t>
  </si>
  <si>
    <t>20 Pennsylvania Ave</t>
  </si>
  <si>
    <t>DANEEN L WYGAST</t>
  </si>
  <si>
    <t>5420 Riviera Dr</t>
  </si>
  <si>
    <t>DANELL BORUM</t>
  </si>
  <si>
    <t>4521 Weldwood Ln</t>
  </si>
  <si>
    <t>DANETTE MARIE GUY</t>
  </si>
  <si>
    <t>927 Schmidlin Rd</t>
  </si>
  <si>
    <t>DANICE MARIE STERN</t>
  </si>
  <si>
    <t>6230 Bahiamar Rd</t>
  </si>
  <si>
    <t>DANIEL A ROMAINE ESQ</t>
  </si>
  <si>
    <t>DANIEL ALBERT LUDWIG</t>
  </si>
  <si>
    <t>4440 Bridle Dr</t>
  </si>
  <si>
    <t>DANIEL AUGUST RASCH</t>
  </si>
  <si>
    <t>3441 Worden Rd</t>
  </si>
  <si>
    <t>DANIEL DAWSON CAROTHERS</t>
  </si>
  <si>
    <t>4180 Weckerly Rd</t>
  </si>
  <si>
    <t>DANIEL E ARNOLD</t>
  </si>
  <si>
    <t>5127 Calyx Ln</t>
  </si>
  <si>
    <t>DANIEL FELBAH</t>
  </si>
  <si>
    <t>1114 Brookview Dr                       Apt 23</t>
  </si>
  <si>
    <t>DANIEL FINGERLE</t>
  </si>
  <si>
    <t>8426 Larch Rd</t>
  </si>
  <si>
    <t>DANIEL H. GRNA</t>
  </si>
  <si>
    <t>709 Madison Avenue 209</t>
  </si>
  <si>
    <t>DANIEL HANNON</t>
  </si>
  <si>
    <t>5102 Ottawa River Rd</t>
  </si>
  <si>
    <t>DANIEL J LECK</t>
  </si>
  <si>
    <t>1728 Watkins Dr</t>
  </si>
  <si>
    <t>DANIEL JACOBS</t>
  </si>
  <si>
    <t>4309 289Th St</t>
  </si>
  <si>
    <t>DANIEL JAMES LOO</t>
  </si>
  <si>
    <t>4803 Sheringham Ln</t>
  </si>
  <si>
    <t>DANIEL L J ZERVAS</t>
  </si>
  <si>
    <t>714 Main St</t>
  </si>
  <si>
    <t>DANIEL LEIZERMAN</t>
  </si>
  <si>
    <t>3900 Emmajean Rd</t>
  </si>
  <si>
    <t>DANIEL M SUTO</t>
  </si>
  <si>
    <t>1937 Ashcroft Dr</t>
  </si>
  <si>
    <t>DANIEL MARK HAUER</t>
  </si>
  <si>
    <t>9212 Windy Brook Ct</t>
  </si>
  <si>
    <t>Daniel Morey</t>
  </si>
  <si>
    <t>3502 Mapleway Dr</t>
  </si>
  <si>
    <t>DANIEL N GOEDER</t>
  </si>
  <si>
    <t>5338 Banbury Dr</t>
  </si>
  <si>
    <t>DANIEL NEAL KRUMM</t>
  </si>
  <si>
    <t>10115 Saddle Bridge Dr S</t>
  </si>
  <si>
    <t>DANIEL NIXON</t>
  </si>
  <si>
    <t>12450 Patton Rd</t>
  </si>
  <si>
    <t>DANIEL PATRICK HOLLEY</t>
  </si>
  <si>
    <t>3225 Lexington Glen Blvd</t>
  </si>
  <si>
    <t>DANIEL RICHARDSON</t>
  </si>
  <si>
    <t>5902 Garden Park Dr</t>
  </si>
  <si>
    <t>DANIEL S PIFER</t>
  </si>
  <si>
    <t>1363 Glenview Rd</t>
  </si>
  <si>
    <t>DANIEL SCZESNY</t>
  </si>
  <si>
    <t>416 N Erir St                       Ste 100</t>
  </si>
  <si>
    <t>DANIEL SUTO</t>
  </si>
  <si>
    <t>DANIEL THOMAS TROCCHIO</t>
  </si>
  <si>
    <t>5862 N River Rd</t>
  </si>
  <si>
    <t>DANIEL WEISS</t>
  </si>
  <si>
    <t>5211 Eagles Landing Dr</t>
  </si>
  <si>
    <t>DANIEL WILLIAM PELLIZZARI</t>
  </si>
  <si>
    <t>2755 131St St</t>
  </si>
  <si>
    <t>DANIELLE B DOTTS</t>
  </si>
  <si>
    <t>4015 Hearthstone Pl</t>
  </si>
  <si>
    <t>DANIELLE BELLA COLLIER</t>
  </si>
  <si>
    <t>3633 Southlawn Dr</t>
  </si>
  <si>
    <t>DANIELLE BRYANT</t>
  </si>
  <si>
    <t>750 Valleywood Dr</t>
  </si>
  <si>
    <t>DANIELLE DAVIS</t>
  </si>
  <si>
    <t>603 Gramercy Ave</t>
  </si>
  <si>
    <t>DANIELLE DURAN</t>
  </si>
  <si>
    <t>215 Segur Ave</t>
  </si>
  <si>
    <t>DANIELLE E FREELS</t>
  </si>
  <si>
    <t>8329 Sycamore Woods Ln</t>
  </si>
  <si>
    <t>DANIELLE HAUGH</t>
  </si>
  <si>
    <t>3530 N Erie St Apt 1C</t>
  </si>
  <si>
    <t>DANIELLE M COPELAND</t>
  </si>
  <si>
    <t>3051 Winston Blvd</t>
  </si>
  <si>
    <t>DANIELLE M MARINO</t>
  </si>
  <si>
    <t>4954 New England Ln Apt 201</t>
  </si>
  <si>
    <t>DANIELLE MARIE SLAUGHTER</t>
  </si>
  <si>
    <t>961 S Reynolds Rd Lot 135</t>
  </si>
  <si>
    <t>DANIELLE NICOLE HARRIS</t>
  </si>
  <si>
    <t>2413 Scottwood Ave</t>
  </si>
  <si>
    <t>Danielle Ribas</t>
  </si>
  <si>
    <t>116 Steel St</t>
  </si>
  <si>
    <t>DANIELLE S DAVENPORT</t>
  </si>
  <si>
    <t>2838 Emmick Dr</t>
  </si>
  <si>
    <t>DANIELLE SANTOS</t>
  </si>
  <si>
    <t>321 E Wayne St</t>
  </si>
  <si>
    <t>DANIELLE SPAHR</t>
  </si>
  <si>
    <t>3531 Brookside Rd</t>
  </si>
  <si>
    <t>DANIELLE TAYLOR</t>
  </si>
  <si>
    <t>3840 Grantley Rd</t>
  </si>
  <si>
    <t>DANIELLE YVETTE SHOCKLEY</t>
  </si>
  <si>
    <t>1219 Bernath Pkwy</t>
  </si>
  <si>
    <t>DANIELS NATASHIA</t>
  </si>
  <si>
    <t>620 Garden Unit F 96</t>
  </si>
  <si>
    <t>DANIELS VINCENT</t>
  </si>
  <si>
    <t>5725 Silverside Drive,      Apt 68</t>
  </si>
  <si>
    <t>DANNELLE MARIE MICKLES</t>
  </si>
  <si>
    <t>1120 Parkside Blvd</t>
  </si>
  <si>
    <t>DANNY FANN</t>
  </si>
  <si>
    <t>1123 Nevada St</t>
  </si>
  <si>
    <t>DANNY JONES</t>
  </si>
  <si>
    <t>5702 Angola Rd Lot 15</t>
  </si>
  <si>
    <t>Daphne Grier</t>
  </si>
  <si>
    <t>1626 Circular Rd.</t>
  </si>
  <si>
    <t>DAQUZE D STEPHENS</t>
  </si>
  <si>
    <t>5308 Nebraska Ave</t>
  </si>
  <si>
    <t>DARCIE TRAME</t>
  </si>
  <si>
    <t>1408 Brookview Dr Apt 43</t>
  </si>
  <si>
    <t>DARGART LARRY AND NANCY</t>
  </si>
  <si>
    <t>405 Madison #2200</t>
  </si>
  <si>
    <t>Darice Hughes</t>
  </si>
  <si>
    <t>2241 Westmonte Rd</t>
  </si>
  <si>
    <t>Darious Horton</t>
  </si>
  <si>
    <t>916 Woodward Ave</t>
  </si>
  <si>
    <t>DARIUS D GOODWIN</t>
  </si>
  <si>
    <t>396 E Appleton Terrace</t>
  </si>
  <si>
    <t>DARLA &amp; ROBERT BEAGLE</t>
  </si>
  <si>
    <t>640 Parker Ave</t>
  </si>
  <si>
    <t>DARLA B SOTO</t>
  </si>
  <si>
    <t>Po Box 353132</t>
  </si>
  <si>
    <t>DARLA K JAMES</t>
  </si>
  <si>
    <t>2612 Massillon St</t>
  </si>
  <si>
    <t>Darlene Bunton</t>
  </si>
  <si>
    <t>1005 Broer Ave</t>
  </si>
  <si>
    <t>DARLENE CECELIA WEBER</t>
  </si>
  <si>
    <t>5735 Castlerock Dr</t>
  </si>
  <si>
    <t>DARLENE PEARSON</t>
  </si>
  <si>
    <t>Po Box 140754</t>
  </si>
  <si>
    <t>DARMON MCCULLOUGH</t>
  </si>
  <si>
    <t>232 E Hudson St</t>
  </si>
  <si>
    <t>DARNELL &amp; SCARLETT WELLS</t>
  </si>
  <si>
    <t>17451 Michigan Heights</t>
  </si>
  <si>
    <t>Brownstown</t>
  </si>
  <si>
    <t>DARNELL ROBINSON</t>
  </si>
  <si>
    <t>342 Ivanhill Rd</t>
  </si>
  <si>
    <t>DARREL MATHEWS</t>
  </si>
  <si>
    <t>3423 Gorney</t>
  </si>
  <si>
    <t>DARREL PHILLIPS SR</t>
  </si>
  <si>
    <t>827 Heidelberg Rd</t>
  </si>
  <si>
    <t>DARRELL J PATTERSON</t>
  </si>
  <si>
    <t>11338 Garden Rd</t>
  </si>
  <si>
    <t>DARRELL MCCLURG MURRAY</t>
  </si>
  <si>
    <t>3002 Ravenwood Blvd</t>
  </si>
  <si>
    <t>DARREN HANKINS</t>
  </si>
  <si>
    <t>2 Hidden Valley Dr #1</t>
  </si>
  <si>
    <t>DARRINGTON,BRENDA</t>
  </si>
  <si>
    <t>401 Heathshire Dr</t>
  </si>
  <si>
    <t>DARRYL L STEPHENS</t>
  </si>
  <si>
    <t>DARYCK ROY SUZOR</t>
  </si>
  <si>
    <t>2447 South Ave</t>
  </si>
  <si>
    <t>DARYL  DAZELY JR</t>
  </si>
  <si>
    <t>5319 Breezeway        Apt 9</t>
  </si>
  <si>
    <t>DARYL STEVENS</t>
  </si>
  <si>
    <t>2822 Weckerly Rd</t>
  </si>
  <si>
    <t>Dashawn T Wilson</t>
  </si>
  <si>
    <t>1649 Cone St</t>
  </si>
  <si>
    <t>DASSOUKI MICHAEL &amp; WILMA</t>
  </si>
  <si>
    <t>722 Walnut St</t>
  </si>
  <si>
    <t>DAUNTE W HAWKINS</t>
  </si>
  <si>
    <t>1837 Clay Ave</t>
  </si>
  <si>
    <t>DAVE C NIETRZEBA</t>
  </si>
  <si>
    <t>669 Northfield Dr</t>
  </si>
  <si>
    <t>Dave White Auto Credit</t>
  </si>
  <si>
    <t>1291 Conant St</t>
  </si>
  <si>
    <t>5451 W Alexis Rd</t>
  </si>
  <si>
    <t>Dave White Chevrolet</t>
  </si>
  <si>
    <t>5880 Monroe St</t>
  </si>
  <si>
    <t>DAVENPORT,EDITH</t>
  </si>
  <si>
    <t>8 Zachary Cir</t>
  </si>
  <si>
    <t>DAVID A BLACK</t>
  </si>
  <si>
    <t>4430 N Holland Sylvania Rd Apt</t>
  </si>
  <si>
    <t>DAVID A COLE</t>
  </si>
  <si>
    <t>1250 Geneca Blvd</t>
  </si>
  <si>
    <t>Definance</t>
  </si>
  <si>
    <t>DAVID ADAMS</t>
  </si>
  <si>
    <t>5961 Matthew Dr</t>
  </si>
  <si>
    <t>DAVID AHRENS</t>
  </si>
  <si>
    <t>2105 7Th St</t>
  </si>
  <si>
    <t>DAVID ANTHONY R</t>
  </si>
  <si>
    <t>2340 Bucklew Dr</t>
  </si>
  <si>
    <t>DAVID BARTH</t>
  </si>
  <si>
    <t>2206 Country Squire Ln</t>
  </si>
  <si>
    <t>DAVID BILLAU</t>
  </si>
  <si>
    <t>2103 Stoneham Rd</t>
  </si>
  <si>
    <t>DAVID C BAER</t>
  </si>
  <si>
    <t>3938 Homewood Ave</t>
  </si>
  <si>
    <t>DAVID C PURDUE</t>
  </si>
  <si>
    <t>521 W Harrison St</t>
  </si>
  <si>
    <t>DAVID C SHOOK</t>
  </si>
  <si>
    <t>3450 W. Central Suite 320-B</t>
  </si>
  <si>
    <t>DAVID COLDIRON</t>
  </si>
  <si>
    <t>7104 Erie St</t>
  </si>
  <si>
    <t>David Coleman</t>
  </si>
  <si>
    <t>4508 Oak Creek Ln</t>
  </si>
  <si>
    <t>DAVID DALTON</t>
  </si>
  <si>
    <t>2200 Scottwood Ave #205</t>
  </si>
  <si>
    <t>2200 Scottwood Ave Unit 205</t>
  </si>
  <si>
    <t>David Davenport</t>
  </si>
  <si>
    <t>5585 Eagle Trace Dr.</t>
  </si>
  <si>
    <t>David Doddridge</t>
  </si>
  <si>
    <t>5889 Settlers Ridge Circle</t>
  </si>
  <si>
    <t>DAVID DOUGLAS DALTON</t>
  </si>
  <si>
    <t>DAVID E MARTINEZ</t>
  </si>
  <si>
    <t>64 Birckhead Pl</t>
  </si>
  <si>
    <t>DAVID E REDDICK</t>
  </si>
  <si>
    <t>117 Rutledge Dr</t>
  </si>
  <si>
    <t>DAVID ERNE</t>
  </si>
  <si>
    <t>4730 293Rd St</t>
  </si>
  <si>
    <t>DAVID FENNELL</t>
  </si>
  <si>
    <t>1203 Michigan Ave</t>
  </si>
  <si>
    <t>DAVID HILL</t>
  </si>
  <si>
    <t>1518 Wilmore Dr</t>
  </si>
  <si>
    <t>DAVID J MONTAGUE</t>
  </si>
  <si>
    <t>1664 N Curtice Rd</t>
  </si>
  <si>
    <t>DAVID JOHNS</t>
  </si>
  <si>
    <t>1824 Lampwick Pl</t>
  </si>
  <si>
    <t>DAVID L SCHRODER</t>
  </si>
  <si>
    <t>3712 Rye Hill Ln</t>
  </si>
  <si>
    <t>DAVID LEE KLUCAS</t>
  </si>
  <si>
    <t>5331 Edgewater Dr</t>
  </si>
  <si>
    <t>DAVID LEE REDMOND</t>
  </si>
  <si>
    <t>5546 Harschel Dr</t>
  </si>
  <si>
    <t>DAVID LULFS</t>
  </si>
  <si>
    <t>9509 Brint Rd</t>
  </si>
  <si>
    <t>DAVID M EIBEN</t>
  </si>
  <si>
    <t>13675 Neowash Rd</t>
  </si>
  <si>
    <t>DAVID M LORD</t>
  </si>
  <si>
    <t>7643 Trotter Rd</t>
  </si>
  <si>
    <t>DAVID M SUELZER</t>
  </si>
  <si>
    <t>520 River Rd</t>
  </si>
  <si>
    <t>David Maestro</t>
  </si>
  <si>
    <t>734 Regina Pkwy</t>
  </si>
  <si>
    <t>DAVID MARTINEZ</t>
  </si>
  <si>
    <t>DAVID MARUNOWSKI</t>
  </si>
  <si>
    <t>536 Comfort Rd</t>
  </si>
  <si>
    <t>Richlands</t>
  </si>
  <si>
    <t>DAVID MICHAEL WISE</t>
  </si>
  <si>
    <t>3540 Kershaw Ave</t>
  </si>
  <si>
    <t>DAVID PAUL STRUP</t>
  </si>
  <si>
    <t>4456 Standing Timbers Ln</t>
  </si>
  <si>
    <t>DAVID POULSON</t>
  </si>
  <si>
    <t>1022 Francis Ave</t>
  </si>
  <si>
    <t>DAVID R CURRIE</t>
  </si>
  <si>
    <t>1757 Valley Way Dr</t>
  </si>
  <si>
    <t>DAVID R GEDMAN</t>
  </si>
  <si>
    <t>7604 Wellsbury Dr</t>
  </si>
  <si>
    <t>DAVID R STVARTAK</t>
  </si>
  <si>
    <t>257 S Norden Rd</t>
  </si>
  <si>
    <t>DAVID R WEBB BUILDERS INC</t>
  </si>
  <si>
    <t>5858 N Main St Ste 101</t>
  </si>
  <si>
    <t>DAVID RACZ</t>
  </si>
  <si>
    <t>2712 Wyndale Rd</t>
  </si>
  <si>
    <t>DAVID RAYMOND NAUGLE</t>
  </si>
  <si>
    <t>427 Quail East Dr</t>
  </si>
  <si>
    <t>DAVID RICHARD SCHWARTZ</t>
  </si>
  <si>
    <t>513 Adams Street, Apt 1003</t>
  </si>
  <si>
    <t>DAVID SCHATZ</t>
  </si>
  <si>
    <t>5173 Hollenbeck Dr</t>
  </si>
  <si>
    <t>DAVID SCOTT SMITH</t>
  </si>
  <si>
    <t>2159 Westbrook Dr</t>
  </si>
  <si>
    <t>DAVID SHIMMAN</t>
  </si>
  <si>
    <t>2654 Bleeker St</t>
  </si>
  <si>
    <t>DAVID SIDA-DIAZ</t>
  </si>
  <si>
    <t>1212 Gordon St</t>
  </si>
  <si>
    <t>DAVID SWEENY FLORIST</t>
  </si>
  <si>
    <t>2521 Parkwood</t>
  </si>
  <si>
    <t>DAVID SWEENY FLORIST   ALEX ARMSTRONG</t>
  </si>
  <si>
    <t>DAVID TELLAM</t>
  </si>
  <si>
    <t>5206 303Rd St</t>
  </si>
  <si>
    <t>DAVID TIDWELL</t>
  </si>
  <si>
    <t>1215 Navarre Ave</t>
  </si>
  <si>
    <t>DAVID TRAN</t>
  </si>
  <si>
    <t>4651 Naomi Dr</t>
  </si>
  <si>
    <t>DAVID V NAJARIAN</t>
  </si>
  <si>
    <t>3207 Royton Rd</t>
  </si>
  <si>
    <t>DAVID VARANESE</t>
  </si>
  <si>
    <t>1057 Plum Grove Ln</t>
  </si>
  <si>
    <t>DAVID VASQUEZ</t>
  </si>
  <si>
    <t>901 Bricker Ave</t>
  </si>
  <si>
    <t>DAVID WHITMIRE</t>
  </si>
  <si>
    <t>8562 Royal Lythan Ln</t>
  </si>
  <si>
    <t>DAVID WILLIAM SHELLHAMMER</t>
  </si>
  <si>
    <t>346 Cheswick St</t>
  </si>
  <si>
    <t>DAVID WILLIAM TINER</t>
  </si>
  <si>
    <t>1108 Eleanor Ave</t>
  </si>
  <si>
    <t>DAVID WOODRING</t>
  </si>
  <si>
    <t>4107 Newcastle Dr</t>
  </si>
  <si>
    <t>Davienna A Pringle</t>
  </si>
  <si>
    <t>2465 Warren St</t>
  </si>
  <si>
    <t>DAVION LAMAR TURNER</t>
  </si>
  <si>
    <t>5809 Pickard Dr                           Apt 2</t>
  </si>
  <si>
    <t>DAVIS CARL</t>
  </si>
  <si>
    <t>8133 Airport</t>
  </si>
  <si>
    <t>DAVIS CHARLES</t>
  </si>
  <si>
    <t>4811 Overland Pkwy Unit 204</t>
  </si>
  <si>
    <t>DAVIS JENNIFER</t>
  </si>
  <si>
    <t>3450 S Reynolds</t>
  </si>
  <si>
    <t>DAVIS LAYLA</t>
  </si>
  <si>
    <t>DAVIS MCKAY WELLS</t>
  </si>
  <si>
    <t>537 Favony Ave</t>
  </si>
  <si>
    <t>DAVIS NEWMAN LETA</t>
  </si>
  <si>
    <t>1882 Sugarbush Rd</t>
  </si>
  <si>
    <t>DAVIS ZAVION</t>
  </si>
  <si>
    <t>3483 High South Bend</t>
  </si>
  <si>
    <t>South Bend</t>
  </si>
  <si>
    <t>DAVIS,ESTHER</t>
  </si>
  <si>
    <t>2512 Echo Rd</t>
  </si>
  <si>
    <t>Davison, Michael</t>
  </si>
  <si>
    <t>2629 Robinwood</t>
  </si>
  <si>
    <t>DAWN DIANE CHORNEY</t>
  </si>
  <si>
    <t>4603 Rambo Ln</t>
  </si>
  <si>
    <t>DAWN HARTFORD</t>
  </si>
  <si>
    <t>5753 Saint Clement Ct</t>
  </si>
  <si>
    <t>DAWN LANDRUS</t>
  </si>
  <si>
    <t>6537 Brixton Rd</t>
  </si>
  <si>
    <t>DAWN M DASTOLI</t>
  </si>
  <si>
    <t>7812 Harvest Gold Dr</t>
  </si>
  <si>
    <t>DAWN M DUSSEAU</t>
  </si>
  <si>
    <t>7024 Hall St</t>
  </si>
  <si>
    <t>DAWN MARIE ORTIZ</t>
  </si>
  <si>
    <t>4154 Valleycrest Ct</t>
  </si>
  <si>
    <t>DAWN MC NEAR</t>
  </si>
  <si>
    <t>9307 Northpond Ct</t>
  </si>
  <si>
    <t>DAWN RUTHANN TRIGGS</t>
  </si>
  <si>
    <t>8516 Jeffers Rd</t>
  </si>
  <si>
    <t>DAWN SCHWABEL</t>
  </si>
  <si>
    <t>10379 Neiderhouse Rd</t>
  </si>
  <si>
    <t>DAWN STEELE</t>
  </si>
  <si>
    <t>734 W Gramercy Ave</t>
  </si>
  <si>
    <t>DAWN THOMPSON</t>
  </si>
  <si>
    <t>351 Moorish Ave</t>
  </si>
  <si>
    <t>Dawn Thompson</t>
  </si>
  <si>
    <t>DAWSON CORY</t>
  </si>
  <si>
    <t>212 Renwick</t>
  </si>
  <si>
    <t>DAY VION SMITH</t>
  </si>
  <si>
    <t>2354 Gibley Park Rd</t>
  </si>
  <si>
    <t>DAYNE M MAHER</t>
  </si>
  <si>
    <t>6113 Eaglewood Dr</t>
  </si>
  <si>
    <t>DE LEON MARIA C</t>
  </si>
  <si>
    <t>1114 E Bancroft St</t>
  </si>
  <si>
    <t>DEAKINS BETHANY &amp; MATTHEW D</t>
  </si>
  <si>
    <t>2011 Sunnylawn Dr</t>
  </si>
  <si>
    <t>DEAN AVENUE LLC</t>
  </si>
  <si>
    <t>P O Box 1253</t>
  </si>
  <si>
    <t>DEAN DAVID L &amp; JULIE A</t>
  </si>
  <si>
    <t>665 S Wynn Rd</t>
  </si>
  <si>
    <t>DEAN K HEGYES</t>
  </si>
  <si>
    <t>Po Box 3969</t>
  </si>
  <si>
    <t>P O Box 39696</t>
  </si>
  <si>
    <t>DEAN PICKETT</t>
  </si>
  <si>
    <t>3016 Westbrook Dr</t>
  </si>
  <si>
    <t>Dean Taylor</t>
  </si>
  <si>
    <t>Deandrea Khioukhom</t>
  </si>
  <si>
    <t>131 Longmeadow Dr.</t>
  </si>
  <si>
    <t>DEANNA L COX</t>
  </si>
  <si>
    <t>262 Plymouth St</t>
  </si>
  <si>
    <t>DEANNA MARIE THOMPSON</t>
  </si>
  <si>
    <t>11751 Shaffer Rd</t>
  </si>
  <si>
    <t>DEBEVE AMANDA</t>
  </si>
  <si>
    <t>7919 Larkspur Road</t>
  </si>
  <si>
    <t>Chagrin Falls</t>
  </si>
  <si>
    <t>DEBORA ANN ROSCOE</t>
  </si>
  <si>
    <t>6 E Crawford Ave</t>
  </si>
  <si>
    <t>DEBORAH A WALTER</t>
  </si>
  <si>
    <t>2291 Chalmette Dr</t>
  </si>
  <si>
    <t>DEBORAH A WARD</t>
  </si>
  <si>
    <t>4336 W Bancroft St Apt 3</t>
  </si>
  <si>
    <t>DEBORAH ANN HALL</t>
  </si>
  <si>
    <t>2330 Old Stone Ct Apt 6</t>
  </si>
  <si>
    <t>DEBORAH ANN RUTOWSKI</t>
  </si>
  <si>
    <t>654 Coeli Dr</t>
  </si>
  <si>
    <t>DEBORAH APPERT</t>
  </si>
  <si>
    <t>5444 Morrow Rd</t>
  </si>
  <si>
    <t>DEBORAH BAILEY</t>
  </si>
  <si>
    <t>3316 Percentum Rd Apt 110</t>
  </si>
  <si>
    <t>Deborah Chambers</t>
  </si>
  <si>
    <t>9616 Bishopswood Ln</t>
  </si>
  <si>
    <t>Deborah Gillespie</t>
  </si>
  <si>
    <t>3637 Bowen Rd</t>
  </si>
  <si>
    <t>DEBORAH K ZUNK</t>
  </si>
  <si>
    <t>5037 Brandon Rd</t>
  </si>
  <si>
    <t>DEBORAH KAY BRADFIELD</t>
  </si>
  <si>
    <t>4814 Sandlewood Ct</t>
  </si>
  <si>
    <t>DEBORAH NEELY</t>
  </si>
  <si>
    <t>4136 Berwick Ave</t>
  </si>
  <si>
    <t>DEBORAH SUE KELLY</t>
  </si>
  <si>
    <t>1320 Harvard Blvd</t>
  </si>
  <si>
    <t>DEBORAH V NUGENT</t>
  </si>
  <si>
    <t>2018 Newport Ave</t>
  </si>
  <si>
    <t>Deborah Warren</t>
  </si>
  <si>
    <t>720 White St</t>
  </si>
  <si>
    <t>DEBORAH WORMELY BLACK</t>
  </si>
  <si>
    <t>95 Ivanhill Rd</t>
  </si>
  <si>
    <t>DEBRA ANN BARTEL</t>
  </si>
  <si>
    <t>1937 Ketner Ave</t>
  </si>
  <si>
    <t>DEBRA COMSTOCK</t>
  </si>
  <si>
    <t>1126 Wentworth Ave</t>
  </si>
  <si>
    <t>DEBRA KARMOL</t>
  </si>
  <si>
    <t>524 Independence Dr</t>
  </si>
  <si>
    <t>DEBRA LYNN FREY</t>
  </si>
  <si>
    <t>3630 Philmar Dr</t>
  </si>
  <si>
    <t>DEBRA M HARTENFELD</t>
  </si>
  <si>
    <t>2730 116Th St</t>
  </si>
  <si>
    <t>DEBRA SUE BUSH</t>
  </si>
  <si>
    <t>5945 Brookestone Village Ln</t>
  </si>
  <si>
    <t>Dedra Floyd</t>
  </si>
  <si>
    <t>725 Brighton</t>
  </si>
  <si>
    <t>DEEDMAN MARGARET</t>
  </si>
  <si>
    <t>4019 Arnelle Dr.</t>
  </si>
  <si>
    <t>DEEPAK BADONI</t>
  </si>
  <si>
    <t>750 Hilltop Ln</t>
  </si>
  <si>
    <t>DEGEN RICHARD</t>
  </si>
  <si>
    <t>4532 Whistling Oak</t>
  </si>
  <si>
    <t>DEIDRE RUEDY</t>
  </si>
  <si>
    <t>1742 Sugarbush Rd</t>
  </si>
  <si>
    <t>DEJUAN JAMAL HILL</t>
  </si>
  <si>
    <t>1426 Waverly Ave</t>
  </si>
  <si>
    <t>DELACRUZ LYNDZI</t>
  </si>
  <si>
    <t>5317 Paigeland</t>
  </si>
  <si>
    <t>DELANCE M SIMS</t>
  </si>
  <si>
    <t>5551 Ryewyck Ct Apt D</t>
  </si>
  <si>
    <t>DELANEY MAHONEY</t>
  </si>
  <si>
    <t>3538 Maxwell Road</t>
  </si>
  <si>
    <t>DELANEY R SULLIVAN</t>
  </si>
  <si>
    <t>4103 Harvest Ln Apt 1</t>
  </si>
  <si>
    <t>DELANO D MCCABE</t>
  </si>
  <si>
    <t>3252 Franklin Ave</t>
  </si>
  <si>
    <t>DELGADO ERICA</t>
  </si>
  <si>
    <t>863 Byrneport</t>
  </si>
  <si>
    <t>DELLA LOUISE CHISHOLM</t>
  </si>
  <si>
    <t>1146 Palmwood Ave</t>
  </si>
  <si>
    <t>DELOACH KATHRYN E</t>
  </si>
  <si>
    <t>939 Toronto Ave</t>
  </si>
  <si>
    <t>DELONG RAYMOND</t>
  </si>
  <si>
    <t>2837 Elm</t>
  </si>
  <si>
    <t>DELORA LEANN WILCOX</t>
  </si>
  <si>
    <t>4114 Templar Rd</t>
  </si>
  <si>
    <t>Delores Jean Cottrell</t>
  </si>
  <si>
    <t>1610 Circular Rd Apt 1</t>
  </si>
  <si>
    <t>DELTA COMMUNITY CU</t>
  </si>
  <si>
    <t>1025 Virginia Avenue</t>
  </si>
  <si>
    <t>DELTON DAVIS</t>
  </si>
  <si>
    <t>4373 Glendale Avenue</t>
  </si>
  <si>
    <t>DELUCA NICHOLAS</t>
  </si>
  <si>
    <t>1448 Beacham</t>
  </si>
  <si>
    <t>DEMARIO B MCNEELEY</t>
  </si>
  <si>
    <t>3147 Meadowbrook Ct</t>
  </si>
  <si>
    <t>DEMONTE DESHAUN MCCARVER</t>
  </si>
  <si>
    <t>1833 Ottawa Dr</t>
  </si>
  <si>
    <t>DENA L SWANTEK</t>
  </si>
  <si>
    <t>3344 Indian Trail Ln</t>
  </si>
  <si>
    <t>DENA MARVIN</t>
  </si>
  <si>
    <t>5319 Brandy Ln</t>
  </si>
  <si>
    <t>DENA R DEEB</t>
  </si>
  <si>
    <t>7719 Old Sycamore Ln</t>
  </si>
  <si>
    <t>DENA WALKER</t>
  </si>
  <si>
    <t>2635 109Th St</t>
  </si>
  <si>
    <t>DENISE ANN CARR</t>
  </si>
  <si>
    <t>5846 Dalton Rd</t>
  </si>
  <si>
    <t>DENISE ASTON</t>
  </si>
  <si>
    <t>3041 Strathmoor Ave</t>
  </si>
  <si>
    <t>Denise Darcel Jones</t>
  </si>
  <si>
    <t>2469 Lawrence Ave</t>
  </si>
  <si>
    <t>DENISE HAINES</t>
  </si>
  <si>
    <t>201 S Munson Road</t>
  </si>
  <si>
    <t>DENISE J CARMACK</t>
  </si>
  <si>
    <t>1001 Ketcham Ave</t>
  </si>
  <si>
    <t>DENISE JOHNSON</t>
  </si>
  <si>
    <t>711 Southover Rd</t>
  </si>
  <si>
    <t>DENISE LITTERER</t>
  </si>
  <si>
    <t>2849 Kenwood Blvd</t>
  </si>
  <si>
    <t>Denise Litterer</t>
  </si>
  <si>
    <t>DENISE LUETTKE</t>
  </si>
  <si>
    <t>3019 123Rd St</t>
  </si>
  <si>
    <t>DENISE M KUNKEL</t>
  </si>
  <si>
    <t>3832 N Mccord</t>
  </si>
  <si>
    <t>DENISE PENDLETON</t>
  </si>
  <si>
    <t>5047 W Bancroft St</t>
  </si>
  <si>
    <t>DENISE WILLIAMS</t>
  </si>
  <si>
    <t>1173 Pinebrook Pkwy #204</t>
  </si>
  <si>
    <t>DENMAN PATRICK</t>
  </si>
  <si>
    <t>3710 Lynbrook Drive</t>
  </si>
  <si>
    <t>DENNIS BROWN</t>
  </si>
  <si>
    <t>7046 Addison Pl</t>
  </si>
  <si>
    <t>DENNIS DUNCAN</t>
  </si>
  <si>
    <t>1217 Jefferson Ave</t>
  </si>
  <si>
    <t>DENNIS GAWRONSKI</t>
  </si>
  <si>
    <t>3789 Driftwood Rd</t>
  </si>
  <si>
    <t>DENNIS J SHERRY</t>
  </si>
  <si>
    <t>3430 Gallatin Rd</t>
  </si>
  <si>
    <t>DENNIS MATT</t>
  </si>
  <si>
    <t>7411 Sylvania</t>
  </si>
  <si>
    <t>DENNIS PATRICK MCPARTLAND</t>
  </si>
  <si>
    <t>3134 Wendover Dr</t>
  </si>
  <si>
    <t>DENNIS RIFE</t>
  </si>
  <si>
    <t>3149 Seaman Rd</t>
  </si>
  <si>
    <t>DENNIS ROBINSON</t>
  </si>
  <si>
    <t>DENNIS WHALEY</t>
  </si>
  <si>
    <t>4641 Framingham Dr</t>
  </si>
  <si>
    <t>DENVER RAY</t>
  </si>
  <si>
    <t>1403 Yates St</t>
  </si>
  <si>
    <t>DEONNA TURNER</t>
  </si>
  <si>
    <t>1824 Lampwick Pl Apt 20</t>
  </si>
  <si>
    <t>DEONTE MCSWAIN</t>
  </si>
  <si>
    <t>3438 Northwood Ave</t>
  </si>
  <si>
    <t>DEPP,CHRISTI</t>
  </si>
  <si>
    <t>4445 Cherry Creek Ln</t>
  </si>
  <si>
    <t>DEREK BALOGH</t>
  </si>
  <si>
    <t>2045 Marengo St</t>
  </si>
  <si>
    <t>DEREK CARR</t>
  </si>
  <si>
    <t>2649 106Th St</t>
  </si>
  <si>
    <t>DEREK GREGORY BURKARD</t>
  </si>
  <si>
    <t>217 Freedom Ln</t>
  </si>
  <si>
    <t>DEREK JAMES HARGET</t>
  </si>
  <si>
    <t>865 Utah St</t>
  </si>
  <si>
    <t>DEREK JENNINGS</t>
  </si>
  <si>
    <t>6733 Dennison Dr</t>
  </si>
  <si>
    <t>DEREK M PARTIN</t>
  </si>
  <si>
    <t>2847 Iroquois Dr</t>
  </si>
  <si>
    <t>DEREK RAY</t>
  </si>
  <si>
    <t>2920 121St St</t>
  </si>
  <si>
    <t>Derrick A Johnson</t>
  </si>
  <si>
    <t>4036 Parrakeet Ave</t>
  </si>
  <si>
    <t>DERRICK DANIEL JONES</t>
  </si>
  <si>
    <t>2645 Westcastle Dr</t>
  </si>
  <si>
    <t>DERRYL JOHNSON</t>
  </si>
  <si>
    <t>728 Baker St</t>
  </si>
  <si>
    <t>DESIREE NAGY</t>
  </si>
  <si>
    <t>2521 Charlestown Ave</t>
  </si>
  <si>
    <t>DESTIN J MARTIN</t>
  </si>
  <si>
    <t>2254 Vermont Ave</t>
  </si>
  <si>
    <t>DESTINY STARR WHITMER</t>
  </si>
  <si>
    <t>441 Knower St.</t>
  </si>
  <si>
    <t>DESTYN R LEWIS</t>
  </si>
  <si>
    <t>1325 Oak Hill Ct Apt 134</t>
  </si>
  <si>
    <t>DEUTSCHE BANK NATIONAL TRUST</t>
  </si>
  <si>
    <t>39652 Red Bank Rd</t>
  </si>
  <si>
    <t>3962 Red Bank</t>
  </si>
  <si>
    <t>DEUTSCHE BANK NATIONAL TRUST C</t>
  </si>
  <si>
    <t>3962 Red Bank Road</t>
  </si>
  <si>
    <t>Devalt, Deanna</t>
  </si>
  <si>
    <t>1522 Shenandoah</t>
  </si>
  <si>
    <t>DeValt, Deanna</t>
  </si>
  <si>
    <t>DEVEN M WILLOUGHBY</t>
  </si>
  <si>
    <t>1352 Palmetto Ave</t>
  </si>
  <si>
    <t>DEVIN CLAWSON</t>
  </si>
  <si>
    <t>4648 Harbord Dr</t>
  </si>
  <si>
    <t>DEVIN EAST</t>
  </si>
  <si>
    <t>34 N River Rd</t>
  </si>
  <si>
    <t>DEVIN HOLLOWAY</t>
  </si>
  <si>
    <t>8314 Prov Neap Swan Rd</t>
  </si>
  <si>
    <t>DEVIN PIENING</t>
  </si>
  <si>
    <t>4120 Wyndwood Dr</t>
  </si>
  <si>
    <t>DEVON LEE GRIFFIN</t>
  </si>
  <si>
    <t>4511 Luann Ave</t>
  </si>
  <si>
    <t>DEVON MI CHAL WILKES</t>
  </si>
  <si>
    <t>629 Falcon Rd</t>
  </si>
  <si>
    <t>DEVON RECARDO</t>
  </si>
  <si>
    <t>3806 Doty Dr</t>
  </si>
  <si>
    <t>DEVYN BODI</t>
  </si>
  <si>
    <t>917 Linden Ln</t>
  </si>
  <si>
    <t>DEWAYNE LAMAR LEWIS</t>
  </si>
  <si>
    <t>724 Ranch Dr</t>
  </si>
  <si>
    <t>Diamond Roberson</t>
  </si>
  <si>
    <t>1347 Noble St</t>
  </si>
  <si>
    <t>DIANA A TAYLOR</t>
  </si>
  <si>
    <t>9964 Angola Rd Stop None</t>
  </si>
  <si>
    <t>DIANA GRIFFEY</t>
  </si>
  <si>
    <t>4459 286Th St</t>
  </si>
  <si>
    <t>Diana Ottney</t>
  </si>
  <si>
    <t>4235 Wickford Point Ct</t>
  </si>
  <si>
    <t>DIANA WESCOTT</t>
  </si>
  <si>
    <t>5233 Selma St</t>
  </si>
  <si>
    <t>Diane Bucksky</t>
  </si>
  <si>
    <t>20700 Sycamore St</t>
  </si>
  <si>
    <t>DIANE E STREIB</t>
  </si>
  <si>
    <t>20 N Wheeling St</t>
  </si>
  <si>
    <t>DIANE K STANFA</t>
  </si>
  <si>
    <t>3625 Willys Pkwy</t>
  </si>
  <si>
    <t>DIANE KAY HOLDREN</t>
  </si>
  <si>
    <t>224 Bonaparte Dr</t>
  </si>
  <si>
    <t>DIANE KNEPPER</t>
  </si>
  <si>
    <t>4213 Grantley Rd</t>
  </si>
  <si>
    <t>DIANE L PORTER</t>
  </si>
  <si>
    <t>1841 Winston Blvd</t>
  </si>
  <si>
    <t>DIANE L. MANEVAL</t>
  </si>
  <si>
    <t>4300 Waterville Swanton Rd.</t>
  </si>
  <si>
    <t>DIANE MARIAN MILLER</t>
  </si>
  <si>
    <t>2813 Goddard Rd</t>
  </si>
  <si>
    <t>DIANE PHIPPS &amp; DJMSBM INVESTMENTS c/o Cline Cook Weisenburge</t>
  </si>
  <si>
    <t>405 Madison Ave #1100</t>
  </si>
  <si>
    <t>DIANE ROBINSON</t>
  </si>
  <si>
    <t>2042 Wyndhurst Rd</t>
  </si>
  <si>
    <t>DIANE ROSE MICHAM-RASSENFOSS</t>
  </si>
  <si>
    <t>433 Cove Harbour Dr E</t>
  </si>
  <si>
    <t>Diann Bolden</t>
  </si>
  <si>
    <t>5001Geer Ln</t>
  </si>
  <si>
    <t>DIANNA KURTH</t>
  </si>
  <si>
    <t>2225 Wilkins Rd</t>
  </si>
  <si>
    <t>DIANNA L WISMER</t>
  </si>
  <si>
    <t>5702 Angola Rd Lot 139</t>
  </si>
  <si>
    <t>DIANNA LUPTON VANBAAREN TR</t>
  </si>
  <si>
    <t>3031 Talmadge Rd</t>
  </si>
  <si>
    <t>DIANNE HOLMES HAYES</t>
  </si>
  <si>
    <t>340 S Reynolds Rd Lot 307</t>
  </si>
  <si>
    <t>DIANNE KEELER</t>
  </si>
  <si>
    <t>2610 Emmick Dr</t>
  </si>
  <si>
    <t>DIAZ ANSELMO &amp; ASSOCIATES PA</t>
  </si>
  <si>
    <t>400 Techne Center Dr, Ste 111</t>
  </si>
  <si>
    <t>Milford</t>
  </si>
  <si>
    <t>1771 W Diehl Ste 120</t>
  </si>
  <si>
    <t>1771 West Diehl Rd #120</t>
  </si>
  <si>
    <t>1771 W Diehl Suite 120</t>
  </si>
  <si>
    <t>1771 West Diehl Rd Ste 120</t>
  </si>
  <si>
    <t>DIAZ GENNY</t>
  </si>
  <si>
    <t>2355 Berdan Avenue</t>
  </si>
  <si>
    <t>DIEDRA LYNN ROBINSON</t>
  </si>
  <si>
    <t>610 Williamsdale Dr</t>
  </si>
  <si>
    <t>DILALLO MICHELLE FADELL</t>
  </si>
  <si>
    <t>3458 Chapel Drive</t>
  </si>
  <si>
    <t>DILLAN JAMES CATHERS</t>
  </si>
  <si>
    <t>108 Pineview Dr</t>
  </si>
  <si>
    <t>DILLER JEREMY</t>
  </si>
  <si>
    <t>7334 Kest</t>
  </si>
  <si>
    <t>DINO DEVALL SANDERS</t>
  </si>
  <si>
    <t>229 Warrington Rd</t>
  </si>
  <si>
    <t>DIRECTION CREDIT UNION</t>
  </si>
  <si>
    <t>5121 Whiteford Road</t>
  </si>
  <si>
    <t>Directions Credit Union</t>
  </si>
  <si>
    <t>3312Dustin Rd</t>
  </si>
  <si>
    <t>DIRECTIONS CREDIT UNION</t>
  </si>
  <si>
    <t>200 N.St. Clair St., Suite 160</t>
  </si>
  <si>
    <t>200 N St. Clair St.</t>
  </si>
  <si>
    <t>5121 Whiteford</t>
  </si>
  <si>
    <t>200 N St Clair Ste 1600</t>
  </si>
  <si>
    <t>DITECH FINANCIAL LLC</t>
  </si>
  <si>
    <t>DIX ALEXANDER J</t>
  </si>
  <si>
    <t>1450 Arrowhead Dr</t>
  </si>
  <si>
    <t>DIXIE LEE MEREDITH</t>
  </si>
  <si>
    <t>3490 147Th St</t>
  </si>
  <si>
    <t>DIXIE MARY</t>
  </si>
  <si>
    <t>5333 Monroe St Ste 36</t>
  </si>
  <si>
    <t>DIXON DAMORRAH</t>
  </si>
  <si>
    <t>850 Colburn</t>
  </si>
  <si>
    <t>DIXON DANNY</t>
  </si>
  <si>
    <t>2048 Autokee</t>
  </si>
  <si>
    <t>DIXON HAYES</t>
  </si>
  <si>
    <t>Dodgson, Ariel</t>
  </si>
  <si>
    <t>2211 Parkwood Ave, Unit 1W</t>
  </si>
  <si>
    <t>DOLLAR GENERAL</t>
  </si>
  <si>
    <t>10026 Lake Meadows Drive</t>
  </si>
  <si>
    <t>Strongsville</t>
  </si>
  <si>
    <t>3372 Monroe Street</t>
  </si>
  <si>
    <t>2857 Airport Hwy</t>
  </si>
  <si>
    <t>1101 N Mccord Rd</t>
  </si>
  <si>
    <t>DOLORES L GUINN</t>
  </si>
  <si>
    <t>5914 Rudyard Rd</t>
  </si>
  <si>
    <t>DOLORES WILLE</t>
  </si>
  <si>
    <t>2416 Wimbledon Park Blvd</t>
  </si>
  <si>
    <t>DOMBROWSKY JORDAN</t>
  </si>
  <si>
    <t>3630 Leybourne</t>
  </si>
  <si>
    <t>DOMINIC CHRISTOPHE EDWARDS</t>
  </si>
  <si>
    <t>3951 Bridge Creek Blvd</t>
  </si>
  <si>
    <t>DOMINIC HERD</t>
  </si>
  <si>
    <t>3629 Hoiles Ave</t>
  </si>
  <si>
    <t>DOMINQUE COLBERT</t>
  </si>
  <si>
    <t>508 Clifton Blvd</t>
  </si>
  <si>
    <t>DOMINQUE ELLIS</t>
  </si>
  <si>
    <t>1542 Hamilton</t>
  </si>
  <si>
    <t>DONALD BROCK</t>
  </si>
  <si>
    <t>4347 Old Saybrook Dr</t>
  </si>
  <si>
    <t>DONALD BROWN</t>
  </si>
  <si>
    <t>3204 Pickle Rd</t>
  </si>
  <si>
    <t>DONALD C PFEIFFER</t>
  </si>
  <si>
    <t>2303 Saint Roberts Ln</t>
  </si>
  <si>
    <t>DONALD COOPER</t>
  </si>
  <si>
    <t>248 Mitchel</t>
  </si>
  <si>
    <t>DONALD E KINTNER</t>
  </si>
  <si>
    <t>5940 Tetherwood Dr</t>
  </si>
  <si>
    <t>DONALD EVERTS</t>
  </si>
  <si>
    <t>7336 Queensbury Rd</t>
  </si>
  <si>
    <t>DONALD J KRUSE</t>
  </si>
  <si>
    <t>4530 Belmar Ave</t>
  </si>
  <si>
    <t>DONALD JAMES TUVELL</t>
  </si>
  <si>
    <t>6034 Grainfield Dr</t>
  </si>
  <si>
    <t>Donald Layman</t>
  </si>
  <si>
    <t>18985 Switzer Rd</t>
  </si>
  <si>
    <t>DONALD LOUIS EVERTS</t>
  </si>
  <si>
    <t>DONALD MARTENS</t>
  </si>
  <si>
    <t>5943 Glascow Rd</t>
  </si>
  <si>
    <t>DONALD R &amp;CHRISTINE A BARROR</t>
  </si>
  <si>
    <t>5573 308Th St</t>
  </si>
  <si>
    <t>DONALD R AYRES</t>
  </si>
  <si>
    <t>4148 Eastway St</t>
  </si>
  <si>
    <t>DONALD R FARNSWORTH</t>
  </si>
  <si>
    <t>1324 Colburn St</t>
  </si>
  <si>
    <t>DONALD RAY AKINS</t>
  </si>
  <si>
    <t>3197 Daleford Dr</t>
  </si>
  <si>
    <t>DONALD RAYMOND WHITEHEAD</t>
  </si>
  <si>
    <t>4342 Willys Pkwy</t>
  </si>
  <si>
    <t>DONALD W HARPER II</t>
  </si>
  <si>
    <t>1050 Delta Ave Suite 1000</t>
  </si>
  <si>
    <t>DONALD W KIDD</t>
  </si>
  <si>
    <t>623 Acklin Ave</t>
  </si>
  <si>
    <t>DONALD WAYNE NALLS</t>
  </si>
  <si>
    <t>1442 Bensch Dr</t>
  </si>
  <si>
    <t>DONDI M LATIMER</t>
  </si>
  <si>
    <t>614 Arcadia Ave</t>
  </si>
  <si>
    <t>Donetta Cowell</t>
  </si>
  <si>
    <t>5322 Bennett Toad</t>
  </si>
  <si>
    <t>DONICA KAYE KLINE</t>
  </si>
  <si>
    <t>1634 Western Ave</t>
  </si>
  <si>
    <t>DONNA BLANCO</t>
  </si>
  <si>
    <t>2916 Wicklow Rd</t>
  </si>
  <si>
    <t>DONNA ENGWERT-LOYD</t>
  </si>
  <si>
    <t>2224 Centennial Road</t>
  </si>
  <si>
    <t>DONNA GABLE</t>
  </si>
  <si>
    <t>4480 Road 11</t>
  </si>
  <si>
    <t>Leipsic</t>
  </si>
  <si>
    <t>DONNA JEAN MILLER</t>
  </si>
  <si>
    <t>5208 Bennett Rd</t>
  </si>
  <si>
    <t>DONNA M TODD</t>
  </si>
  <si>
    <t>336 Torrington Dr</t>
  </si>
  <si>
    <t>DONNELL GARRETT</t>
  </si>
  <si>
    <t>216 Torrington Dr</t>
  </si>
  <si>
    <t>DONOVAN HAUPRICHT</t>
  </si>
  <si>
    <t>2157 Heatherwood Dr</t>
  </si>
  <si>
    <t>DONOVAN P ODONNELL</t>
  </si>
  <si>
    <t>2707 Pickle Rd Apt 25</t>
  </si>
  <si>
    <t>DONTAVIUS RASHARD REID</t>
  </si>
  <si>
    <t>5725 Silverside Dr Apt 52</t>
  </si>
  <si>
    <t>DONTAY SMITH</t>
  </si>
  <si>
    <t>1827 Calumet Ave</t>
  </si>
  <si>
    <t>DONTE LAMAR BRYSON</t>
  </si>
  <si>
    <t>513 Ogden Street</t>
  </si>
  <si>
    <t>Dora Marie Zaborowski</t>
  </si>
  <si>
    <t>4436 Merry Ln</t>
  </si>
  <si>
    <t>DORIANNE SHOWMAN COX</t>
  </si>
  <si>
    <t>517 E Shoreline Dr</t>
  </si>
  <si>
    <t>DORIS LEVERING</t>
  </si>
  <si>
    <t>323 W Oakland St</t>
  </si>
  <si>
    <t>DORIS ROBINSON</t>
  </si>
  <si>
    <t>1913 Freeman St</t>
  </si>
  <si>
    <t>DOROTHY J KONOROWSKI</t>
  </si>
  <si>
    <t>1825 Creekside Drive</t>
  </si>
  <si>
    <t>Merced</t>
  </si>
  <si>
    <t>DOROTHY JEAN WASHINGTON</t>
  </si>
  <si>
    <t>1156 Hamilton St</t>
  </si>
  <si>
    <t>Dorothy Lynn Lumpkin</t>
  </si>
  <si>
    <t>6369 Millbrook Rd</t>
  </si>
  <si>
    <t>DOROTHY VEITCH</t>
  </si>
  <si>
    <t>3012 Muirfield Ave</t>
  </si>
  <si>
    <t>DORSEY DELAHA</t>
  </si>
  <si>
    <t>2916 Elm Street</t>
  </si>
  <si>
    <t>DOSCH ERIK K</t>
  </si>
  <si>
    <t>728 Orchard St</t>
  </si>
  <si>
    <t>DOSSAT RICHARD</t>
  </si>
  <si>
    <t>932 Woodvile Unit 1</t>
  </si>
  <si>
    <t>DOUBLEL INVEST LLC</t>
  </si>
  <si>
    <t>C/O Lior Levy, 51 Hatzur St Po Box 5049</t>
  </si>
  <si>
    <t>Shoham</t>
  </si>
  <si>
    <t>IS</t>
  </si>
  <si>
    <t>DOUGLAS A HAESSIG</t>
  </si>
  <si>
    <t>31500 Bainbridge Road Ste 100</t>
  </si>
  <si>
    <t>DOUGLAS A WILKINS</t>
  </si>
  <si>
    <t>1931 Scottwood Suite 700</t>
  </si>
  <si>
    <t>DOUGLAS BALL</t>
  </si>
  <si>
    <t>939 Mayfair Blvd</t>
  </si>
  <si>
    <t>DOUGLAS EDWARD ELIEFF</t>
  </si>
  <si>
    <t>953 Wright Ave</t>
  </si>
  <si>
    <t>DOUGLAS HARTMAN</t>
  </si>
  <si>
    <t>Po Box 14328</t>
  </si>
  <si>
    <t>DOUGLAS J KARNS</t>
  </si>
  <si>
    <t>1274 Eastmeadow Dr</t>
  </si>
  <si>
    <t>DOUGLAS JAMES BETTINGER</t>
  </si>
  <si>
    <t>1810 Pinelawn Dr</t>
  </si>
  <si>
    <t>DOUGLAS JOHNSON</t>
  </si>
  <si>
    <t>3749 Rodesiler Rd</t>
  </si>
  <si>
    <t>Deerfield</t>
  </si>
  <si>
    <t>DOUGLAS KOOP</t>
  </si>
  <si>
    <t>4721 Rainier Ct</t>
  </si>
  <si>
    <t>Douglas Meeker</t>
  </si>
  <si>
    <t>9110 Neowash Rd</t>
  </si>
  <si>
    <t>DOUGLAS ROGERS</t>
  </si>
  <si>
    <t>5260 River Ridge Circle</t>
  </si>
  <si>
    <t>Douglas Sams</t>
  </si>
  <si>
    <t>5733 Mantey Ln</t>
  </si>
  <si>
    <t>DOUGLAS STRACHN</t>
  </si>
  <si>
    <t>1819 Strathmoor Ave</t>
  </si>
  <si>
    <t>DOUMANI AMJAD</t>
  </si>
  <si>
    <t>316 N Michigan St Ste 520</t>
  </si>
  <si>
    <t>DOWDELL JOSEPH</t>
  </si>
  <si>
    <t>6045 Gregory Drive</t>
  </si>
  <si>
    <t>Draheim, Laura</t>
  </si>
  <si>
    <t>4525 Nantuckett</t>
  </si>
  <si>
    <t>DRAPER MINNIEFIELD</t>
  </si>
  <si>
    <t>3857 Quinton Ave</t>
  </si>
  <si>
    <t>DREAM ROCK PROPERTIES LLC</t>
  </si>
  <si>
    <t>P O Box 133</t>
  </si>
  <si>
    <t>DRESCH TOLSON DENTAL LABORATOR</t>
  </si>
  <si>
    <t>8730 Resource Park Drive</t>
  </si>
  <si>
    <t>DREW CONLEE</t>
  </si>
  <si>
    <t>3173 Drummond Rd</t>
  </si>
  <si>
    <t>DREW CRANE</t>
  </si>
  <si>
    <t>5750 Summit St Apt 108</t>
  </si>
  <si>
    <t>DREW MACY MOMINEE</t>
  </si>
  <si>
    <t>4944 Trellis Way</t>
  </si>
  <si>
    <t>DREW R MASSE</t>
  </si>
  <si>
    <t>DUANE GRANT</t>
  </si>
  <si>
    <t>3990 Stickney Ave</t>
  </si>
  <si>
    <t>DUKES STEVEN</t>
  </si>
  <si>
    <t>3501 Watson Avenue</t>
  </si>
  <si>
    <t>DUKES,GLADYS</t>
  </si>
  <si>
    <t>5640 Armada Dr</t>
  </si>
  <si>
    <t>DUNLAP BRYAN</t>
  </si>
  <si>
    <t>4302 Monroe</t>
  </si>
  <si>
    <t>DURAN JORGE A</t>
  </si>
  <si>
    <t>3344 Brigham St</t>
  </si>
  <si>
    <t>DUSTIN J DUPONT</t>
  </si>
  <si>
    <t>5919 Reinwood Dr</t>
  </si>
  <si>
    <t>DUSTIN JOHN REHKOPF</t>
  </si>
  <si>
    <t>3420 Drummond Rd</t>
  </si>
  <si>
    <t>Dustin Mickles</t>
  </si>
  <si>
    <t>3128 Enright St</t>
  </si>
  <si>
    <t>DUTTA RAJIB</t>
  </si>
  <si>
    <t>3217 Glanzman Rd, Unit 12</t>
  </si>
  <si>
    <t>Dvis A Hartford</t>
  </si>
  <si>
    <t>5747 Adelaide Dr</t>
  </si>
  <si>
    <t>DWAYNE SMITH</t>
  </si>
  <si>
    <t>4323 Kingsbury Ave</t>
  </si>
  <si>
    <t>DWIGHT GIBBS</t>
  </si>
  <si>
    <t>4435 Cropthorne Dr</t>
  </si>
  <si>
    <t>DWIGHT L GIBBS</t>
  </si>
  <si>
    <t>DYLAN BRICE WALLACE</t>
  </si>
  <si>
    <t>402 S Mccord Rd</t>
  </si>
  <si>
    <t>DYLAN J WINTERHALTER</t>
  </si>
  <si>
    <t>1244 Crestwood Rd</t>
  </si>
  <si>
    <t>DYLAN NAPIER</t>
  </si>
  <si>
    <t>241 16Th St Apt 411</t>
  </si>
  <si>
    <t>DYONDRA WADLEY</t>
  </si>
  <si>
    <t>862 Acton Dr</t>
  </si>
  <si>
    <t>EASDALE RICK</t>
  </si>
  <si>
    <t>3304 Fairbanks</t>
  </si>
  <si>
    <t>Eastern Commnity YMCA</t>
  </si>
  <si>
    <t>2960 Pickle Road</t>
  </si>
  <si>
    <t>EBONY MCLEMORE</t>
  </si>
  <si>
    <t>3340 Indian Oaks Ln</t>
  </si>
  <si>
    <t>EBRAHAN ANDREWS</t>
  </si>
  <si>
    <t>4127 Mayfield Dr</t>
  </si>
  <si>
    <t>Eddie Bush</t>
  </si>
  <si>
    <t>121 S Edison Ave</t>
  </si>
  <si>
    <t>Royal Oak</t>
  </si>
  <si>
    <t>EDDIE BUSH</t>
  </si>
  <si>
    <t>EDGE JENNIFER</t>
  </si>
  <si>
    <t>0000 Homless</t>
  </si>
  <si>
    <t>EDNA PORTER</t>
  </si>
  <si>
    <t>433 Southgate Circle</t>
  </si>
  <si>
    <t>Education Fosters Growth</t>
  </si>
  <si>
    <t>655 Avondale Ave</t>
  </si>
  <si>
    <t>Educational Community Alliance CU</t>
  </si>
  <si>
    <t>3845 Angola Rd</t>
  </si>
  <si>
    <t>Educere, LLC</t>
  </si>
  <si>
    <t>455 Pensylvania Ave. Ste 140</t>
  </si>
  <si>
    <t>Fort Washington</t>
  </si>
  <si>
    <t>Edward Garcia</t>
  </si>
  <si>
    <t>3818 Donegal Drive</t>
  </si>
  <si>
    <t>EDWARD HOPKINS</t>
  </si>
  <si>
    <t>5158 Calvin Ave</t>
  </si>
  <si>
    <t>EDWARD J. FISHER</t>
  </si>
  <si>
    <t>P.O. Box 353</t>
  </si>
  <si>
    <t>EDWARD JR &amp; ARLENE ZERRILLO</t>
  </si>
  <si>
    <t>1700 Magnavox Way Ste 220</t>
  </si>
  <si>
    <t>Fort Wayne</t>
  </si>
  <si>
    <t>EDWARD LAMMIE</t>
  </si>
  <si>
    <t>5858 Stewart Rd</t>
  </si>
  <si>
    <t>EDWARD LLOYD GOODSON</t>
  </si>
  <si>
    <t>3059 Chase St</t>
  </si>
  <si>
    <t>EDWARD LLOYD KOONTZ</t>
  </si>
  <si>
    <t>1262 Glenview Rd</t>
  </si>
  <si>
    <t>EDWARD MATHEW ZIEMS</t>
  </si>
  <si>
    <t>3062 Glencairn Ave</t>
  </si>
  <si>
    <t>EDWARD T SAADI</t>
  </si>
  <si>
    <t>970 Windham Court, Suite 7</t>
  </si>
  <si>
    <t>Boardman</t>
  </si>
  <si>
    <t>EDWARDS CORNEL</t>
  </si>
  <si>
    <t>2814 Stickney Ave</t>
  </si>
  <si>
    <t>EDWARDS LORNICHA</t>
  </si>
  <si>
    <t>625 Nicholas</t>
  </si>
  <si>
    <t>EDWARDS RAMONN</t>
  </si>
  <si>
    <t>4105 Redondo Avenue</t>
  </si>
  <si>
    <t>EDWARDS SAVANNAH</t>
  </si>
  <si>
    <t>1411 Navarre</t>
  </si>
  <si>
    <t>EDWIN &amp; CATHERINE CLAYBORNE</t>
  </si>
  <si>
    <t>1722 N Detroit Ave</t>
  </si>
  <si>
    <t>EGAN,ALLISON</t>
  </si>
  <si>
    <t>151 Cornell Dr</t>
  </si>
  <si>
    <t>EHMANN LEE</t>
  </si>
  <si>
    <t>1927 Allendale</t>
  </si>
  <si>
    <t>ELAINE AUGUSTYNIAK</t>
  </si>
  <si>
    <t>4766 296Th St</t>
  </si>
  <si>
    <t>Elaine M Hazelwood</t>
  </si>
  <si>
    <t>1442 Ingomar Ave</t>
  </si>
  <si>
    <t>ELBERT NEKO</t>
  </si>
  <si>
    <t>510 Pasadena</t>
  </si>
  <si>
    <t>ELDER BEERMAN</t>
  </si>
  <si>
    <t>3311 Secor Road</t>
  </si>
  <si>
    <t>3301 Secor Road</t>
  </si>
  <si>
    <t>ELDON PETREY, SR</t>
  </si>
  <si>
    <t>3009 Elmwood Drive</t>
  </si>
  <si>
    <t>ELEANOR A HUTTON</t>
  </si>
  <si>
    <t>1896 Wilshire Ave</t>
  </si>
  <si>
    <t>ELEANOR N AVENELLE</t>
  </si>
  <si>
    <t>3449 140Th St</t>
  </si>
  <si>
    <t>ELEASAH TRINITY REYES</t>
  </si>
  <si>
    <t>322 14Th St Apt 304</t>
  </si>
  <si>
    <t>ELFRING MARTHA</t>
  </si>
  <si>
    <t>5960 Meteor Avenue</t>
  </si>
  <si>
    <t>ELIAS GEORGAKOPOULOS</t>
  </si>
  <si>
    <t>9945 Sylvania Metamore Rd</t>
  </si>
  <si>
    <t>Elijah Alexander</t>
  </si>
  <si>
    <t>1843 Stahlwood</t>
  </si>
  <si>
    <t>ELIJAH ALLEN RHINE</t>
  </si>
  <si>
    <t>1710 S Berkey Southern Rd</t>
  </si>
  <si>
    <t>ELIJAH ANDERSON</t>
  </si>
  <si>
    <t>610 Colima Dr</t>
  </si>
  <si>
    <t>ELISSA BETH ACKERMAN</t>
  </si>
  <si>
    <t>313 S Yondota Rd</t>
  </si>
  <si>
    <t>Elite Reporting Agency, LL</t>
  </si>
  <si>
    <t>7733 Beechmont Ave  Suite 100</t>
  </si>
  <si>
    <t>ELIZABETH A KING</t>
  </si>
  <si>
    <t>609 E Indiana Ave</t>
  </si>
  <si>
    <t>ELIZABETH A TRONOLONE</t>
  </si>
  <si>
    <t>8707 Slate Ridge Ct</t>
  </si>
  <si>
    <t>Elizabeth E Quintero</t>
  </si>
  <si>
    <t>4515 Imperial Dr</t>
  </si>
  <si>
    <t>ELIZABETH FLORES</t>
  </si>
  <si>
    <t>1570 Colton St</t>
  </si>
  <si>
    <t>ELIZABETH JOHNSON</t>
  </si>
  <si>
    <t>5958 Janelynn Drive</t>
  </si>
  <si>
    <t>ELIZABETH K GOSS</t>
  </si>
  <si>
    <t>5333 Main St Apt B</t>
  </si>
  <si>
    <t>ELIZABETH LANE</t>
  </si>
  <si>
    <t>2828 Goddard Rd</t>
  </si>
  <si>
    <t>ELIZABETH LEEDS</t>
  </si>
  <si>
    <t>2427 Hempstead Rd</t>
  </si>
  <si>
    <t>ELIZABETH LOUISE GAERTNER</t>
  </si>
  <si>
    <t>6825 Queen Annes Ct</t>
  </si>
  <si>
    <t>ELIZABETH M SANDERSON</t>
  </si>
  <si>
    <t>613 W John St</t>
  </si>
  <si>
    <t>ELIZABETH MARY COOK</t>
  </si>
  <si>
    <t>2340 Castlewood Dr</t>
  </si>
  <si>
    <t>ELIZABETH MILLER</t>
  </si>
  <si>
    <t>3642 Garrison Rd</t>
  </si>
  <si>
    <t>ELIZABETH MORGAN RUPPERT</t>
  </si>
  <si>
    <t>3626 Woodspring Rd</t>
  </si>
  <si>
    <t>ELIZABETH PARK</t>
  </si>
  <si>
    <t>7823 Edge View Way - Apt B</t>
  </si>
  <si>
    <t>ELIZABETH R CORSOE</t>
  </si>
  <si>
    <t>4549 Talmadge Green Road</t>
  </si>
  <si>
    <t>ELIZABETH S ANDERSON</t>
  </si>
  <si>
    <t>9645 Wolfinger Rd</t>
  </si>
  <si>
    <t>ELIZABETH SUE GODSEY</t>
  </si>
  <si>
    <t>9534 Rockingham Dr</t>
  </si>
  <si>
    <t>ELIZABETH WILSON</t>
  </si>
  <si>
    <t>411 Clinton St</t>
  </si>
  <si>
    <t>ELKATTAN MEDHAT</t>
  </si>
  <si>
    <t>4001 W Central Ave Ste 5</t>
  </si>
  <si>
    <t>ELLEN L KOEBERLEIN</t>
  </si>
  <si>
    <t>852 Miami St</t>
  </si>
  <si>
    <t>ELLISON BONNIE</t>
  </si>
  <si>
    <t>405 Madison Ave</t>
  </si>
  <si>
    <t>ELMORE CURTIS</t>
  </si>
  <si>
    <t>1106 St John</t>
  </si>
  <si>
    <t>Elouise Betz</t>
  </si>
  <si>
    <t>9367 Hampton Way, Apt A</t>
  </si>
  <si>
    <t>Baton Rouge</t>
  </si>
  <si>
    <t>LA</t>
  </si>
  <si>
    <t>ELSIE REYES</t>
  </si>
  <si>
    <t>1812 Homestead St</t>
  </si>
  <si>
    <t>ELTMAN ELTMAN AND COOPER PC</t>
  </si>
  <si>
    <t>140 Broadway, Floor 26</t>
  </si>
  <si>
    <t>New York</t>
  </si>
  <si>
    <t>EMANUEL CIRINO FORD</t>
  </si>
  <si>
    <t>3034 Frampton Dr</t>
  </si>
  <si>
    <t>EMILY A ROZEK</t>
  </si>
  <si>
    <t>7032 White Tail Ct</t>
  </si>
  <si>
    <t>EMILY ANN FIELD</t>
  </si>
  <si>
    <t>5431 Cresthaven Ln Apt D4</t>
  </si>
  <si>
    <t>EMILY BYRD</t>
  </si>
  <si>
    <t>1389 W Sylvania Ave #3</t>
  </si>
  <si>
    <t>EMILY CARMICHAEL</t>
  </si>
  <si>
    <t>3207 Keemont Dr</t>
  </si>
  <si>
    <t>EMILY ELIZABETH AOSSEY</t>
  </si>
  <si>
    <t>2027 Birkdale Rd</t>
  </si>
  <si>
    <t>EMILY ESCALANTE</t>
  </si>
  <si>
    <t>645 Weston St</t>
  </si>
  <si>
    <t>EMILY FRANCIS TOTH</t>
  </si>
  <si>
    <t>1212 Idaho St</t>
  </si>
  <si>
    <t>EMILY GIGLIOTTI</t>
  </si>
  <si>
    <t>1423 Laurel Ave</t>
  </si>
  <si>
    <t>Emily Jackson</t>
  </si>
  <si>
    <t>100 S Wildwood Xings Apt 23</t>
  </si>
  <si>
    <t>Ludington</t>
  </si>
  <si>
    <t>EMILY JILL SQUIRE</t>
  </si>
  <si>
    <t>5154 Saddlecreek Rd</t>
  </si>
  <si>
    <t>EMILY K JUNGA</t>
  </si>
  <si>
    <t>2645 W Village Dr</t>
  </si>
  <si>
    <t>EMILY KATE HUMASON</t>
  </si>
  <si>
    <t>1603 Gilbert Rd</t>
  </si>
  <si>
    <t>EMILY KATHLEEN GUTH</t>
  </si>
  <si>
    <t>6054 322Nd St</t>
  </si>
  <si>
    <t>EMILY M GIBSON</t>
  </si>
  <si>
    <t>2227 Oak Grove Pl</t>
  </si>
  <si>
    <t>EMILY MARIE GARDNER</t>
  </si>
  <si>
    <t>3714 Cherry Wood Ln</t>
  </si>
  <si>
    <t>EMILY MERRICK</t>
  </si>
  <si>
    <t>922 Gribbin Ln Apt 3C</t>
  </si>
  <si>
    <t>EMILY NICHOLS</t>
  </si>
  <si>
    <t>1740 Glen Ellyn Dr</t>
  </si>
  <si>
    <t>EMILY NICOLE LEWIS</t>
  </si>
  <si>
    <t>137 Bromwich Ln</t>
  </si>
  <si>
    <t>EMILY SINNER</t>
  </si>
  <si>
    <t>9738 Fairmeadows Ln</t>
  </si>
  <si>
    <t>EMILY WITTE</t>
  </si>
  <si>
    <t>1028 Cady St</t>
  </si>
  <si>
    <t>EMMA HEATOR</t>
  </si>
  <si>
    <t>11050 Sylvania Metamora Rd</t>
  </si>
  <si>
    <t>EMMA KATHLEEN MALTMAN</t>
  </si>
  <si>
    <t>3769 Lockwood Ave  Apt. 14</t>
  </si>
  <si>
    <t>Emmett Holdings LLC</t>
  </si>
  <si>
    <t>764 S Bryne</t>
  </si>
  <si>
    <t>45018 Prestbury Rd</t>
  </si>
  <si>
    <t>EMMETT KRALL</t>
  </si>
  <si>
    <t>184 Dartmouth Dr</t>
  </si>
  <si>
    <t>EMONTI LEWIS</t>
  </si>
  <si>
    <t>1162 Colton St</t>
  </si>
  <si>
    <t>EMORY AUSTIN LEINWEBER</t>
  </si>
  <si>
    <t>2129 Boshart Way</t>
  </si>
  <si>
    <t>EMPRESS B EGUABOR</t>
  </si>
  <si>
    <t>4339 Shawn Ter</t>
  </si>
  <si>
    <t>EMS TRAINING CENTER</t>
  </si>
  <si>
    <t>2127 Jefferson Ave</t>
  </si>
  <si>
    <t>Enabling Development, Inc.</t>
  </si>
  <si>
    <t>2005 Echo Cove</t>
  </si>
  <si>
    <t>Virginia Beach</t>
  </si>
  <si>
    <t>ENGEL MARK A</t>
  </si>
  <si>
    <t>5425 Hill Ave</t>
  </si>
  <si>
    <t>ENOCH,FLORA</t>
  </si>
  <si>
    <t>610 Stickney Ave Apt 2503</t>
  </si>
  <si>
    <t>ENSLEY JUAN</t>
  </si>
  <si>
    <t>931 W Woodruff</t>
  </si>
  <si>
    <t>ENTERPRISE RENT A CAR</t>
  </si>
  <si>
    <t>8249 Mohawk Drive</t>
  </si>
  <si>
    <t>EPILEPSY CENTER</t>
  </si>
  <si>
    <t>1701 Holland Rd</t>
  </si>
  <si>
    <t>ePromos Promotional Products LLC</t>
  </si>
  <si>
    <t>113 5Th Ave S</t>
  </si>
  <si>
    <t>Saint Cloud</t>
  </si>
  <si>
    <t>MN</t>
  </si>
  <si>
    <t>EQUITY RESOURCES INC</t>
  </si>
  <si>
    <t>EQUITY TRUST COMPANY CUSTODIAN</t>
  </si>
  <si>
    <t>C/O Andrew Fidler, 3836 Laplante Rd</t>
  </si>
  <si>
    <t>C/O Andrew Fidler, 3836 La Plante Rd</t>
  </si>
  <si>
    <t>C/O Andrew Fidler, 928 Berdan Ave</t>
  </si>
  <si>
    <t>EQUITY TRUST CUSTODIAN FBO</t>
  </si>
  <si>
    <t>3836 Laplante Rd</t>
  </si>
  <si>
    <t>Erainishia Pope</t>
  </si>
  <si>
    <t>3252 Otto St</t>
  </si>
  <si>
    <t>Eredics, Timothy J</t>
  </si>
  <si>
    <t>4665 Lakeside</t>
  </si>
  <si>
    <t>ERIC A GRABER</t>
  </si>
  <si>
    <t>5619 Woodridge Dr</t>
  </si>
  <si>
    <t>ERIC ARCHIE SOLBERG</t>
  </si>
  <si>
    <t>3215 Kylemore Rd</t>
  </si>
  <si>
    <t>ERIC ARTHUR BRENNAN</t>
  </si>
  <si>
    <t>915 River Rd</t>
  </si>
  <si>
    <t>Eric Board</t>
  </si>
  <si>
    <t>3866 Latcha Rd</t>
  </si>
  <si>
    <t>Millbury</t>
  </si>
  <si>
    <t>Eric Brian King</t>
  </si>
  <si>
    <t>P.O. Box 360745</t>
  </si>
  <si>
    <t>2018 Est 001230 - Est. Of Jovantae Highsmith, Jr. &amp;</t>
  </si>
  <si>
    <t>2018 Est 001163 - Est. Of Maurice Boone</t>
  </si>
  <si>
    <t>ERIC CHARLES WESTENBARGER</t>
  </si>
  <si>
    <t>260 N Coy Rd</t>
  </si>
  <si>
    <t>ERIC CRAIG FLOYD</t>
  </si>
  <si>
    <t>2814 Latonia Blvd</t>
  </si>
  <si>
    <t>ERIC ELI</t>
  </si>
  <si>
    <t>2735 Westmar Ct</t>
  </si>
  <si>
    <t>ERIC FAIR</t>
  </si>
  <si>
    <t>5160 Eber Rd</t>
  </si>
  <si>
    <t>ERIC HARVEY</t>
  </si>
  <si>
    <t>6010 Bayshore Rd</t>
  </si>
  <si>
    <t>ERIC HUBER</t>
  </si>
  <si>
    <t>2626 120Th St</t>
  </si>
  <si>
    <t>ERIC HUEBNER</t>
  </si>
  <si>
    <t>11124 West St</t>
  </si>
  <si>
    <t>ERIC HULME</t>
  </si>
  <si>
    <t>508 S Goodyear St</t>
  </si>
  <si>
    <t>ERIC J BACHMAYER</t>
  </si>
  <si>
    <t>2209 Ottawa River Rd</t>
  </si>
  <si>
    <t>ERIC J BERGMAN</t>
  </si>
  <si>
    <t>7970 Brown Rd</t>
  </si>
  <si>
    <t>ERIC JAMES FRYE</t>
  </si>
  <si>
    <t>4001 Chipplegate Rd</t>
  </si>
  <si>
    <t>ERIC JAMES TSCHERNE</t>
  </si>
  <si>
    <t>4618 S May Ave</t>
  </si>
  <si>
    <t>ERIC KELLER</t>
  </si>
  <si>
    <t>2236 W Sylvania Ave</t>
  </si>
  <si>
    <t>Eric Kiser</t>
  </si>
  <si>
    <t>5360 Secor</t>
  </si>
  <si>
    <t>ERIC L BURT</t>
  </si>
  <si>
    <t>2109 Mansfield Rd</t>
  </si>
  <si>
    <t>ERIC M HOWARD</t>
  </si>
  <si>
    <t>3963 Hollyhock Ln</t>
  </si>
  <si>
    <t>ERIC M KING</t>
  </si>
  <si>
    <t>636 Culley Rd</t>
  </si>
  <si>
    <t>ERIC MATTHEW ABRAHAM</t>
  </si>
  <si>
    <t>7150 Springfield Hills Dr S</t>
  </si>
  <si>
    <t>ERIC PFAFF</t>
  </si>
  <si>
    <t>6635 W. Bancroft St</t>
  </si>
  <si>
    <t>ERIC RUSSELL BROWN</t>
  </si>
  <si>
    <t>5446 Dorr St</t>
  </si>
  <si>
    <t>ERIC S PFOHL</t>
  </si>
  <si>
    <t>2730 Densmore Dr</t>
  </si>
  <si>
    <t>ERIC SOLDBERG</t>
  </si>
  <si>
    <t>ERIC SUTTIE</t>
  </si>
  <si>
    <t>6715 Long St</t>
  </si>
  <si>
    <t>ERIC SZABO</t>
  </si>
  <si>
    <t>4921 Weldwood Ln</t>
  </si>
  <si>
    <t>ERIC WILLIAM BUDGE</t>
  </si>
  <si>
    <t>2720 Merrimac Blvd</t>
  </si>
  <si>
    <t>ERICA LYNN KELM</t>
  </si>
  <si>
    <t>3330 Gallatin Rd</t>
  </si>
  <si>
    <t>ERICA LYNNE HASS</t>
  </si>
  <si>
    <t>9550 Eviedale Rd</t>
  </si>
  <si>
    <t>Erica Nelson</t>
  </si>
  <si>
    <t>2745 N Monroe Street 12</t>
  </si>
  <si>
    <t>ERICA SUTO</t>
  </si>
  <si>
    <t>801 Thorpe Dr</t>
  </si>
  <si>
    <t>Sandusky</t>
  </si>
  <si>
    <t>ERICA SUTO-KAISER</t>
  </si>
  <si>
    <t>655 Raymer Blvd</t>
  </si>
  <si>
    <t>Erica Suto-Kaiser</t>
  </si>
  <si>
    <t>ERICKA FREEMAN</t>
  </si>
  <si>
    <t>7519 Dorr St,  Lot 27</t>
  </si>
  <si>
    <t>ERICKA LENAE HANEY</t>
  </si>
  <si>
    <t>34 S Erie St Apt 611</t>
  </si>
  <si>
    <t>ERIK G CHAPPELL</t>
  </si>
  <si>
    <t>5565 Airport Hwy                 Ste 101</t>
  </si>
  <si>
    <t>ERIK GALL</t>
  </si>
  <si>
    <t>1740 Christian Ave</t>
  </si>
  <si>
    <t>ERIK LEWANDOWSKI</t>
  </si>
  <si>
    <t>1815 Georgia Street</t>
  </si>
  <si>
    <t>Erika Annette Teska</t>
  </si>
  <si>
    <t>2154 Parkwood Ave</t>
  </si>
  <si>
    <t>ERIKA WARNER</t>
  </si>
  <si>
    <t>4430 N. Holland Sylvania Road</t>
  </si>
  <si>
    <t>ERIN BANKS</t>
  </si>
  <si>
    <t>5154 Comstock Dr</t>
  </si>
  <si>
    <t>ERIN FUNK</t>
  </si>
  <si>
    <t>525 Wilkshire Dr</t>
  </si>
  <si>
    <t>ERIN KELLY</t>
  </si>
  <si>
    <t>316 N. Michigan Suite 818</t>
  </si>
  <si>
    <t>ERIN OLEARY</t>
  </si>
  <si>
    <t>3360 Waldmar Rd</t>
  </si>
  <si>
    <t>ERLINDA ROSE BROWN</t>
  </si>
  <si>
    <t>5963 Wildwood Ln</t>
  </si>
  <si>
    <t>ERMAN HUGHES</t>
  </si>
  <si>
    <t>1036 Hamilton St</t>
  </si>
  <si>
    <t>ERNEST MCFARLAND</t>
  </si>
  <si>
    <t>528 Apple Ave.</t>
  </si>
  <si>
    <t>ERNESTINE M WEIRICH</t>
  </si>
  <si>
    <t>5626 Woods Ave</t>
  </si>
  <si>
    <t>ERNESTO VALDEZ</t>
  </si>
  <si>
    <t>177 W Foulkes St</t>
  </si>
  <si>
    <t>ERRETT STEPHEN R &amp; KELLY S</t>
  </si>
  <si>
    <t>5050 South Ave</t>
  </si>
  <si>
    <t>ERROL A MCELVANY</t>
  </si>
  <si>
    <t>4610 W Sylvania Ave Apt 1</t>
  </si>
  <si>
    <t>ESCEL VILSAINT</t>
  </si>
  <si>
    <t>456 Akden Pl.</t>
  </si>
  <si>
    <t>Estate of Annie L. Spears</t>
  </si>
  <si>
    <t>Po Box 353</t>
  </si>
  <si>
    <t>Guardianship Uf Lc Probate Court 2014 Gdn 194</t>
  </si>
  <si>
    <t>Estate of Josephine Norris</t>
  </si>
  <si>
    <t>2020 Est 1869 - Est. Of Curtis E. Norris</t>
  </si>
  <si>
    <t>Estate of Samuel Rick</t>
  </si>
  <si>
    <t>2022 Est 0129 - Estate Of Samuel Rick</t>
  </si>
  <si>
    <t>Estels Auto Sales</t>
  </si>
  <si>
    <t>2708 South Ave</t>
  </si>
  <si>
    <t>2708 South</t>
  </si>
  <si>
    <t>ETHAN A HILL</t>
  </si>
  <si>
    <t>7900 Tanners Gate Lane</t>
  </si>
  <si>
    <t>Florence</t>
  </si>
  <si>
    <t>ETHAN AUGUSTUS MERRITT</t>
  </si>
  <si>
    <t>2007 Bretton Pl</t>
  </si>
  <si>
    <t>ETHAN HILL</t>
  </si>
  <si>
    <t>ETHAN MARK CASSONI</t>
  </si>
  <si>
    <t>4314 Brown Rd</t>
  </si>
  <si>
    <t>ETHAN MICHAEL</t>
  </si>
  <si>
    <t>3766 Hill Ave Apt 226</t>
  </si>
  <si>
    <t>ETZEL DAVID</t>
  </si>
  <si>
    <t>2626 Clardale</t>
  </si>
  <si>
    <t>EUGENE A COUNTERMAN</t>
  </si>
  <si>
    <t>5856 Foth Dr</t>
  </si>
  <si>
    <t>Eunice Brown</t>
  </si>
  <si>
    <t>907 Elysian</t>
  </si>
  <si>
    <t>2012 Est 946 - Est. Of Willie C. Gainey</t>
  </si>
  <si>
    <t>EUNICE ROWSER</t>
  </si>
  <si>
    <t>749 Alvison Rd</t>
  </si>
  <si>
    <t>EVA SEARCY</t>
  </si>
  <si>
    <t>27 Rosalind Place</t>
  </si>
  <si>
    <t>EVA SWATEK</t>
  </si>
  <si>
    <t>4112 Drummond Rd</t>
  </si>
  <si>
    <t>EVAN ANDERSON</t>
  </si>
  <si>
    <t>2786 Sweetbriar Ct</t>
  </si>
  <si>
    <t>EVAN COREY</t>
  </si>
  <si>
    <t>7059 Sandy Hill Way</t>
  </si>
  <si>
    <t>EVAN JEFFREY BROOKS</t>
  </si>
  <si>
    <t>3924 Rushland Ave</t>
  </si>
  <si>
    <t>EVAN PAWLACZYK</t>
  </si>
  <si>
    <t>10221 W Bancroft St</t>
  </si>
  <si>
    <t>EVANOFF MARTHA</t>
  </si>
  <si>
    <t>5055 Jameson Unit P11</t>
  </si>
  <si>
    <t>EVANS DAVID</t>
  </si>
  <si>
    <t>2029 Hurd</t>
  </si>
  <si>
    <t>EVERETTE VESSEL</t>
  </si>
  <si>
    <t>4636 Commonwealth Ave</t>
  </si>
  <si>
    <t>EXCHANGERIGHT NET LEASED PORTFOLIO 7 DST</t>
  </si>
  <si>
    <t>C/O Steven R Gill, 820 W Superior  Ave 7Th Fl</t>
  </si>
  <si>
    <t>F PETER COSTELLO</t>
  </si>
  <si>
    <t>FADELL LOUIS</t>
  </si>
  <si>
    <t>7445 Airport Highway</t>
  </si>
  <si>
    <t>FAITH ANN DENARDO</t>
  </si>
  <si>
    <t>9840 Julianna Ln</t>
  </si>
  <si>
    <t>FAITH EMILY HALL</t>
  </si>
  <si>
    <t>4542 Devonshire Rd</t>
  </si>
  <si>
    <t>FAITH MARIE KELLEHER</t>
  </si>
  <si>
    <t>2333 Glenwood Ave</t>
  </si>
  <si>
    <t>FAMILY DOLLAR</t>
  </si>
  <si>
    <t>1135 W Sylvania Avenue</t>
  </si>
  <si>
    <t>FAMILY DOLLAR STORE</t>
  </si>
  <si>
    <t>1121 West Bancroft Street</t>
  </si>
  <si>
    <t>FAMILY VIDEO</t>
  </si>
  <si>
    <t>5886 Dorr Street</t>
  </si>
  <si>
    <t>Famous Dave's of America, Inc.</t>
  </si>
  <si>
    <t>4757 Monroe St.</t>
  </si>
  <si>
    <t>Fannie L Rease</t>
  </si>
  <si>
    <t>2061 Franklin Ave.</t>
  </si>
  <si>
    <t>FARKAS SARA</t>
  </si>
  <si>
    <t>2421 106Th Street</t>
  </si>
  <si>
    <t>FARLESS JOHN</t>
  </si>
  <si>
    <t>242 Connelsville</t>
  </si>
  <si>
    <t>FARMER CATRINA</t>
  </si>
  <si>
    <t>606 Vance Unit Upper</t>
  </si>
  <si>
    <t>FARR CHRISTOPHER</t>
  </si>
  <si>
    <t>2020 Berkshire</t>
  </si>
  <si>
    <t>FARROW SEQUOIA</t>
  </si>
  <si>
    <t>727 N Michigan Unit A2</t>
  </si>
  <si>
    <t>FATIMA HASSAN MOHAMED</t>
  </si>
  <si>
    <t>3039 Riva Ridge Rd</t>
  </si>
  <si>
    <t>FAULKNER DAVID</t>
  </si>
  <si>
    <t>3203 Inverness</t>
  </si>
  <si>
    <t>FAYE AHMED</t>
  </si>
  <si>
    <t>4807 Janet Ave</t>
  </si>
  <si>
    <t>4807 Javet Ave</t>
  </si>
  <si>
    <t>FAYE HOHLY</t>
  </si>
  <si>
    <t>600 N River Rd</t>
  </si>
  <si>
    <t>Tiffin</t>
  </si>
  <si>
    <t>FAYLING JASON R</t>
  </si>
  <si>
    <t>700 W St Clair Ave Suite 400</t>
  </si>
  <si>
    <t>FEDERAL BUREAU INVESTIGATION</t>
  </si>
  <si>
    <t>935 Pennsylvania Avenue, Nw</t>
  </si>
  <si>
    <t>FEDERAL NATIONAL MORTGAGE ASOC</t>
  </si>
  <si>
    <t>FEDERAL NATIONAL MORTGAGE ASSO</t>
  </si>
  <si>
    <t>FEEHAN,ALISON</t>
  </si>
  <si>
    <t>3610 Homewood Ave</t>
  </si>
  <si>
    <t>FEEMSTER ALONTA</t>
  </si>
  <si>
    <t>1865 Norwood</t>
  </si>
  <si>
    <t>FELDMAN ROBERT</t>
  </si>
  <si>
    <t>7577 Central Park Blvd</t>
  </si>
  <si>
    <t>7577 Central Park Blvd.</t>
  </si>
  <si>
    <t>FELICE CASTILLO</t>
  </si>
  <si>
    <t>2247 Vistamar Rd</t>
  </si>
  <si>
    <t>FELICITY POWERS</t>
  </si>
  <si>
    <t>1758 Brame Pl</t>
  </si>
  <si>
    <t>FELIX LUIS TORRES</t>
  </si>
  <si>
    <t>1311 Yates St</t>
  </si>
  <si>
    <t>FELTNER DAVID R</t>
  </si>
  <si>
    <t>7541 Grenlock Dr</t>
  </si>
  <si>
    <t>FELTON JACKSON</t>
  </si>
  <si>
    <t>3830 Sherbrooke Rd</t>
  </si>
  <si>
    <t>FENNEKEN RACHEL</t>
  </si>
  <si>
    <t>5130 Egger</t>
  </si>
  <si>
    <t>FERRETIZ VERONICA RIVERA</t>
  </si>
  <si>
    <t>142 W Delaware Avenue</t>
  </si>
  <si>
    <t>FIELDER MICHAEL A</t>
  </si>
  <si>
    <t>1943 N Summit Street, Apt #7</t>
  </si>
  <si>
    <t>1943 N Summit Street   Apt #7</t>
  </si>
  <si>
    <t>FIELDS LINDA</t>
  </si>
  <si>
    <t>1014 S Byrne Unit 17</t>
  </si>
  <si>
    <t>FIFTH THIRD BANK</t>
  </si>
  <si>
    <t>5001 Kingsley Dr, Md Imoba8</t>
  </si>
  <si>
    <t>606 Madison      Md 292971</t>
  </si>
  <si>
    <t>FIFTH THIRD BANK NA</t>
  </si>
  <si>
    <t>1 North Dearborn St Suite</t>
  </si>
  <si>
    <t>FIFTH THIRD BANK NATIONAL ASSO</t>
  </si>
  <si>
    <t>FIFTH THIRD BANK NATIONAL ASSOC</t>
  </si>
  <si>
    <t>FIFTH THIRD BANK SUCCESSOR BY</t>
  </si>
  <si>
    <t>FILES LEE</t>
  </si>
  <si>
    <t>2415 Lawrence</t>
  </si>
  <si>
    <t>FILLMORE NEAL</t>
  </si>
  <si>
    <t>4732 Catalina Dr</t>
  </si>
  <si>
    <t>FINK CLAYTON</t>
  </si>
  <si>
    <t>405 N Huron St Ste 500</t>
  </si>
  <si>
    <t>FINK MAARA A &amp; CHRISTOPHER S HAMILTON</t>
  </si>
  <si>
    <t>2545 Westchester Rd</t>
  </si>
  <si>
    <t>FINLEY NORRIS</t>
  </si>
  <si>
    <t>338 N.Erie Street</t>
  </si>
  <si>
    <t>FINNERAN,MARY</t>
  </si>
  <si>
    <t>5629 Secor Rd Apt 96</t>
  </si>
  <si>
    <t>FIRST FEDERAL BANK</t>
  </si>
  <si>
    <t>2920 West Central Ave.</t>
  </si>
  <si>
    <t>FIRST GUARANTY MORTGAGE CORPOA</t>
  </si>
  <si>
    <t>FIRSTENERGY GENERATION CORP.</t>
  </si>
  <si>
    <t>76 S Main St</t>
  </si>
  <si>
    <t>Fisher Auto Parts, Inc.</t>
  </si>
  <si>
    <t>P.O. Box 2246</t>
  </si>
  <si>
    <t>Staunton</t>
  </si>
  <si>
    <t>FISHER JESSICA</t>
  </si>
  <si>
    <t>1217 Olsen</t>
  </si>
  <si>
    <t>FISHER MATTHEW R</t>
  </si>
  <si>
    <t>4926 Luann Ave</t>
  </si>
  <si>
    <t>FISHER,DARLENE</t>
  </si>
  <si>
    <t>840 Pinewood Ave</t>
  </si>
  <si>
    <t>FLAUGHER MICHAEL R</t>
  </si>
  <si>
    <t>4042 Stable Creek Drive</t>
  </si>
  <si>
    <t>FLORES ROMAN</t>
  </si>
  <si>
    <t>2473 Fostoria</t>
  </si>
  <si>
    <t>Fostoria</t>
  </si>
  <si>
    <t>FLOREZ DILLON</t>
  </si>
  <si>
    <t>1236 Noble</t>
  </si>
  <si>
    <t>FLOWERS KEYAGO</t>
  </si>
  <si>
    <t>827 Homer</t>
  </si>
  <si>
    <t>FLOYD MOON</t>
  </si>
  <si>
    <t>3211 Hazelton Dr</t>
  </si>
  <si>
    <t>FORCHT,MELAN</t>
  </si>
  <si>
    <t>6019 Winterhaven Dr</t>
  </si>
  <si>
    <t>FORD,LATISHA</t>
  </si>
  <si>
    <t>1009 Ewing St</t>
  </si>
  <si>
    <t>FORDLEY JEFFREY</t>
  </si>
  <si>
    <t>27 Garlang</t>
  </si>
  <si>
    <t>Latham</t>
  </si>
  <si>
    <t>FORETHOUGHT LIFE INSURANCE COM</t>
  </si>
  <si>
    <t>FORGAC GREGORY</t>
  </si>
  <si>
    <t>3900 Sunforest Court</t>
  </si>
  <si>
    <t>Fort Wayne KIA</t>
  </si>
  <si>
    <t>1112 Ave. Of The Autos</t>
  </si>
  <si>
    <t>FOUNDERS INSURANCE COMPANY</t>
  </si>
  <si>
    <t>8040 Cleveland Ave Nw Ste 400</t>
  </si>
  <si>
    <t>FOX CODY</t>
  </si>
  <si>
    <t>Po Box 356</t>
  </si>
  <si>
    <t>FOX DAVID S</t>
  </si>
  <si>
    <t>11760 S River</t>
  </si>
  <si>
    <t>FOX MARK</t>
  </si>
  <si>
    <t>5415 Monroe St Suite 5</t>
  </si>
  <si>
    <t>FOXHALL VILLAGE CONDOMINIUM OW</t>
  </si>
  <si>
    <t>2620 Centennial Rd Unit H</t>
  </si>
  <si>
    <t>FOXWELL JAY</t>
  </si>
  <si>
    <t>619 Russell</t>
  </si>
  <si>
    <t>FRALEY JOHN</t>
  </si>
  <si>
    <t>409 Orewell</t>
  </si>
  <si>
    <t>Pittsburgh</t>
  </si>
  <si>
    <t>FRANCIS J LANDRY</t>
  </si>
  <si>
    <t>5220 Turnberry Ln</t>
  </si>
  <si>
    <t>FRANCIS JAMES</t>
  </si>
  <si>
    <t>1500 Timberwolf Dr</t>
  </si>
  <si>
    <t>FRANCISCO MENDOZA</t>
  </si>
  <si>
    <t>2585 Whiskey Run Rd</t>
  </si>
  <si>
    <t>Chillocothe</t>
  </si>
  <si>
    <t>FRANCO WENDY</t>
  </si>
  <si>
    <t>541 Brighton Ave</t>
  </si>
  <si>
    <t>FRANK E WOLLENBECKER</t>
  </si>
  <si>
    <t>242 Maryland Ave</t>
  </si>
  <si>
    <t>FRANK ESPOSITO</t>
  </si>
  <si>
    <t>2625 102Nd St</t>
  </si>
  <si>
    <t>Frank Gercak, Jr.</t>
  </si>
  <si>
    <t>630 Travis Rd.</t>
  </si>
  <si>
    <t>Taylorsville</t>
  </si>
  <si>
    <t>2024 Est 1871 Estate Of John P. Gercak</t>
  </si>
  <si>
    <t>FRANK LIPINSKI</t>
  </si>
  <si>
    <t>8422 Dutch Rd</t>
  </si>
  <si>
    <t>FRANK RICHARD</t>
  </si>
  <si>
    <t>20585 Allprarie</t>
  </si>
  <si>
    <t>FRANKILIN JAMELL</t>
  </si>
  <si>
    <t>5240 W Bancroft</t>
  </si>
  <si>
    <t>FRANKLIN P SPRAGUE</t>
  </si>
  <si>
    <t>2704 Pickle Rd</t>
  </si>
  <si>
    <t>FRASER ASIA</t>
  </si>
  <si>
    <t>1018 Jefferson</t>
  </si>
  <si>
    <t>FRAZIER NORMAN</t>
  </si>
  <si>
    <t>2820 Elm Street</t>
  </si>
  <si>
    <t>FRED SCOTT SANDS</t>
  </si>
  <si>
    <t>505 Jefferson Ave Apt 508</t>
  </si>
  <si>
    <t>FREDERICA J WARE</t>
  </si>
  <si>
    <t>27 Kenilworth Ave</t>
  </si>
  <si>
    <t>FREDERICK A SANDMANN</t>
  </si>
  <si>
    <t>1829 Glen Valley Dr</t>
  </si>
  <si>
    <t>FREDERICK DOUGLASS COMMUNITY A</t>
  </si>
  <si>
    <t>1001 Iniana Avenue</t>
  </si>
  <si>
    <t>FREDERICK KUNZ</t>
  </si>
  <si>
    <t>1716 Christopher Ln</t>
  </si>
  <si>
    <t>FREDERICK MARCEL HORSLEY</t>
  </si>
  <si>
    <t>3835 Heatherdowns Blvd</t>
  </si>
  <si>
    <t>FREDERICK MICHAEL FREEMAN</t>
  </si>
  <si>
    <t>1628 Glenton Dr</t>
  </si>
  <si>
    <t>FREEDOM 43614 LLC</t>
  </si>
  <si>
    <t>C/O Stephen Brown, 100 Arbor Knoll Dr</t>
  </si>
  <si>
    <t>Antioch</t>
  </si>
  <si>
    <t>FREEDOM LIFE RESIDENTIAL</t>
  </si>
  <si>
    <t>4757 N. Summit St</t>
  </si>
  <si>
    <t>4021 Amsterdam</t>
  </si>
  <si>
    <t>FREEDOM MORTGAGE</t>
  </si>
  <si>
    <t>1001 Lakeside Avenue Suite 130</t>
  </si>
  <si>
    <t>FREEDOM MORTGAGE CORPORATION</t>
  </si>
  <si>
    <t>3962 Red Bank Rd</t>
  </si>
  <si>
    <t>1 N Dearborn St Ste 1200</t>
  </si>
  <si>
    <t>FREEMAN CURTIS S</t>
  </si>
  <si>
    <t>156 Esther St</t>
  </si>
  <si>
    <t>Freeman, Jonathon</t>
  </si>
  <si>
    <t>4229 Wickford Pt Dr</t>
  </si>
  <si>
    <t>FREY BETTY</t>
  </si>
  <si>
    <t>1819 Talbot</t>
  </si>
  <si>
    <t>FRIESS SUSAN</t>
  </si>
  <si>
    <t>10110 Mandell Road</t>
  </si>
  <si>
    <t>FRONT VARIETY</t>
  </si>
  <si>
    <t>2062 Front Street</t>
  </si>
  <si>
    <t>FROST LEON</t>
  </si>
  <si>
    <t>1128 Avondale</t>
  </si>
  <si>
    <t>FROST TERRICK</t>
  </si>
  <si>
    <t>Fuehring, Adrian</t>
  </si>
  <si>
    <t>Csb/Oct 2019</t>
  </si>
  <si>
    <t>FUHR CRYSTAL</t>
  </si>
  <si>
    <t>1310 Ironwood</t>
  </si>
  <si>
    <t>FULTON FRIEDMAN AND GULLACE LL</t>
  </si>
  <si>
    <t>Po Box 2123</t>
  </si>
  <si>
    <t>Warren</t>
  </si>
  <si>
    <t>Fun and Function, LLC</t>
  </si>
  <si>
    <t>P.O. Box 11</t>
  </si>
  <si>
    <t>Merion Station</t>
  </si>
  <si>
    <t>FURR DREANNI</t>
  </si>
  <si>
    <t>332 14Th</t>
  </si>
  <si>
    <t>GABRIEL JOSEPH KREIDER-LETTERMAN</t>
  </si>
  <si>
    <t>3726 Shelbourne Ave</t>
  </si>
  <si>
    <t>GABRIEL LEE CROSS</t>
  </si>
  <si>
    <t>2429 Charlotte St</t>
  </si>
  <si>
    <t>GABRIEL VELA</t>
  </si>
  <si>
    <t>4966 San Joaquin Dr</t>
  </si>
  <si>
    <t>GABRIEL WESTFIELD</t>
  </si>
  <si>
    <t>1416 Parkside</t>
  </si>
  <si>
    <t>GABRIEL WILLIAM SIDEL</t>
  </si>
  <si>
    <t>5702 Angola Rd Lot 177</t>
  </si>
  <si>
    <t>GABRIELLE FALLS HUFF</t>
  </si>
  <si>
    <t>6034 Larchway Ct</t>
  </si>
  <si>
    <t>GAETH,CHRISTINE</t>
  </si>
  <si>
    <t>1329 Goodale Ave</t>
  </si>
  <si>
    <t>GAGE MCCONNELL</t>
  </si>
  <si>
    <t>309 W Plumer St</t>
  </si>
  <si>
    <t>GAIL L SNYDER</t>
  </si>
  <si>
    <t>2170 S Berkey Southern Rd  Lot 170</t>
  </si>
  <si>
    <t>GAINES,BOBBIE</t>
  </si>
  <si>
    <t>1023 Dorr St</t>
  </si>
  <si>
    <t>Gale Ludwig</t>
  </si>
  <si>
    <t>254 S Rock Rd</t>
  </si>
  <si>
    <t>Mansfield</t>
  </si>
  <si>
    <t>GALEN EMERSON ORNER</t>
  </si>
  <si>
    <t>6040 Hill Ave</t>
  </si>
  <si>
    <t>GALLIGAN PATRICK</t>
  </si>
  <si>
    <t>4235 Weckerly Road</t>
  </si>
  <si>
    <t>GALLON TAKACS</t>
  </si>
  <si>
    <t>GARCIA GUADALUPE</t>
  </si>
  <si>
    <t>963 Rogers</t>
  </si>
  <si>
    <t>GARCIA MIRANDA</t>
  </si>
  <si>
    <t>475 Thurston Street</t>
  </si>
  <si>
    <t>GARCIA TONY</t>
  </si>
  <si>
    <t>1312 Dawson</t>
  </si>
  <si>
    <t>GARDNER THOMAS</t>
  </si>
  <si>
    <t>3120 Glenwood</t>
  </si>
  <si>
    <t>GARGUS KATRINA</t>
  </si>
  <si>
    <t>900 E 9Th Unit 150</t>
  </si>
  <si>
    <t>Palmetto</t>
  </si>
  <si>
    <t>GARNER JAMES E</t>
  </si>
  <si>
    <t>1615 1/2 Arden</t>
  </si>
  <si>
    <t>GARNER KIRA</t>
  </si>
  <si>
    <t>2695 Vickilynne</t>
  </si>
  <si>
    <t>Lambertville</t>
  </si>
  <si>
    <t>GARNER,SWEETRIENA</t>
  </si>
  <si>
    <t>2125 Parkwood Ave Apt 215</t>
  </si>
  <si>
    <t>GARREN TRACY</t>
  </si>
  <si>
    <t>3208 Bellaire</t>
  </si>
  <si>
    <t>GARRETT LEE SELLERS</t>
  </si>
  <si>
    <t>4707 Round House Cir</t>
  </si>
  <si>
    <t>GARRETT WILLIAM</t>
  </si>
  <si>
    <t>2030 Ashland Manor Unit 707</t>
  </si>
  <si>
    <t>GARRISON CAMERON</t>
  </si>
  <si>
    <t>832 Clifton</t>
  </si>
  <si>
    <t>GARRITT M VOGT</t>
  </si>
  <si>
    <t>1620 Wildwood Rd</t>
  </si>
  <si>
    <t>GARRY ALTON MCCLAIN</t>
  </si>
  <si>
    <t>2409 Bucklew Dr</t>
  </si>
  <si>
    <t>GARTH CHRISTOPHER</t>
  </si>
  <si>
    <t>GARY BENDIG</t>
  </si>
  <si>
    <t>615 Cuba St</t>
  </si>
  <si>
    <t>GARY D OWCZARZAK</t>
  </si>
  <si>
    <t>3337 Hazelton Dr</t>
  </si>
  <si>
    <t>Gary Force Honda</t>
  </si>
  <si>
    <t>2325 Scottsville Rd</t>
  </si>
  <si>
    <t>GARY FRANCIS KUNS</t>
  </si>
  <si>
    <t>7937 Stitt Rd</t>
  </si>
  <si>
    <t>GARY HARMAN</t>
  </si>
  <si>
    <t>4326 Willis Blvd</t>
  </si>
  <si>
    <t>GARY HARTENFELD II</t>
  </si>
  <si>
    <t>6510 Brint Road  Apt. 403</t>
  </si>
  <si>
    <t>GARY MCILROY</t>
  </si>
  <si>
    <t>2419,2423,2433 N Summit Street</t>
  </si>
  <si>
    <t>Toeldo</t>
  </si>
  <si>
    <t>GARY MICHAEL INGLE</t>
  </si>
  <si>
    <t>330 S Coy Rd Apt 1</t>
  </si>
  <si>
    <t>GARY OSBORNE</t>
  </si>
  <si>
    <t>2754 Contennial Rd</t>
  </si>
  <si>
    <t>GARY R GELLER</t>
  </si>
  <si>
    <t>1134 Holgate Ave</t>
  </si>
  <si>
    <t>GARY W OSBORNE</t>
  </si>
  <si>
    <t>2754 Centennial Rd</t>
  </si>
  <si>
    <t>2754 Centennial Road</t>
  </si>
  <si>
    <t>GARY WILLARD BRYANT</t>
  </si>
  <si>
    <t>3641 Golfgate Dr</t>
  </si>
  <si>
    <t>Gaton Griggs</t>
  </si>
  <si>
    <t>4234 Vermaas Ave</t>
  </si>
  <si>
    <t>GAYLE L BURDEN</t>
  </si>
  <si>
    <t>5383 Lewis Ave Lot 112</t>
  </si>
  <si>
    <t>GBA INFINITY LLC</t>
  </si>
  <si>
    <t>3727 Upton Ave</t>
  </si>
  <si>
    <t>Gedert, Debra</t>
  </si>
  <si>
    <t>601 South Stadium Rd</t>
  </si>
  <si>
    <t>GEICO ADVANTAGE COMPANY</t>
  </si>
  <si>
    <t>24055 Jefferson Ave Ste 102</t>
  </si>
  <si>
    <t>Saint Clair Shores</t>
  </si>
  <si>
    <t>GEICO CASUALTY COMPANY</t>
  </si>
  <si>
    <t>6000 Freedom Square Dr Ste 150</t>
  </si>
  <si>
    <t>Independence</t>
  </si>
  <si>
    <t>GEICO SECURE INS COMPANY</t>
  </si>
  <si>
    <t>GEICO SECURE INSURANCE COMPANY</t>
  </si>
  <si>
    <t>GEIGER ANTHONY</t>
  </si>
  <si>
    <t>4671 County Rd 177</t>
  </si>
  <si>
    <t>Clyde</t>
  </si>
  <si>
    <t>GENEICO JAZEL MANNING</t>
  </si>
  <si>
    <t>5803 Sherwood Cir</t>
  </si>
  <si>
    <t>Geneva Baber</t>
  </si>
  <si>
    <t>4145 Green Glen Rd</t>
  </si>
  <si>
    <t>GENITE TRUST CHARLES</t>
  </si>
  <si>
    <t>120 N Washington Sq., Ste 650</t>
  </si>
  <si>
    <t>Lansing</t>
  </si>
  <si>
    <t>GENSON,GREGORY</t>
  </si>
  <si>
    <t>7146 Tottenham Rd</t>
  </si>
  <si>
    <t>GEORGE F JACOBSEN</t>
  </si>
  <si>
    <t>GEORGE LEONARD MCILWAIN</t>
  </si>
  <si>
    <t>3448 Oakway Dr</t>
  </si>
  <si>
    <t>GEORGE NEWTON</t>
  </si>
  <si>
    <t>919 Parkside Blvd</t>
  </si>
  <si>
    <t>GEORGE PRESSER</t>
  </si>
  <si>
    <t>1896 Wildwood Rd</t>
  </si>
  <si>
    <t>GEORGE RICHARD JEFFRIES</t>
  </si>
  <si>
    <t>2812 103Rd St</t>
  </si>
  <si>
    <t>GEORGE TAYLOR</t>
  </si>
  <si>
    <t>565 Milton St</t>
  </si>
  <si>
    <t>GEORGE W BOYKIN</t>
  </si>
  <si>
    <t>1641 Milburn Ave</t>
  </si>
  <si>
    <t>GEORGE WHITE</t>
  </si>
  <si>
    <t>2037 N Fernwood Ave</t>
  </si>
  <si>
    <t>GEORGE,TERESA</t>
  </si>
  <si>
    <t>1113 Dawn Rd</t>
  </si>
  <si>
    <t>GEORGEAN M KEYES</t>
  </si>
  <si>
    <t>5632 Fairview</t>
  </si>
  <si>
    <t>GEORGETTA KAY TARSHA</t>
  </si>
  <si>
    <t>2142 Lisa Ln</t>
  </si>
  <si>
    <t>GEORGIA BURLING</t>
  </si>
  <si>
    <t>123 Wabash St Apt C</t>
  </si>
  <si>
    <t>GEORGIA S TOYER</t>
  </si>
  <si>
    <t>1309 Fitchland Ave</t>
  </si>
  <si>
    <t>GEORGIANNA M OLIVER</t>
  </si>
  <si>
    <t>4402 Boydson Dr</t>
  </si>
  <si>
    <t>GEORICH   RICHARD O'BRIEN ESQ.</t>
  </si>
  <si>
    <t>7043 S Ridgewood Dr</t>
  </si>
  <si>
    <t>Geovanni Torres Maldonado</t>
  </si>
  <si>
    <t>426 Frank St</t>
  </si>
  <si>
    <t>GERALD HORNING</t>
  </si>
  <si>
    <t>27730 Euclid Avenue</t>
  </si>
  <si>
    <t>GERALD J PRESTON</t>
  </si>
  <si>
    <t>2832 Scottwood Ave</t>
  </si>
  <si>
    <t>GERALD J RADWANSKI</t>
  </si>
  <si>
    <t>5156 Starboard Dr</t>
  </si>
  <si>
    <t>GERALD MCNEAL</t>
  </si>
  <si>
    <t>3220 Cheltenham Rd</t>
  </si>
  <si>
    <t>GERALD R CRAWFORD</t>
  </si>
  <si>
    <t>3216 Keemont Dr</t>
  </si>
  <si>
    <t>GERALDINE DOKURNO</t>
  </si>
  <si>
    <t>3655 Leybourne Avenue</t>
  </si>
  <si>
    <t>GERARD RUSSOMANNO</t>
  </si>
  <si>
    <t>4134 Shady Grv</t>
  </si>
  <si>
    <t>GERHARDT OLAF H.J &amp; ROSEMARIE E</t>
  </si>
  <si>
    <t>12541 Lagoon D</t>
  </si>
  <si>
    <t>Germain Toyota of Dundee</t>
  </si>
  <si>
    <t>16490 Tecumseh Rd</t>
  </si>
  <si>
    <t>Dundee</t>
  </si>
  <si>
    <t>GERNER AND KEARNS</t>
  </si>
  <si>
    <t>GERNER AND KERNS</t>
  </si>
  <si>
    <t>7900 Tammers Gate Lane</t>
  </si>
  <si>
    <t>GERRY MARGRITH EVERETT</t>
  </si>
  <si>
    <t>3812 Dikway Dr</t>
  </si>
  <si>
    <t>GERSCHUTZ, THOMAS</t>
  </si>
  <si>
    <t>Aud Nov/Dec 19</t>
  </si>
  <si>
    <t>Gerweck Nissan</t>
  </si>
  <si>
    <t>P O Box 2297</t>
  </si>
  <si>
    <t>15407 S. Dixie Hwy.</t>
  </si>
  <si>
    <t>Po Box 2297</t>
  </si>
  <si>
    <t>GIBBY NICOLAS</t>
  </si>
  <si>
    <t>353 Dennis</t>
  </si>
  <si>
    <t>GILBERT R SMITH</t>
  </si>
  <si>
    <t>5551 Swan Creek Dr</t>
  </si>
  <si>
    <t>GILLARD LAKISHA</t>
  </si>
  <si>
    <t>2520 North Rockwell Avenue  Apt 239</t>
  </si>
  <si>
    <t>Bethany</t>
  </si>
  <si>
    <t>OK</t>
  </si>
  <si>
    <t>2520 North Rockwell Avenue Apt 239</t>
  </si>
  <si>
    <t>2520 North Rockwell Avenue,   Apt 239</t>
  </si>
  <si>
    <t>2520 North Rockwell Avenue     Apt 239</t>
  </si>
  <si>
    <t>GILLESPIE RADREEKA</t>
  </si>
  <si>
    <t>834 N Supieror</t>
  </si>
  <si>
    <t>GILMORE CHRISTOPHER</t>
  </si>
  <si>
    <t>43 Lyric</t>
  </si>
  <si>
    <t>GINA EVA CATALDO</t>
  </si>
  <si>
    <t>5824 Woodrow Dr</t>
  </si>
  <si>
    <t>GINA PENNEY</t>
  </si>
  <si>
    <t>2317-1/2 Copland Blvd</t>
  </si>
  <si>
    <t>GINA WESLEY</t>
  </si>
  <si>
    <t>4626 Elmhurst Rd</t>
  </si>
  <si>
    <t>GINGER DANKERT</t>
  </si>
  <si>
    <t>5327 Brandy Ln</t>
  </si>
  <si>
    <t>GINGER S BERRIE</t>
  </si>
  <si>
    <t>4590 Sunny Creek Ln</t>
  </si>
  <si>
    <t>GIOVANNUCCI JENNIFER &amp; SAMUEL</t>
  </si>
  <si>
    <t>1355 S Crissey Rd</t>
  </si>
  <si>
    <t>GIST KYLE</t>
  </si>
  <si>
    <t>706 Woodland</t>
  </si>
  <si>
    <t>GIST MONICA</t>
  </si>
  <si>
    <t>931 N Main</t>
  </si>
  <si>
    <t>North Canton</t>
  </si>
  <si>
    <t>Gist, Monica</t>
  </si>
  <si>
    <t>340 S Irwin Rd, Apt 104</t>
  </si>
  <si>
    <t>GIST,HALEYAH</t>
  </si>
  <si>
    <t>1114 4 Seasons Dr Apt 3</t>
  </si>
  <si>
    <t>GIST,MONICA</t>
  </si>
  <si>
    <t>340 S Irwin Rd. Apt 104</t>
  </si>
  <si>
    <t>GISYER HARVEY</t>
  </si>
  <si>
    <t>142 Page</t>
  </si>
  <si>
    <t>Glacity Theatre Collective</t>
  </si>
  <si>
    <t>Po Box 23097</t>
  </si>
  <si>
    <t>GLADYS DELGADO OFORI ATTA</t>
  </si>
  <si>
    <t>4503 Douglas Rd</t>
  </si>
  <si>
    <t>GLADYS JOHNSON</t>
  </si>
  <si>
    <t>353 St James Cir  Lot 353</t>
  </si>
  <si>
    <t>GLASS CITY HOLDINGS LLC</t>
  </si>
  <si>
    <t>68 Newcastle Dr</t>
  </si>
  <si>
    <t>Williamsville</t>
  </si>
  <si>
    <t>GLEN WILLIAMS</t>
  </si>
  <si>
    <t>548 Oakland</t>
  </si>
  <si>
    <t>GLENDA JORDAN</t>
  </si>
  <si>
    <t>1009 Alldays Ave</t>
  </si>
  <si>
    <t>GLENN T MEIRING</t>
  </si>
  <si>
    <t>1212 Michele Dr</t>
  </si>
  <si>
    <t>GLENNE E ALGIE</t>
  </si>
  <si>
    <t>8730 Cincinnati Dayton Rd 915</t>
  </si>
  <si>
    <t>West Chester</t>
  </si>
  <si>
    <t>GLORIA FRISBY</t>
  </si>
  <si>
    <t>614 S Platt St</t>
  </si>
  <si>
    <t>Montpelier</t>
  </si>
  <si>
    <t>GLORIA L KAZMAIER</t>
  </si>
  <si>
    <t>9440 Monclova Rd</t>
  </si>
  <si>
    <t>GLORIA OSLEY</t>
  </si>
  <si>
    <t>830 Lorain St Apt 1</t>
  </si>
  <si>
    <t>GLORIA SUE SAUERWEIN</t>
  </si>
  <si>
    <t>1844 N Holland Sylvania Rd</t>
  </si>
  <si>
    <t>GLORIA SURPRISE</t>
  </si>
  <si>
    <t>5835 Meadowvale Drive</t>
  </si>
  <si>
    <t>GLORIA WOLF</t>
  </si>
  <si>
    <t>68 W Woodside  #68</t>
  </si>
  <si>
    <t>Go Auto Sales</t>
  </si>
  <si>
    <t>Gold Financial LLC</t>
  </si>
  <si>
    <t>15290 S Dixie Highway</t>
  </si>
  <si>
    <t>GOLSON AHMAD</t>
  </si>
  <si>
    <t>151 17Th</t>
  </si>
  <si>
    <t>GOMEZ ERICA J RUBIO</t>
  </si>
  <si>
    <t>885 Ogden Ave</t>
  </si>
  <si>
    <t>GOMEZ ISMAEL</t>
  </si>
  <si>
    <t>4871 Overland</t>
  </si>
  <si>
    <t>Gongaware, Christine</t>
  </si>
  <si>
    <t>525 Howland Ave</t>
  </si>
  <si>
    <t>GONZALES ADOLFO</t>
  </si>
  <si>
    <t>2022 N Michigan</t>
  </si>
  <si>
    <t>GONZALES JASON</t>
  </si>
  <si>
    <t>600 Park Unit 1</t>
  </si>
  <si>
    <t>Archbold</t>
  </si>
  <si>
    <t>GONZALEZ MARCOS A</t>
  </si>
  <si>
    <t>1210 Shelly</t>
  </si>
  <si>
    <t>GONZALEZ,MARIA</t>
  </si>
  <si>
    <t>3831 Glendale Ave</t>
  </si>
  <si>
    <t>GOODELL HOM IMP DAVID B</t>
  </si>
  <si>
    <t>5122 Prestler</t>
  </si>
  <si>
    <t>GORDON C CAVANAUGH</t>
  </si>
  <si>
    <t>4855 New England Ln  Apt. 72</t>
  </si>
  <si>
    <t>GORDON DENNIS</t>
  </si>
  <si>
    <t>7003 Quail Lake</t>
  </si>
  <si>
    <t>GORDON WALTON G</t>
  </si>
  <si>
    <t>600 Superior Avenue Suite 1200</t>
  </si>
  <si>
    <t>GOSSMAN SEAN</t>
  </si>
  <si>
    <t>1 Homeless</t>
  </si>
  <si>
    <t>GOTTSCHALK, JENNIFER</t>
  </si>
  <si>
    <t>Health-September</t>
  </si>
  <si>
    <t>GOVER ANTHONY</t>
  </si>
  <si>
    <t>GRAALMAN JACOB</t>
  </si>
  <si>
    <t>1111 W College Avenue Apt 6X</t>
  </si>
  <si>
    <t>Woodville</t>
  </si>
  <si>
    <t>1111 W College Avenue    Apt 6X</t>
  </si>
  <si>
    <t>GRACE ASHLIN TOFT</t>
  </si>
  <si>
    <t>7103 Secluded Pines Dr</t>
  </si>
  <si>
    <t>GRACE CALVIN</t>
  </si>
  <si>
    <t>3260 Medowbrooke</t>
  </si>
  <si>
    <t>GRACE CATHRYN BADEN</t>
  </si>
  <si>
    <t>620 Roxbury Ct</t>
  </si>
  <si>
    <t>GRACE KYLE</t>
  </si>
  <si>
    <t>213 E Woodruff</t>
  </si>
  <si>
    <t>GRACE MCCLAIN</t>
  </si>
  <si>
    <t>2331 Woodford St.</t>
  </si>
  <si>
    <t>GRACE NICKOLAS</t>
  </si>
  <si>
    <t>1900 Monroe St Ste 107</t>
  </si>
  <si>
    <t>GRACELAND INVESTMENT GRP LLC</t>
  </si>
  <si>
    <t>4329 Bellevue Rd</t>
  </si>
  <si>
    <t>GRAHAM BERNADETTE</t>
  </si>
  <si>
    <t>2248 Parkwood</t>
  </si>
  <si>
    <t>GRANER NICHOLI</t>
  </si>
  <si>
    <t>6809 Shooters Hill</t>
  </si>
  <si>
    <t>GRANGER KELLY</t>
  </si>
  <si>
    <t>224 1/2 E Wayne Street</t>
  </si>
  <si>
    <t>GRANT HOLDRIDGE</t>
  </si>
  <si>
    <t>4250 Garrison</t>
  </si>
  <si>
    <t>GRANT JOHNSON</t>
  </si>
  <si>
    <t>2636 Glenwood</t>
  </si>
  <si>
    <t>GRANT MARC</t>
  </si>
  <si>
    <t>709 Madison Ave #209</t>
  </si>
  <si>
    <t>GRAVES DEANNA</t>
  </si>
  <si>
    <t>713 Page</t>
  </si>
  <si>
    <t>GRAY AARON</t>
  </si>
  <si>
    <t>316 N Michigan St Ste 600</t>
  </si>
  <si>
    <t>GRAY CAROLINE</t>
  </si>
  <si>
    <t>Two Maritime</t>
  </si>
  <si>
    <t>GRAY KIONNA</t>
  </si>
  <si>
    <t>222 Kyser Blvd., #54</t>
  </si>
  <si>
    <t>Madison</t>
  </si>
  <si>
    <t>AL</t>
  </si>
  <si>
    <t>GRAY ROST</t>
  </si>
  <si>
    <t>4105 Lyman Ave</t>
  </si>
  <si>
    <t>GRAYDON SANCHEZ</t>
  </si>
  <si>
    <t>GRD ENTERPRISES OF TOLEDO LLC</t>
  </si>
  <si>
    <t>C/O David M Gomer, 906 Woodsdale</t>
  </si>
  <si>
    <t>GREATER METROPOLITAN TITLE LLC</t>
  </si>
  <si>
    <t>3131 Executive Parkway Suite 1</t>
  </si>
  <si>
    <t>GREEN DASHUN</t>
  </si>
  <si>
    <t>352 Victoria</t>
  </si>
  <si>
    <t>GREEN SR,LARRY</t>
  </si>
  <si>
    <t>662 Woodland</t>
  </si>
  <si>
    <t>Green, Kendall Frances T</t>
  </si>
  <si>
    <t>2115 Upton Ave</t>
  </si>
  <si>
    <t>GREEN,JACQUELINE</t>
  </si>
  <si>
    <t>931-1/2 Homer Ave Apt 1</t>
  </si>
  <si>
    <t>GREENWORKS REMODELING</t>
  </si>
  <si>
    <t>2035 West Alexis Road</t>
  </si>
  <si>
    <t>GREER CALVIN</t>
  </si>
  <si>
    <t>3121 Mulberry</t>
  </si>
  <si>
    <t>GREG SCHIMMOELLER</t>
  </si>
  <si>
    <t>2852 Pickle Rd Apt 209</t>
  </si>
  <si>
    <t>GREGG A PEPPEL</t>
  </si>
  <si>
    <t>2224 Centennial Rd</t>
  </si>
  <si>
    <t>GREGG PEGGY</t>
  </si>
  <si>
    <t>2935 Swan Creek Drive</t>
  </si>
  <si>
    <t>GREGORY &amp; SAMANTHA COLBERT</t>
  </si>
  <si>
    <t>GREGORY ALLEN MCCLUSKY</t>
  </si>
  <si>
    <t>1712 Cutter St</t>
  </si>
  <si>
    <t>GREGORY AQUANETTA</t>
  </si>
  <si>
    <t>One Seagate Ste 1645</t>
  </si>
  <si>
    <t>GREGORY BRAYLOCK</t>
  </si>
  <si>
    <t>4605 Queensberry Ct</t>
  </si>
  <si>
    <t>GREGORY BRIAN MATUSZYNSKI</t>
  </si>
  <si>
    <t>272 Elgin Ave</t>
  </si>
  <si>
    <t>GREGORY G ROBINSON</t>
  </si>
  <si>
    <t>3659 Wallwerth Dr</t>
  </si>
  <si>
    <t>GREGORY LAVERN SWEET</t>
  </si>
  <si>
    <t>1415 Navarre Ave</t>
  </si>
  <si>
    <t>GREGORY M HOOD</t>
  </si>
  <si>
    <t>2952 Lexington Glen Blvd</t>
  </si>
  <si>
    <t>GREGORY R SINGLAR</t>
  </si>
  <si>
    <t>2857 N 109Th St</t>
  </si>
  <si>
    <t>GREGORY SCHEIDERER</t>
  </si>
  <si>
    <t>2819 123Rd St</t>
  </si>
  <si>
    <t>GREGORY SHEPARD</t>
  </si>
  <si>
    <t>911 Jean Rd</t>
  </si>
  <si>
    <t>GREGORY T SZYMANSKI</t>
  </si>
  <si>
    <t>2319 W Sylvania Ave</t>
  </si>
  <si>
    <t>GREGORY W PISKULA</t>
  </si>
  <si>
    <t>4122 Harris St</t>
  </si>
  <si>
    <t>GREGORY WILLIAM</t>
  </si>
  <si>
    <t>242 21St Street</t>
  </si>
  <si>
    <t>GREGORY ZOOK</t>
  </si>
  <si>
    <t>2917 Meadowwood Dr</t>
  </si>
  <si>
    <t>GRESSLEY KAPLIN AND PARKER</t>
  </si>
  <si>
    <t>GRIFFIN JEFFERY</t>
  </si>
  <si>
    <t>610 W. Alexis Apt #18</t>
  </si>
  <si>
    <t>GRIMES BONITA</t>
  </si>
  <si>
    <t>8427 Stable Court</t>
  </si>
  <si>
    <t>GRING CONNIE</t>
  </si>
  <si>
    <t>2051 W. Alexis Apt. #7</t>
  </si>
  <si>
    <t>Grogans</t>
  </si>
  <si>
    <t>6100 Telegraph Rd</t>
  </si>
  <si>
    <t>9100 Telegraph Rd</t>
  </si>
  <si>
    <t>Grogans Towne Chrysler Jeep</t>
  </si>
  <si>
    <t>3100 Telegraph Rd</t>
  </si>
  <si>
    <t>Grogans Towne CJDR</t>
  </si>
  <si>
    <t>GROH FREDERICK</t>
  </si>
  <si>
    <t>2051 Northridge</t>
  </si>
  <si>
    <t>GROSS JAMES</t>
  </si>
  <si>
    <t>8 Callaway Green</t>
  </si>
  <si>
    <t>GROUP MANAGEMENT SERVICES INC</t>
  </si>
  <si>
    <t>6480 Rockside Woods Blvd Ste 3</t>
  </si>
  <si>
    <t>GUARDIOLA RUBEN</t>
  </si>
  <si>
    <t>1010 Ostrich Unit 4</t>
  </si>
  <si>
    <t>GUELI,SHERYLE</t>
  </si>
  <si>
    <t>640 Quigley St</t>
  </si>
  <si>
    <t>GUERERO JERI</t>
  </si>
  <si>
    <t>3029 Navarre Unit E</t>
  </si>
  <si>
    <t>GUERRA LUIS</t>
  </si>
  <si>
    <t>3615 N Erie</t>
  </si>
  <si>
    <t>GUNNER M TABB</t>
  </si>
  <si>
    <t>1728 Eaton Dr</t>
  </si>
  <si>
    <t>GURLEY STEPHANIE</t>
  </si>
  <si>
    <t>29441 Avondale</t>
  </si>
  <si>
    <t>Inkster</t>
  </si>
  <si>
    <t>GUYTON THOMAS J</t>
  </si>
  <si>
    <t>1107 Adams St</t>
  </si>
  <si>
    <t>GWENDOLYN READUS</t>
  </si>
  <si>
    <t>1706 Glenwood Ave</t>
  </si>
  <si>
    <t>GWINN HARLESTON,YOLANDA</t>
  </si>
  <si>
    <t>8979 Stonybrook Blvd</t>
  </si>
  <si>
    <t>Habitec Security Inc.</t>
  </si>
  <si>
    <t>P.O. Box 352497</t>
  </si>
  <si>
    <t>Habitec Security, Inc.</t>
  </si>
  <si>
    <t>HADLEY ALONDRA</t>
  </si>
  <si>
    <t>1626 Eleanor</t>
  </si>
  <si>
    <t>HADLEY STOUGH</t>
  </si>
  <si>
    <t>4211 Berwick Ave</t>
  </si>
  <si>
    <t>HAFEEZ BELLO</t>
  </si>
  <si>
    <t>7308 Woodshire Ln</t>
  </si>
  <si>
    <t>HAFESLLARI FRANCI</t>
  </si>
  <si>
    <t>138922 Perry</t>
  </si>
  <si>
    <t>Riverview</t>
  </si>
  <si>
    <t>Hahn Automotive Warehouse, Inc.</t>
  </si>
  <si>
    <t>1855 S. Reynolds Rd.</t>
  </si>
  <si>
    <t>HAHN MYRLE R</t>
  </si>
  <si>
    <t>3501 Executive Pkwy #716</t>
  </si>
  <si>
    <t>HAILEE SUE FINCH</t>
  </si>
  <si>
    <t>1116 Brooke Park Dr Apt 1116</t>
  </si>
  <si>
    <t>HAILEY NICOLE YOUNG</t>
  </si>
  <si>
    <t>2649 101St St</t>
  </si>
  <si>
    <t>HAILIE JEWELL GERDING</t>
  </si>
  <si>
    <t>1109 Scott St</t>
  </si>
  <si>
    <t>HAIRSTON COREY</t>
  </si>
  <si>
    <t>1120 Oakwood</t>
  </si>
  <si>
    <t>Hal Burke</t>
  </si>
  <si>
    <t>1 Seagate Ste 640</t>
  </si>
  <si>
    <t>HALEY FRANCES WHITCOMB</t>
  </si>
  <si>
    <t>3230 Centennial Rd Lot 70</t>
  </si>
  <si>
    <t>HALEY ROSENTHAL</t>
  </si>
  <si>
    <t>2115 Albon Rd</t>
  </si>
  <si>
    <t>HALEY RYTHER</t>
  </si>
  <si>
    <t>2908 Gunckel Blvd</t>
  </si>
  <si>
    <t>HALEY YONKER</t>
  </si>
  <si>
    <t>HALL AMARI</t>
  </si>
  <si>
    <t>3284 Cardiff Ct</t>
  </si>
  <si>
    <t>HALL,NIALL</t>
  </si>
  <si>
    <t>1847 Clay Ave</t>
  </si>
  <si>
    <t>HALLENE SHARON</t>
  </si>
  <si>
    <t>2156 Airline</t>
  </si>
  <si>
    <t>HALLIE ELIZABETH EDGELL</t>
  </si>
  <si>
    <t>4211 Birchall</t>
  </si>
  <si>
    <t>HAMILTON TASHIONNA</t>
  </si>
  <si>
    <t>1216 Tecumseh</t>
  </si>
  <si>
    <t>HAMMER FRED</t>
  </si>
  <si>
    <t>3245 N Yorktown</t>
  </si>
  <si>
    <t>HAMMER,GWENDOLYN</t>
  </si>
  <si>
    <t>4817 Paisley Rd</t>
  </si>
  <si>
    <t>Handy Toyota</t>
  </si>
  <si>
    <t>701 Highgate</t>
  </si>
  <si>
    <t>St. Albans</t>
  </si>
  <si>
    <t>VT</t>
  </si>
  <si>
    <t>HANNA MARIE HARRIS</t>
  </si>
  <si>
    <t>4455 Standing Timbers Ln</t>
  </si>
  <si>
    <t>HANNAH E SAAR</t>
  </si>
  <si>
    <t>2556 Wyndale Ct</t>
  </si>
  <si>
    <t>HANNAH ELIZABETH CHRISTIAN</t>
  </si>
  <si>
    <t>1339 Luscombe Dr</t>
  </si>
  <si>
    <t>HANNAH ESTHER PAUL</t>
  </si>
  <si>
    <t>5915 Sweetgum Dr</t>
  </si>
  <si>
    <t>HANNAH HUYSKEN</t>
  </si>
  <si>
    <t>2947 Rocksberry Ave</t>
  </si>
  <si>
    <t>HANNAH M CLAPPER</t>
  </si>
  <si>
    <t>3955 Branch Dr</t>
  </si>
  <si>
    <t>HANNAH MARGARET STANG</t>
  </si>
  <si>
    <t>27 E Colony Dr</t>
  </si>
  <si>
    <t>HANNAH MARIE SANCRAINT</t>
  </si>
  <si>
    <t>4774 Rhone Dr</t>
  </si>
  <si>
    <t>HANNAH MATHEWSON</t>
  </si>
  <si>
    <t>7807 Maumee Western Rd</t>
  </si>
  <si>
    <t>HANRAHAN CAROL</t>
  </si>
  <si>
    <t>4828 High Oaks Blvd</t>
  </si>
  <si>
    <t>HANSEN BRETT</t>
  </si>
  <si>
    <t>28 Dora Highway</t>
  </si>
  <si>
    <t>Pulaski</t>
  </si>
  <si>
    <t>HARBAUGH,BRYCE</t>
  </si>
  <si>
    <t>1614 Gronlund Cir</t>
  </si>
  <si>
    <t>Harold Moser</t>
  </si>
  <si>
    <t>2916 Michigan</t>
  </si>
  <si>
    <t>HARRINGTON THOMPSON ACKER AND</t>
  </si>
  <si>
    <t>180 N Wacker Dr      Third Fl</t>
  </si>
  <si>
    <t>HARRIS CHICHA</t>
  </si>
  <si>
    <t>4444 Stannard</t>
  </si>
  <si>
    <t>HARRIS II LEVI</t>
  </si>
  <si>
    <t>HARRIS MILDRED</t>
  </si>
  <si>
    <t>420 Madison Avenue Suite 550</t>
  </si>
  <si>
    <t>HARRIS RUSSELL JR</t>
  </si>
  <si>
    <t>854 8Th Street</t>
  </si>
  <si>
    <t>HARRIS THOMAS</t>
  </si>
  <si>
    <t>2724 Airport</t>
  </si>
  <si>
    <t>Harris, Jermaine</t>
  </si>
  <si>
    <t>2029 Broadway St</t>
  </si>
  <si>
    <t>HARRIS,AVA</t>
  </si>
  <si>
    <t>HARRISON HUTCHINSON</t>
  </si>
  <si>
    <t>3422 Jeannette Ave</t>
  </si>
  <si>
    <t>HARRISON JERRY</t>
  </si>
  <si>
    <t>2417 South</t>
  </si>
  <si>
    <t>Harry Tomaszewski</t>
  </si>
  <si>
    <t>2520 Berdan Ave Lower, Toledo, Oh 43613</t>
  </si>
  <si>
    <t>HARTBARGER JAMES D.</t>
  </si>
  <si>
    <t>8830 Angola Road</t>
  </si>
  <si>
    <t>HARTFIELD ERIC</t>
  </si>
  <si>
    <t>1006 S Byrne</t>
  </si>
  <si>
    <t>Hartfield, Ida</t>
  </si>
  <si>
    <t>520 E Streicher St</t>
  </si>
  <si>
    <t>520  E. Streicher St</t>
  </si>
  <si>
    <t>HARTLE,TERRIN</t>
  </si>
  <si>
    <t>2815 Northwood Avenue</t>
  </si>
  <si>
    <t>HARTMAN EDDIE JAMES</t>
  </si>
  <si>
    <t>3060 Rockside Woods Blvd Ste 1</t>
  </si>
  <si>
    <t>HARTSON BETTY</t>
  </si>
  <si>
    <t>11 N. Edward</t>
  </si>
  <si>
    <t>HASSELL LAURA</t>
  </si>
  <si>
    <t>HATFIELD ZACHARY D</t>
  </si>
  <si>
    <t>4151 Grantley</t>
  </si>
  <si>
    <t>HAVERHILL PETROLEUM LLC</t>
  </si>
  <si>
    <t>3819 Haverhill Drive</t>
  </si>
  <si>
    <t>HAWKINS JOHN</t>
  </si>
  <si>
    <t>2340 West Monte</t>
  </si>
  <si>
    <t>HAWKINS SHARON</t>
  </si>
  <si>
    <t>1865 Green Valley Drive</t>
  </si>
  <si>
    <t>HAYDEN C MAY</t>
  </si>
  <si>
    <t>5849 Alexa Ln</t>
  </si>
  <si>
    <t>HAYES CHELSEA</t>
  </si>
  <si>
    <t>1414 Stocker</t>
  </si>
  <si>
    <t>Flint</t>
  </si>
  <si>
    <t>HAYES KEJUAN</t>
  </si>
  <si>
    <t>1038 State</t>
  </si>
  <si>
    <t>HAYLEE AVALOS</t>
  </si>
  <si>
    <t>4328 Vermaas Ave</t>
  </si>
  <si>
    <t>HAYLEY ELISE GROHOWSKI</t>
  </si>
  <si>
    <t>3350 Ravenwood Blvd</t>
  </si>
  <si>
    <t>Hayley Freed</t>
  </si>
  <si>
    <t>2653 W. Village Dr.</t>
  </si>
  <si>
    <t>2019 Nch 1071 - Name Change Of Evelyn Kristina Antal</t>
  </si>
  <si>
    <t>HAYNES TYONNIA</t>
  </si>
  <si>
    <t>18 Southard</t>
  </si>
  <si>
    <t>HAYS ERIC</t>
  </si>
  <si>
    <t>4221 Kingsbury</t>
  </si>
  <si>
    <t>HAYWARD WILLIAM</t>
  </si>
  <si>
    <t>930 Waverly</t>
  </si>
  <si>
    <t>HBI TITLE</t>
  </si>
  <si>
    <t>7 Easton Oval, Ea5e301</t>
  </si>
  <si>
    <t>HEARD DEMARCO</t>
  </si>
  <si>
    <t>702 N Erie Unit 703</t>
  </si>
  <si>
    <t>HEARTLAND OF PROMEDICA</t>
  </si>
  <si>
    <t>191 W Nationwide Blvd Ste 300</t>
  </si>
  <si>
    <t>HEATH JOHN</t>
  </si>
  <si>
    <t>401 S Clay</t>
  </si>
  <si>
    <t>Sturgis</t>
  </si>
  <si>
    <t>Heather Bocock</t>
  </si>
  <si>
    <t>5038 Nadir</t>
  </si>
  <si>
    <t>HEATHER BRYANT</t>
  </si>
  <si>
    <t>2541 Georgetown Ave</t>
  </si>
  <si>
    <t>HEATHER COLLINS</t>
  </si>
  <si>
    <t>423 Sunset Blvd</t>
  </si>
  <si>
    <t>Heather Czlapinski</t>
  </si>
  <si>
    <t>3556 Quast Lane</t>
  </si>
  <si>
    <t>HEATHER D LANE</t>
  </si>
  <si>
    <t>2605 Christie St</t>
  </si>
  <si>
    <t>HEATHER DEANNE SMITH</t>
  </si>
  <si>
    <t>2902 N 109Th Street</t>
  </si>
  <si>
    <t>Heather Fournier</t>
  </si>
  <si>
    <t>1723 Milroy St</t>
  </si>
  <si>
    <t>HEATHER FOURNIER</t>
  </si>
  <si>
    <t>HEATHER L DITERLIZZI</t>
  </si>
  <si>
    <t>4917 Tamworth Rd</t>
  </si>
  <si>
    <t>HEATHER L KEREKES</t>
  </si>
  <si>
    <t>4136 Newcastle Drive Apt 101</t>
  </si>
  <si>
    <t>HEATHER LYNNE RAYMOND</t>
  </si>
  <si>
    <t>2535 Heatherwyck Ct</t>
  </si>
  <si>
    <t>HEATHER M ADAMS</t>
  </si>
  <si>
    <t>4733 Naomi Drive</t>
  </si>
  <si>
    <t>Heather M Bartlett</t>
  </si>
  <si>
    <t>1360 Rollons St</t>
  </si>
  <si>
    <t>HEATHER NESHEIWAT</t>
  </si>
  <si>
    <t>839 Liberty Dr</t>
  </si>
  <si>
    <t>HEATHER PROKOPOW</t>
  </si>
  <si>
    <t>431 S North Curtice Rd</t>
  </si>
  <si>
    <t>Heather R. McMonigal, DBA Heather's Day Care LLC</t>
  </si>
  <si>
    <t>1700 S. Jefferson Ave.</t>
  </si>
  <si>
    <t>Heather Raymond</t>
  </si>
  <si>
    <t>2742 Copland Blvd</t>
  </si>
  <si>
    <t>HEATHER SEMLER</t>
  </si>
  <si>
    <t>6615 W Bancroft St Apt 58H</t>
  </si>
  <si>
    <t>HEATHER SOLOMON</t>
  </si>
  <si>
    <t>2042 Broadstone Rd</t>
  </si>
  <si>
    <t>HEATHER TESTER</t>
  </si>
  <si>
    <t>750 Spruce St</t>
  </si>
  <si>
    <t>HEATHER TROCCHIO</t>
  </si>
  <si>
    <t>HEATON JOHN</t>
  </si>
  <si>
    <t>3781 Oak Forest</t>
  </si>
  <si>
    <t>HEEBSH RODNEY</t>
  </si>
  <si>
    <t>413 South 46Th</t>
  </si>
  <si>
    <t>Yakima</t>
  </si>
  <si>
    <t>HEIDEMARIE ERIKA LOHRMANN</t>
  </si>
  <si>
    <t>7820 Towbridge Ct</t>
  </si>
  <si>
    <t>HEIDEN NICHOLAS</t>
  </si>
  <si>
    <t>460 Edgewood Lane</t>
  </si>
  <si>
    <t>HEIDI ELIZABETH FUTRELL</t>
  </si>
  <si>
    <t>2039 N Ravine Pkwy</t>
  </si>
  <si>
    <t>HEIDI K BLEYER</t>
  </si>
  <si>
    <t>612 Manitou Dr</t>
  </si>
  <si>
    <t>HEIDI M LOYER</t>
  </si>
  <si>
    <t>2834 Piddock Rd</t>
  </si>
  <si>
    <t>HEILMAN LAWRENCE E</t>
  </si>
  <si>
    <t>9414 Seaman Road</t>
  </si>
  <si>
    <t>HELEN I WOODY</t>
  </si>
  <si>
    <t>6047 Willowvale Dr</t>
  </si>
  <si>
    <t>Helen Kuch Kunich</t>
  </si>
  <si>
    <t>7469 Roloff Rd</t>
  </si>
  <si>
    <t>HELEN THOMPSON</t>
  </si>
  <si>
    <t>1212 Hamilton St</t>
  </si>
  <si>
    <t>HELENA CELESTINO</t>
  </si>
  <si>
    <t>3262 Jeannette Ave</t>
  </si>
  <si>
    <t>HELF KATHRYN AND DON</t>
  </si>
  <si>
    <t>5830 Tantallon Circle</t>
  </si>
  <si>
    <t>HELM ANTOINE</t>
  </si>
  <si>
    <t>3241 Milstead</t>
  </si>
  <si>
    <t>HELO ALI</t>
  </si>
  <si>
    <t>524 Howland Ave</t>
  </si>
  <si>
    <t>HENDERSON KEAVANT</t>
  </si>
  <si>
    <t>5223 Jackman</t>
  </si>
  <si>
    <t>HENDERSON,KAYLA</t>
  </si>
  <si>
    <t>802 Lafayette St Apt 12</t>
  </si>
  <si>
    <t>Hennessey, Megan</t>
  </si>
  <si>
    <t>Csb/July 2019</t>
  </si>
  <si>
    <t>HENRITTA E ENONCHONG</t>
  </si>
  <si>
    <t>1960 Pinelawn Dr</t>
  </si>
  <si>
    <t>HENRY E GEIGER</t>
  </si>
  <si>
    <t>5437 Fleet Rd</t>
  </si>
  <si>
    <t>HENRY JEWELERS</t>
  </si>
  <si>
    <t>4909 Dorr Street</t>
  </si>
  <si>
    <t>HENRY MICHAEL</t>
  </si>
  <si>
    <t>612 Bennington</t>
  </si>
  <si>
    <t>HENRY MICHAEL SWEARENGEN</t>
  </si>
  <si>
    <t>5045 Planet Ave</t>
  </si>
  <si>
    <t>HENRY R SILVERMAN</t>
  </si>
  <si>
    <t>3751 Sulphur Spring Rd</t>
  </si>
  <si>
    <t>Henry Strickland Jr</t>
  </si>
  <si>
    <t>924 Rogers St</t>
  </si>
  <si>
    <t>HENSON STANLEY J JR</t>
  </si>
  <si>
    <t>1205 Parkside Blvd</t>
  </si>
  <si>
    <t>HERBERT BLANCHARD</t>
  </si>
  <si>
    <t>407 W Central Ave Apt 1</t>
  </si>
  <si>
    <t>HERBERT J BERTZ</t>
  </si>
  <si>
    <t>5944 Fairhaven Dr</t>
  </si>
  <si>
    <t>HERERRA KELLY</t>
  </si>
  <si>
    <t>4704 Southaire Drive</t>
  </si>
  <si>
    <t>HERITAGE INN AND SUITES</t>
  </si>
  <si>
    <t>6425 Kit Lane</t>
  </si>
  <si>
    <t>HERNANDEZ CYNTHIA</t>
  </si>
  <si>
    <t>6424 Forsytche</t>
  </si>
  <si>
    <t>HERNANDEZ,JULIA</t>
  </si>
  <si>
    <t>1527 Kedron St</t>
  </si>
  <si>
    <t>HERNANDO MARTINEZ</t>
  </si>
  <si>
    <t>23 Karyl St</t>
  </si>
  <si>
    <t>HERRICK RICHARD M.</t>
  </si>
  <si>
    <t>4265 Back Ridge Way</t>
  </si>
  <si>
    <t>HERRING GINO</t>
  </si>
  <si>
    <t>HERSEY ALEISE</t>
  </si>
  <si>
    <t>3501 E.Manhattan</t>
  </si>
  <si>
    <t>HICKS ALENA</t>
  </si>
  <si>
    <t>1364 N Cove</t>
  </si>
  <si>
    <t>HIGHTOWER SUSAN</t>
  </si>
  <si>
    <t>257 E Broadway</t>
  </si>
  <si>
    <t>HILDEBRAND CHYNA</t>
  </si>
  <si>
    <t>409 4Th St.</t>
  </si>
  <si>
    <t>1 Arlow Drive    #27</t>
  </si>
  <si>
    <t>HILL CALLIE</t>
  </si>
  <si>
    <t>408 Wilson Street</t>
  </si>
  <si>
    <t>HILL GLANDOY</t>
  </si>
  <si>
    <t>2531 Briar Lane</t>
  </si>
  <si>
    <t>HILL JEANNIE</t>
  </si>
  <si>
    <t>612 Navarre Ave</t>
  </si>
  <si>
    <t>HILL TERRENCE</t>
  </si>
  <si>
    <t>HILLARY FISHER</t>
  </si>
  <si>
    <t>4713 Paisley Rd</t>
  </si>
  <si>
    <t>HILTMAN LOUIS</t>
  </si>
  <si>
    <t>1732 Mount Vernon</t>
  </si>
  <si>
    <t>HINSCH ALEXANDER</t>
  </si>
  <si>
    <t>1720 Evansdale</t>
  </si>
  <si>
    <t>HK Toy House</t>
  </si>
  <si>
    <t>5624 Mayberry Sq Apt 11</t>
  </si>
  <si>
    <t>HOBIE N &amp; TERILYN HORTON</t>
  </si>
  <si>
    <t>18702 Mountain Spring Dr</t>
  </si>
  <si>
    <t>Spring</t>
  </si>
  <si>
    <t>HOCKENBERRY JAMES</t>
  </si>
  <si>
    <t>656 S Coy</t>
  </si>
  <si>
    <t>HOEFT, DENISE</t>
  </si>
  <si>
    <t>Fam/Nov 2019</t>
  </si>
  <si>
    <t>HOFFMAN KAYLA</t>
  </si>
  <si>
    <t>1702 Spring Grove</t>
  </si>
  <si>
    <t>HOLLINS BEVAN</t>
  </si>
  <si>
    <t>3229 N Erie</t>
  </si>
  <si>
    <t>HOLLOWELL LISA M</t>
  </si>
  <si>
    <t>HOLLY ANN WOOD</t>
  </si>
  <si>
    <t>1952 Winchester Rd</t>
  </si>
  <si>
    <t>HOLLY BURTCH</t>
  </si>
  <si>
    <t>3128 Stone Wall Rd</t>
  </si>
  <si>
    <t>Holly K. Matthews</t>
  </si>
  <si>
    <t>4351 S. Detroit Ave</t>
  </si>
  <si>
    <t>HOLLY WOOD</t>
  </si>
  <si>
    <t>HOLLY YENRICK</t>
  </si>
  <si>
    <t>2350 Brown Rd</t>
  </si>
  <si>
    <t>HOLLYWOOD CASINO TOLEDO</t>
  </si>
  <si>
    <t>1968 Miami Street</t>
  </si>
  <si>
    <t>Holman Lee Jr.</t>
  </si>
  <si>
    <t>4133 Springburn Dr</t>
  </si>
  <si>
    <t>HOLMES COLIN</t>
  </si>
  <si>
    <t>6635 Bancroft</t>
  </si>
  <si>
    <t>HOLMES TERRY S</t>
  </si>
  <si>
    <t>2940 Gunckel</t>
  </si>
  <si>
    <t>HOLT,BRIAN</t>
  </si>
  <si>
    <t>1644 Vinal St Apt A</t>
  </si>
  <si>
    <t>HONEYWELL INTERNATIONAL INC</t>
  </si>
  <si>
    <t>127 Public Square Suite 4100</t>
  </si>
  <si>
    <t>Honie Mclane</t>
  </si>
  <si>
    <t>1702 1/2 Liberty St.</t>
  </si>
  <si>
    <t>HOPE MCCLELLAN</t>
  </si>
  <si>
    <t>22360 Us Highway 6</t>
  </si>
  <si>
    <t>Stryker</t>
  </si>
  <si>
    <t>HOPINGS LAQUALE</t>
  </si>
  <si>
    <t>3827 Hoiles Ave</t>
  </si>
  <si>
    <t>HOPPER JEANIE</t>
  </si>
  <si>
    <t>647 N Stadium Road</t>
  </si>
  <si>
    <t>Horn Key &amp; Lock</t>
  </si>
  <si>
    <t>701 Conant St</t>
  </si>
  <si>
    <t>HORN MICHELLE</t>
  </si>
  <si>
    <t>150 West South</t>
  </si>
  <si>
    <t>HORN URIAH</t>
  </si>
  <si>
    <t>7588 Central Parke Bvld #327</t>
  </si>
  <si>
    <t>HOSKINS TYRONE JR</t>
  </si>
  <si>
    <t>2260 Francis Lane</t>
  </si>
  <si>
    <t>HOUSAM A ZEHAIM</t>
  </si>
  <si>
    <t>5835 Acoma Dr</t>
  </si>
  <si>
    <t>HOUTTEKIER DIVERSIFIED CONTRAC</t>
  </si>
  <si>
    <t>3930 Funston Street</t>
  </si>
  <si>
    <t>HOWARD ANDRE</t>
  </si>
  <si>
    <t>25825 Science Park Drive Suite</t>
  </si>
  <si>
    <t>Beachwood</t>
  </si>
  <si>
    <t>HOWARD DAVIS</t>
  </si>
  <si>
    <t>5264 Fairgreen Dr</t>
  </si>
  <si>
    <t>HOWARD SHOW</t>
  </si>
  <si>
    <t>N/A</t>
  </si>
  <si>
    <t>NA</t>
  </si>
  <si>
    <t>HOWARD VICTORIA</t>
  </si>
  <si>
    <t>1515 N Erie</t>
  </si>
  <si>
    <t>HOWARD,MICHAEL</t>
  </si>
  <si>
    <t>536 Carver Blvd</t>
  </si>
  <si>
    <t>HOWELL TONY</t>
  </si>
  <si>
    <t>737 Borer</t>
  </si>
  <si>
    <t>HOWZE LAURA</t>
  </si>
  <si>
    <t>1932 Brusells</t>
  </si>
  <si>
    <t>HOYT ASHLEY</t>
  </si>
  <si>
    <t>6201 Garden</t>
  </si>
  <si>
    <t>HOYT MELANIE</t>
  </si>
  <si>
    <t>220 E Indiana</t>
  </si>
  <si>
    <t>HRYNCIW,JERI</t>
  </si>
  <si>
    <t>2539 Foraker Ave</t>
  </si>
  <si>
    <t>HSBC BANK USA NA</t>
  </si>
  <si>
    <t>HSBC BANK USA NATIONAL ASSOCIA</t>
  </si>
  <si>
    <t>HUDSON CATHY</t>
  </si>
  <si>
    <t>HUFF ROBERT MARY</t>
  </si>
  <si>
    <t>3 Market Street</t>
  </si>
  <si>
    <t>Bloomingburg</t>
  </si>
  <si>
    <t>HUFFORD SUSAN   JOHN W HILBERT II ESQ</t>
  </si>
  <si>
    <t>1000 Jackson Street</t>
  </si>
  <si>
    <t>HUGH HUNTER HELFRICH</t>
  </si>
  <si>
    <t>5221 Whitehouse Dr</t>
  </si>
  <si>
    <t>HUGHES,DARICE</t>
  </si>
  <si>
    <t>HUGHES,NANCY</t>
  </si>
  <si>
    <t>331 Everett St</t>
  </si>
  <si>
    <t>HUNTER &amp; SCHANK CO.</t>
  </si>
  <si>
    <t>1700 Canton Ave.</t>
  </si>
  <si>
    <t>HUNTER ANTHONY CLARK</t>
  </si>
  <si>
    <t>5553 Lewis Ave #15</t>
  </si>
  <si>
    <t>HUNTER L PLUMMER</t>
  </si>
  <si>
    <t>438 4Th St</t>
  </si>
  <si>
    <t>HUNTER TERRELL</t>
  </si>
  <si>
    <t>6955 Oakfield Drive</t>
  </si>
  <si>
    <t>HUNTER THOMAS KWIATKOWSKI</t>
  </si>
  <si>
    <t>609 Orchard View Dr</t>
  </si>
  <si>
    <t>HUNTER,HASAAN</t>
  </si>
  <si>
    <t>1442 Brooke Park Dr Apt 5</t>
  </si>
  <si>
    <t>HUNTINGTON BANK</t>
  </si>
  <si>
    <t>C/O Corelogic Refunds, P.O. Box 9202</t>
  </si>
  <si>
    <t>Coppell</t>
  </si>
  <si>
    <t>HUNTINGTON NATIONAL BANK</t>
  </si>
  <si>
    <t>HUNTLEY BRANDON</t>
  </si>
  <si>
    <t>4783 Violet Unit D</t>
  </si>
  <si>
    <t>HUNTLEY SR,RODERICK</t>
  </si>
  <si>
    <t>1813 Clay Ave</t>
  </si>
  <si>
    <t>HUNTZINGER,JENNIFER</t>
  </si>
  <si>
    <t>9353 Saner Ct</t>
  </si>
  <si>
    <t>HURST,EMILY</t>
  </si>
  <si>
    <t>2713 Robinwood Ave</t>
  </si>
  <si>
    <t>HUSSEIN BADRAN</t>
  </si>
  <si>
    <t>5911 Suzanne Dr</t>
  </si>
  <si>
    <t>HUTCHERSON,PAMELA</t>
  </si>
  <si>
    <t>1247 Pinewood Ave</t>
  </si>
  <si>
    <t>HUTCHINGS DARLENE</t>
  </si>
  <si>
    <t>405 Madison Ave., #2200</t>
  </si>
  <si>
    <t>Hutchinson KIA</t>
  </si>
  <si>
    <t>3931 River Place Dr</t>
  </si>
  <si>
    <t>Macon</t>
  </si>
  <si>
    <t>Hydrostatic Testing, Inc.</t>
  </si>
  <si>
    <t>2807 Smith Rd</t>
  </si>
  <si>
    <t>Hyundai Capital - NHQ</t>
  </si>
  <si>
    <t>3161 Michelson Dr Ste 1900</t>
  </si>
  <si>
    <t>Irvie</t>
  </si>
  <si>
    <t>IAN HAPRICHT</t>
  </si>
  <si>
    <t>3442 Beverly Drive</t>
  </si>
  <si>
    <t>IAN HILEMAN</t>
  </si>
  <si>
    <t>4538 Stannard Dr</t>
  </si>
  <si>
    <t>IAN KATZ</t>
  </si>
  <si>
    <t>4910 W Dauber Dr</t>
  </si>
  <si>
    <t>IAN LEE SWEATT</t>
  </si>
  <si>
    <t>743 Hammersmith Cir</t>
  </si>
  <si>
    <t>IAN P MALHOIT</t>
  </si>
  <si>
    <t>145 S Saint Clair St Unit 38</t>
  </si>
  <si>
    <t>IAN WIEDMANN</t>
  </si>
  <si>
    <t>1058 S Wheeling St</t>
  </si>
  <si>
    <t>IBRAHEAM MOHAMMED</t>
  </si>
  <si>
    <t>7367 Kings Park Rd</t>
  </si>
  <si>
    <t>IBRAHIM A BARAYSEH</t>
  </si>
  <si>
    <t>2340 Chriswood Rd</t>
  </si>
  <si>
    <t>IBRAHIM M DAHER</t>
  </si>
  <si>
    <t>5072 Breezeway Dr</t>
  </si>
  <si>
    <t>iDance Adaptive Performing Arts Center</t>
  </si>
  <si>
    <t>215 N Summit St</t>
  </si>
  <si>
    <t>IKE G WAGGONER</t>
  </si>
  <si>
    <t>3218 E Manhattan Blvd</t>
  </si>
  <si>
    <t>ILA DEHNE</t>
  </si>
  <si>
    <t>836 Tanner Landing</t>
  </si>
  <si>
    <t>Ila Gupta</t>
  </si>
  <si>
    <t>3100 Main St</t>
  </si>
  <si>
    <t>ILANIT AVIDOR REISS</t>
  </si>
  <si>
    <t>3427 Gallatin Rd</t>
  </si>
  <si>
    <t>IMAGINE ENVIRONMENTAL SCIENCE ACADEMY</t>
  </si>
  <si>
    <t>1030   Clay Ave, Toledo, Oh 43608</t>
  </si>
  <si>
    <t>IN RE KEITH W NICHOLS</t>
  </si>
  <si>
    <t>1543 Biscayne Dr</t>
  </si>
  <si>
    <t>INSIGHT TITLE COMPANY - TRUST</t>
  </si>
  <si>
    <t>1100 Superior Ave          Ste 670</t>
  </si>
  <si>
    <t>International Economic Development</t>
  </si>
  <si>
    <t>1275 K Street Nw, Ste 300</t>
  </si>
  <si>
    <t>INTERNATIONAL INSTITUTE</t>
  </si>
  <si>
    <t>3110 Tremainsville Road</t>
  </si>
  <si>
    <t>Interstate Billing Services, Inc</t>
  </si>
  <si>
    <t>P.O. Box 2208</t>
  </si>
  <si>
    <t>Decatur</t>
  </si>
  <si>
    <t>IRELAND MICHAEL</t>
  </si>
  <si>
    <t>248 Steel</t>
  </si>
  <si>
    <t>IRENE CHARITY ALLEN</t>
  </si>
  <si>
    <t>297 Majestic Dr</t>
  </si>
  <si>
    <t>IRENE HELEN KECSKES</t>
  </si>
  <si>
    <t>4215 Albar Dr</t>
  </si>
  <si>
    <t>IRENE MARTINEZ</t>
  </si>
  <si>
    <t>914 Page St</t>
  </si>
  <si>
    <t>IRWIN TERRY L</t>
  </si>
  <si>
    <t>1721 Roycroft Rd</t>
  </si>
  <si>
    <t>IRWIN,CAELAN</t>
  </si>
  <si>
    <t>4945 N Mccord Rd</t>
  </si>
  <si>
    <t>ISAAC BODNAR</t>
  </si>
  <si>
    <t>2036 Loughrae Rd</t>
  </si>
  <si>
    <t>ISAAC D BURKHOLDER</t>
  </si>
  <si>
    <t>271 Cedar Rdg</t>
  </si>
  <si>
    <t>ISAAC KLUNK</t>
  </si>
  <si>
    <t>414 Floyd St Apt 6</t>
  </si>
  <si>
    <t>ISABEL ARTIAGA KLEOPFER</t>
  </si>
  <si>
    <t>1002 Clarion Ave</t>
  </si>
  <si>
    <t>Isaiah Young</t>
  </si>
  <si>
    <t>2028 Joffre</t>
  </si>
  <si>
    <t>ISHMAEL JORAM SHAKUR</t>
  </si>
  <si>
    <t>5830 W Candlestick Ct</t>
  </si>
  <si>
    <t>ISMAEL CASTILLO JR</t>
  </si>
  <si>
    <t>2245 W Sylvania Ave</t>
  </si>
  <si>
    <t>ISMAIL ALI IBRAHIM</t>
  </si>
  <si>
    <t>913 N Westwood Ave</t>
  </si>
  <si>
    <t>J &amp; L Financial LLC</t>
  </si>
  <si>
    <t>J A DOYLE CORP</t>
  </si>
  <si>
    <t>1 Seagate</t>
  </si>
  <si>
    <t>J PETER MILLON</t>
  </si>
  <si>
    <t>900 Adams Street</t>
  </si>
  <si>
    <t>JACEK DODDROE SADOSKI</t>
  </si>
  <si>
    <t>2837 Jodore Ave</t>
  </si>
  <si>
    <t>Jacinda Beene</t>
  </si>
  <si>
    <t>5553 Ryewyck Ct. Apt. C</t>
  </si>
  <si>
    <t>JACK DEILY</t>
  </si>
  <si>
    <t>9 Hidden Valley Dr</t>
  </si>
  <si>
    <t>JACK S LEIZERMAN</t>
  </si>
  <si>
    <t>JACKSON LAVELLE</t>
  </si>
  <si>
    <t>2314 Chase</t>
  </si>
  <si>
    <t>JACKSON SHALONDA</t>
  </si>
  <si>
    <t>129 Ravine Park Village</t>
  </si>
  <si>
    <t>JACKSON TRAVIS SPEWEIKE</t>
  </si>
  <si>
    <t>4627 Hannaford Dr</t>
  </si>
  <si>
    <t>Jaclynn Frisch</t>
  </si>
  <si>
    <t>6044 Edgedale Cir</t>
  </si>
  <si>
    <t>JACOB A CHORNEY</t>
  </si>
  <si>
    <t>4663 N Summit</t>
  </si>
  <si>
    <t>JACOB A HAUENSTEIN</t>
  </si>
  <si>
    <t>2450 108Th St</t>
  </si>
  <si>
    <t>JACOB A MILLER</t>
  </si>
  <si>
    <t>2449 Hampsford Cir</t>
  </si>
  <si>
    <t>JACOB A QUINN</t>
  </si>
  <si>
    <t>2655 Tully Ave</t>
  </si>
  <si>
    <t>JACOB B COOK</t>
  </si>
  <si>
    <t>3819 Waldorf Dr</t>
  </si>
  <si>
    <t>JACOB B PATTON</t>
  </si>
  <si>
    <t>1438 Stanwix Dr</t>
  </si>
  <si>
    <t>Jacob Cervetto</t>
  </si>
  <si>
    <t>5660 Tibaron Ln</t>
  </si>
  <si>
    <t>JACOB KELLY</t>
  </si>
  <si>
    <t>2625 Copland Blvd</t>
  </si>
  <si>
    <t>JACOB LIMPF</t>
  </si>
  <si>
    <t>4401 Gregory Dr Apt B</t>
  </si>
  <si>
    <t>JACOB MANDERS</t>
  </si>
  <si>
    <t>2147 Chalmette Dr</t>
  </si>
  <si>
    <t>JACOB MARK GROENHOUT</t>
  </si>
  <si>
    <t>4542 289Th St</t>
  </si>
  <si>
    <t>JACOB MICHAEL CLAPPER</t>
  </si>
  <si>
    <t>4927 Monac Dr</t>
  </si>
  <si>
    <t>JACOB MICHAEL DALE</t>
  </si>
  <si>
    <t>5918 Steeple Chase Cir</t>
  </si>
  <si>
    <t>JACOB MICHAEL HULBERT</t>
  </si>
  <si>
    <t>7520 Finzel Rd</t>
  </si>
  <si>
    <t>JACOB NATHANIEL FIRSDON</t>
  </si>
  <si>
    <t>8122 N Bridge Way</t>
  </si>
  <si>
    <t>JACOB PHILLIPS</t>
  </si>
  <si>
    <t>8727 Navonna Cir</t>
  </si>
  <si>
    <t>Jacob Rosas</t>
  </si>
  <si>
    <t>908 Harding</t>
  </si>
  <si>
    <t>JACOB S BLAUSEY</t>
  </si>
  <si>
    <t>13930 Monclova Rd</t>
  </si>
  <si>
    <t>JACOB SADILEK</t>
  </si>
  <si>
    <t>1825 Collingwood Blvd Apt 4</t>
  </si>
  <si>
    <t>JACOB SANFORD</t>
  </si>
  <si>
    <t>5513 Gay St</t>
  </si>
  <si>
    <t>JACOBS ALYSON</t>
  </si>
  <si>
    <t>5051 Breezeway</t>
  </si>
  <si>
    <t>JACOBS JOSHUA A</t>
  </si>
  <si>
    <t>427 W Dussel Dr</t>
  </si>
  <si>
    <t>JACQUELINE A SPENCER</t>
  </si>
  <si>
    <t>1907 Scarsbrook Cir</t>
  </si>
  <si>
    <t>JACQUELINE ANN BARBER</t>
  </si>
  <si>
    <t>4646 Vicksburg Dr</t>
  </si>
  <si>
    <t>JACQUELINE E MARTIN</t>
  </si>
  <si>
    <t>549 Georgetown Dr</t>
  </si>
  <si>
    <t>Jacqueline June</t>
  </si>
  <si>
    <t>456 South Goodyear St.</t>
  </si>
  <si>
    <t>JACQUELINE SEIBOLD</t>
  </si>
  <si>
    <t>909 Phillips St</t>
  </si>
  <si>
    <t>Jacqueline Wade</t>
  </si>
  <si>
    <t>1011 Valerian Ct</t>
  </si>
  <si>
    <t>JACQUELINE YVONNE WEAVER</t>
  </si>
  <si>
    <t>1097 Sisson Dr</t>
  </si>
  <si>
    <t>JACQUELYN A SPERLING</t>
  </si>
  <si>
    <t>6117 Rockdale Ln</t>
  </si>
  <si>
    <t>JACQUELYN AGNER</t>
  </si>
  <si>
    <t>3632 Larchmont Pkwy</t>
  </si>
  <si>
    <t>JACQUELYN J MCBEE</t>
  </si>
  <si>
    <t>1060 Keeler St</t>
  </si>
  <si>
    <t>JACQULYN DRUCKEMILLER</t>
  </si>
  <si>
    <t>1134 Cribb St</t>
  </si>
  <si>
    <t>Jaden Currey Skaggs</t>
  </si>
  <si>
    <t>1840 Marne</t>
  </si>
  <si>
    <t>JAIME CURTIS</t>
  </si>
  <si>
    <t>1328 Conant St Lot 12</t>
  </si>
  <si>
    <t>JAKE BUCKLEY</t>
  </si>
  <si>
    <t>5847 Brown Rd</t>
  </si>
  <si>
    <t>JAKE YEATER</t>
  </si>
  <si>
    <t>24901 Northwestern Hwy Suite 7</t>
  </si>
  <si>
    <t>JAKUB TECUMSEH TODD</t>
  </si>
  <si>
    <t>878 Butterfield Dr</t>
  </si>
  <si>
    <t>JALEN CHRISTOPHE ALLISON</t>
  </si>
  <si>
    <t>4140 Belmar Ave</t>
  </si>
  <si>
    <t>JALEN EMIL TAYLOR</t>
  </si>
  <si>
    <t>5844 Yermo Dr Apt R6</t>
  </si>
  <si>
    <t>JAMELLA SHANELLE TATUM</t>
  </si>
  <si>
    <t>2245 Berdan Ave</t>
  </si>
  <si>
    <t>JAMES A HIRZEL</t>
  </si>
  <si>
    <t>2743 Sagamore Rd</t>
  </si>
  <si>
    <t>JAMES ALFRED MATES</t>
  </si>
  <si>
    <t>8945 Arquette Rd</t>
  </si>
  <si>
    <t>JAMES ALLEN J ACKSON</t>
  </si>
  <si>
    <t>6022 Vistamar Rd</t>
  </si>
  <si>
    <t>James Baker</t>
  </si>
  <si>
    <t>3021 Lambert Drive</t>
  </si>
  <si>
    <t>JAMES BANKS</t>
  </si>
  <si>
    <t>5619 Chippewa Rd</t>
  </si>
  <si>
    <t>James Bart Leonardi</t>
  </si>
  <si>
    <t>24700 Center Ridge, Ste. 250</t>
  </si>
  <si>
    <t>Westlake</t>
  </si>
  <si>
    <t>2021 Gdm 2303 - Guardianship Of Ny'arie Aila May</t>
  </si>
  <si>
    <t>JAMES BENSON</t>
  </si>
  <si>
    <t>6020 319Th St</t>
  </si>
  <si>
    <t>JAMES BRISCOE</t>
  </si>
  <si>
    <t>4643 S Park Lane</t>
  </si>
  <si>
    <t>JAMES C HANNUM</t>
  </si>
  <si>
    <t>6122 Bonsels Pkwy</t>
  </si>
  <si>
    <t>JAMES CHRISTOPHE ANDERSON</t>
  </si>
  <si>
    <t>3429 Cheltenham Rd</t>
  </si>
  <si>
    <t>JAMES COLUMBUS</t>
  </si>
  <si>
    <t>1111 Earlwood Ave</t>
  </si>
  <si>
    <t>JAMES D GARZA</t>
  </si>
  <si>
    <t>2643 Shoreland Ave</t>
  </si>
  <si>
    <t>JAMES D KREGEL</t>
  </si>
  <si>
    <t>2555 102Nd St</t>
  </si>
  <si>
    <t>JAMES DEROSA</t>
  </si>
  <si>
    <t>2352 Meadowwood Dr</t>
  </si>
  <si>
    <t>JAMES E DAUTERMAN</t>
  </si>
  <si>
    <t>3531 Wyckliffe Pkwy</t>
  </si>
  <si>
    <t>JAMES E MOELLER</t>
  </si>
  <si>
    <t>319 Ridgepoint Cir</t>
  </si>
  <si>
    <t>JAMES EVERETT JACKSON</t>
  </si>
  <si>
    <t>2823 Davidson Dr</t>
  </si>
  <si>
    <t>JAMES J BULDAS</t>
  </si>
  <si>
    <t>3768 Corey Rd</t>
  </si>
  <si>
    <t>JAMES J MINESKY</t>
  </si>
  <si>
    <t>4160 N Mccord Rd</t>
  </si>
  <si>
    <t>JAMES JOHNSON</t>
  </si>
  <si>
    <t>5571 Forest Green Dr</t>
  </si>
  <si>
    <t>JAMES JOSEPH KANTNER</t>
  </si>
  <si>
    <t>1122 Michigan Ave</t>
  </si>
  <si>
    <t>JAMES JOSEPH STRUFFOLINO</t>
  </si>
  <si>
    <t>1168 Shelly Ave</t>
  </si>
  <si>
    <t>JAMES K WAGNER</t>
  </si>
  <si>
    <t>5625 Secor Rd Apt 72</t>
  </si>
  <si>
    <t>JAMES KARLET</t>
  </si>
  <si>
    <t>3743 Willow Lane Dr</t>
  </si>
  <si>
    <t>JAMES L CASH</t>
  </si>
  <si>
    <t>4833 Spatz Avenue</t>
  </si>
  <si>
    <t>Ft Wayne</t>
  </si>
  <si>
    <t>JAMES M WILKINSON</t>
  </si>
  <si>
    <t>2221 Meadowwood Dr</t>
  </si>
  <si>
    <t>James McIntosh</t>
  </si>
  <si>
    <t>9566 Marlowe</t>
  </si>
  <si>
    <t>James Meach</t>
  </si>
  <si>
    <t>2116 Consaul St</t>
  </si>
  <si>
    <t>JAMES MICHAEL BRYWCZYNSKI</t>
  </si>
  <si>
    <t>3904 Rugby Dr</t>
  </si>
  <si>
    <t>JAMES P PEER</t>
  </si>
  <si>
    <t>8444 Willow Glen Ct</t>
  </si>
  <si>
    <t>JAMES P SILK JR</t>
  </si>
  <si>
    <t>JAMES PATRICK ADAMS</t>
  </si>
  <si>
    <t>3683 River Rd</t>
  </si>
  <si>
    <t>JAMES PIERCE</t>
  </si>
  <si>
    <t>6813 N River Rd</t>
  </si>
  <si>
    <t>3315 Aldringham Road</t>
  </si>
  <si>
    <t>JAMES POLLAUF</t>
  </si>
  <si>
    <t>3841 Burton Ave</t>
  </si>
  <si>
    <t>JAMES POPE</t>
  </si>
  <si>
    <t>615 Chatham Ct</t>
  </si>
  <si>
    <t>JAMES R BAUM</t>
  </si>
  <si>
    <t>1415 N Raab Rd</t>
  </si>
  <si>
    <t>JAMES R HACKNEY</t>
  </si>
  <si>
    <t>5855 Meteor Ave</t>
  </si>
  <si>
    <t>James Ressler</t>
  </si>
  <si>
    <t>6436 Longfellow Road</t>
  </si>
  <si>
    <t>JAMES RICHARD VANWEY</t>
  </si>
  <si>
    <t>5066 Jamieson Dr Apt A3</t>
  </si>
  <si>
    <t>JAMES RODNEY SAINE</t>
  </si>
  <si>
    <t>928 Wall Street</t>
  </si>
  <si>
    <t>JAMES S JENKINS</t>
  </si>
  <si>
    <t>4258 Bonnie Brook Rd</t>
  </si>
  <si>
    <t>James Smith</t>
  </si>
  <si>
    <t>1784 Tecumseh St</t>
  </si>
  <si>
    <t>JAMES STANGO</t>
  </si>
  <si>
    <t>1127 Eastgate Rd</t>
  </si>
  <si>
    <t>JAMES STEWART</t>
  </si>
  <si>
    <t>12613 Airport Hwy</t>
  </si>
  <si>
    <t>JAMES THOMAS VAN BUREN</t>
  </si>
  <si>
    <t>2438 Georgetown Ave</t>
  </si>
  <si>
    <t>JAMES TYLER JOSLIN</t>
  </si>
  <si>
    <t>5906 Malden Ave</t>
  </si>
  <si>
    <t>James Wheeler</t>
  </si>
  <si>
    <t>912 Darlington Ave</t>
  </si>
  <si>
    <t>East Lansing</t>
  </si>
  <si>
    <t>JAMES WILLARD RHEGNESS</t>
  </si>
  <si>
    <t>4550 Eddington Ct</t>
  </si>
  <si>
    <t>Jami Clark</t>
  </si>
  <si>
    <t>5762 Summit St.</t>
  </si>
  <si>
    <t>JAMIE BECKER</t>
  </si>
  <si>
    <t>4107 Green Glen Rd</t>
  </si>
  <si>
    <t>Jamie Deen</t>
  </si>
  <si>
    <t>6153 Blossman Road</t>
  </si>
  <si>
    <t>JAMIE L PRATER</t>
  </si>
  <si>
    <t>4472 289Th St</t>
  </si>
  <si>
    <t>JAMIE L RILEY</t>
  </si>
  <si>
    <t>Jamie L. Copley Sansom</t>
  </si>
  <si>
    <t>4815 Luann Ave</t>
  </si>
  <si>
    <t>JAMIE NOWACKI</t>
  </si>
  <si>
    <t>2612 Claredale Rd</t>
  </si>
  <si>
    <t>JAMIE SMITH</t>
  </si>
  <si>
    <t>4213 Secor Rd Apt 329</t>
  </si>
  <si>
    <t>Jan Barnard</t>
  </si>
  <si>
    <t>2025 Boonedale Lane</t>
  </si>
  <si>
    <t>Versailles</t>
  </si>
  <si>
    <t>JAN M LAPOINT</t>
  </si>
  <si>
    <t>5546 Comet Ave</t>
  </si>
  <si>
    <t>JAN PHILLIP HECKLER</t>
  </si>
  <si>
    <t>2238 Farm View Ct</t>
  </si>
  <si>
    <t>JANAYE ANNE MCCLENDON</t>
  </si>
  <si>
    <t>610 Waverly Ave</t>
  </si>
  <si>
    <t>JANE A MCGRAW</t>
  </si>
  <si>
    <t>1730 Circular Rd</t>
  </si>
  <si>
    <t>JANEILE S CUDJOE MYERS</t>
  </si>
  <si>
    <t>5362 Darlene Dr</t>
  </si>
  <si>
    <t>Janel Montgomery</t>
  </si>
  <si>
    <t>3819 Woodmont Rd.</t>
  </si>
  <si>
    <t>JANELLE MARIE MATUSZAK</t>
  </si>
  <si>
    <t>9545 Saint Christine Ct</t>
  </si>
  <si>
    <t>JANET ESCHEDOR</t>
  </si>
  <si>
    <t>2705 102Nd St.</t>
  </si>
  <si>
    <t>JANET LYNNE BYLOW</t>
  </si>
  <si>
    <t>Po Box 853</t>
  </si>
  <si>
    <t>JANET LYNNE GRAY</t>
  </si>
  <si>
    <t>1000 Grasser St</t>
  </si>
  <si>
    <t>JANET M HOY GERLACH</t>
  </si>
  <si>
    <t>2425 Ashborne Pl</t>
  </si>
  <si>
    <t>JANET NELSON</t>
  </si>
  <si>
    <t>1640 Cone St</t>
  </si>
  <si>
    <t>JANICE E DELEON</t>
  </si>
  <si>
    <t>621 Robindale Ave</t>
  </si>
  <si>
    <t>JANICE L TOROK</t>
  </si>
  <si>
    <t>602 Carlton St</t>
  </si>
  <si>
    <t>JANICE LYNN ZRAIK</t>
  </si>
  <si>
    <t>212 Stillwater Dr</t>
  </si>
  <si>
    <t>JANIS M DAMICO</t>
  </si>
  <si>
    <t>6201 W Pembridge Dr</t>
  </si>
  <si>
    <t>JANIS M WALCZAK</t>
  </si>
  <si>
    <t>2824 Back Bay Dr</t>
  </si>
  <si>
    <t>JANOWIECKI DAVID</t>
  </si>
  <si>
    <t>723 Southover Rd</t>
  </si>
  <si>
    <t>JAPHET OPOKU ACHEAMPONG</t>
  </si>
  <si>
    <t>7229 Jamesford Dr</t>
  </si>
  <si>
    <t>Jaramie Fenimore</t>
  </si>
  <si>
    <t>35 Manor Road, Apt A</t>
  </si>
  <si>
    <t>JARED DANIEL WEAVER</t>
  </si>
  <si>
    <t>721 S Westwood Ave</t>
  </si>
  <si>
    <t>Jared Denman</t>
  </si>
  <si>
    <t>10735 County Road O</t>
  </si>
  <si>
    <t>JARED HANNA</t>
  </si>
  <si>
    <t>5725 Tibaron Ln Apt 102</t>
  </si>
  <si>
    <t>JARED S THACKER</t>
  </si>
  <si>
    <t>2629 Alisdale Dr Apt 202</t>
  </si>
  <si>
    <t>JARED THACKER</t>
  </si>
  <si>
    <t>1748 Hinsdale Dr</t>
  </si>
  <si>
    <t>JAROUCHE AHMAD</t>
  </si>
  <si>
    <t>418 East Broadway</t>
  </si>
  <si>
    <t>JARRELL,COLETTE</t>
  </si>
  <si>
    <t>8830 Royal Oak Dr</t>
  </si>
  <si>
    <t>JASMINE CROSBY</t>
  </si>
  <si>
    <t>6325 Garden Rd Apt 78</t>
  </si>
  <si>
    <t>JASMINE DAVIS</t>
  </si>
  <si>
    <t>4133 Secor Rd Apt 318</t>
  </si>
  <si>
    <t>JASON A CORDER</t>
  </si>
  <si>
    <t>5026 Selma St</t>
  </si>
  <si>
    <t>JASON A HORNER</t>
  </si>
  <si>
    <t>5904 Everwood Rd</t>
  </si>
  <si>
    <t>JASON ALAN MILLER</t>
  </si>
  <si>
    <t>1472 Michigan Ave</t>
  </si>
  <si>
    <t>JASON ARRON FADELL</t>
  </si>
  <si>
    <t>3921 Rohr Dr</t>
  </si>
  <si>
    <t>JASON CANDLE</t>
  </si>
  <si>
    <t>753 Saint Annes Dr</t>
  </si>
  <si>
    <t>JASON CHARLES WELLS</t>
  </si>
  <si>
    <t>6176 Edgewater Dr</t>
  </si>
  <si>
    <t>JASON D MCALLISTER</t>
  </si>
  <si>
    <t>1741 Ashfield</t>
  </si>
  <si>
    <t>JASON DANIEL HOLLIDAY</t>
  </si>
  <si>
    <t>726 Hampton Ave</t>
  </si>
  <si>
    <t>Jason Dobson</t>
  </si>
  <si>
    <t>4812 287Th St.</t>
  </si>
  <si>
    <t>JASON ECCLESTON</t>
  </si>
  <si>
    <t>5511 302Nd St</t>
  </si>
  <si>
    <t>JASON ELLICK</t>
  </si>
  <si>
    <t>315 E Broadway St</t>
  </si>
  <si>
    <t>JASON HECK</t>
  </si>
  <si>
    <t>2644 Randall Dr</t>
  </si>
  <si>
    <t>JASON J OHN DERIAN</t>
  </si>
  <si>
    <t>266 Wallingford Dr</t>
  </si>
  <si>
    <t>JASON L BROWN</t>
  </si>
  <si>
    <t>3938 Burnham Ave</t>
  </si>
  <si>
    <t>JASON MCELFRESH</t>
  </si>
  <si>
    <t>1504 Twin Oaks Dr</t>
  </si>
  <si>
    <t>JASON MICHAEL DAWSON</t>
  </si>
  <si>
    <t>1750 Kedron St</t>
  </si>
  <si>
    <t>JASON MONTGOMERY FOLLAS</t>
  </si>
  <si>
    <t>871 Maple Ln</t>
  </si>
  <si>
    <t>JASON PIER</t>
  </si>
  <si>
    <t>4449 Bowen Rd</t>
  </si>
  <si>
    <t>JASON R BOGEL</t>
  </si>
  <si>
    <t>4927 Denbridge Dr</t>
  </si>
  <si>
    <t>JASON ROBERT ALESHIRE</t>
  </si>
  <si>
    <t>11624 Shaffer Rd</t>
  </si>
  <si>
    <t>JASON ROBERTSON</t>
  </si>
  <si>
    <t>7041 Harvester Rd</t>
  </si>
  <si>
    <t>JASON S BAKER</t>
  </si>
  <si>
    <t>5152 Yermo Dr</t>
  </si>
  <si>
    <t>Jason S Turner</t>
  </si>
  <si>
    <t>295 Crocker St</t>
  </si>
  <si>
    <t>Amhurst</t>
  </si>
  <si>
    <t>JASON TODD WARREN</t>
  </si>
  <si>
    <t>362 Rockingham St</t>
  </si>
  <si>
    <t>JASON ULMON PORTALA</t>
  </si>
  <si>
    <t>7343 Nebraska Ave</t>
  </si>
  <si>
    <t>JASON W APGAR</t>
  </si>
  <si>
    <t>2933 Rocksberry Ave</t>
  </si>
  <si>
    <t>JASON WILLIAM MILLS</t>
  </si>
  <si>
    <t>280 Middlebury Ln</t>
  </si>
  <si>
    <t>JASON WILLIAMS EARP</t>
  </si>
  <si>
    <t>4435 Candlewood Ln</t>
  </si>
  <si>
    <t>JAXON LEE DAVIS</t>
  </si>
  <si>
    <t>243 Ponderosa Dr</t>
  </si>
  <si>
    <t>JAY HILL</t>
  </si>
  <si>
    <t>2544 Heatherwyck Ct Apt 4</t>
  </si>
  <si>
    <t>JAY MICHAEL JENKINS</t>
  </si>
  <si>
    <t>4517 Talmadge Green Rd</t>
  </si>
  <si>
    <t>JAY P FARIS</t>
  </si>
  <si>
    <t>4744 Navarre Ave Unit 15</t>
  </si>
  <si>
    <t>JAYDEN ASHLEE-MYS WALLACE</t>
  </si>
  <si>
    <t>4131 Isadore Ln</t>
  </si>
  <si>
    <t>Jaylon Thomas</t>
  </si>
  <si>
    <t>JC PENNEY</t>
  </si>
  <si>
    <t>6501 Legacy Drive</t>
  </si>
  <si>
    <t>Plano</t>
  </si>
  <si>
    <t>JEAN M COOK</t>
  </si>
  <si>
    <t>1727 Christopher Ln</t>
  </si>
  <si>
    <t>JEAN RENEE LEITCH</t>
  </si>
  <si>
    <t>3759 Branch Dr</t>
  </si>
  <si>
    <t>Jean Vermilyea</t>
  </si>
  <si>
    <t>3917 Airport Hwy, Apt. 9</t>
  </si>
  <si>
    <t>2024 Est 0346 - Estate Of David T. Radzimoski</t>
  </si>
  <si>
    <t>JEANETTA DUREN</t>
  </si>
  <si>
    <t>5956 Walnut Cir, Apt A</t>
  </si>
  <si>
    <t>JEANETTA LYNN JONES</t>
  </si>
  <si>
    <t>565 Williamsdale Dr</t>
  </si>
  <si>
    <t>JEANIE KAY LISK</t>
  </si>
  <si>
    <t>2334 Brookridge Dr</t>
  </si>
  <si>
    <t>Jeanine Young</t>
  </si>
  <si>
    <t>2321 Tremainsville</t>
  </si>
  <si>
    <t>2022 Adp 34 (Young)</t>
  </si>
  <si>
    <t>JEANNE L GOETZ</t>
  </si>
  <si>
    <t>2445 Georgetown Ave</t>
  </si>
  <si>
    <t>JEANNE MARIE LEDOUX</t>
  </si>
  <si>
    <t>2418 Charlestown Ave</t>
  </si>
  <si>
    <t>JEANNE SCHWARTZ</t>
  </si>
  <si>
    <t>2356 Green Valley Dr</t>
  </si>
  <si>
    <t>JEFF RICE</t>
  </si>
  <si>
    <t>1951 Connecticut Blvd, Rescare Connecticut</t>
  </si>
  <si>
    <t>JEFFEREY F HAMERNIK</t>
  </si>
  <si>
    <t>927 Ogden Ave</t>
  </si>
  <si>
    <t>JEFFERSON SAMPSON</t>
  </si>
  <si>
    <t>5627 Glasgow</t>
  </si>
  <si>
    <t>Jeffery Damm</t>
  </si>
  <si>
    <t>2020 Est 1417 - Est. Of Marlene A. Damm</t>
  </si>
  <si>
    <t>JEFFERY FOWLER</t>
  </si>
  <si>
    <t>3738 Donegal Dr</t>
  </si>
  <si>
    <t>JEFFERY J MOSES</t>
  </si>
  <si>
    <t>2300 Albon Rd</t>
  </si>
  <si>
    <t>Jeffery Jones</t>
  </si>
  <si>
    <t>Po Box 1333</t>
  </si>
  <si>
    <t>Hamilton</t>
  </si>
  <si>
    <t>JEFFERY STRAYER</t>
  </si>
  <si>
    <t>Po Box 484</t>
  </si>
  <si>
    <t>JEFFREY A MCCOY</t>
  </si>
  <si>
    <t>455 W Capistrano Ave</t>
  </si>
  <si>
    <t>JEFFREY A SLADE</t>
  </si>
  <si>
    <t>4546 Sulgrave Dr</t>
  </si>
  <si>
    <t>JEFFREY A ZUCCARELL</t>
  </si>
  <si>
    <t>5455 Gay St</t>
  </si>
  <si>
    <t>JEFFREY ALBERTS</t>
  </si>
  <si>
    <t>5546 Brook Point Rd</t>
  </si>
  <si>
    <t>JEFFREY BUEHRER</t>
  </si>
  <si>
    <t>3809 Garrison Road</t>
  </si>
  <si>
    <t>JEFFREY BUHROW</t>
  </si>
  <si>
    <t>116 Linda Ln</t>
  </si>
  <si>
    <t>JEFFREY D ERD</t>
  </si>
  <si>
    <t>1801 Connecticut Blvd</t>
  </si>
  <si>
    <t>JEFFREY DAVID MACKEY</t>
  </si>
  <si>
    <t>330 N Decant Rd</t>
  </si>
  <si>
    <t>JEFFREY FORD RHYMER</t>
  </si>
  <si>
    <t>3013 Glenn St</t>
  </si>
  <si>
    <t>JEFFREY G WILLIAM LLC</t>
  </si>
  <si>
    <t>2348 Baton Rouge Avenue</t>
  </si>
  <si>
    <t>JEFFREY HEHL</t>
  </si>
  <si>
    <t>2924 Lutaway</t>
  </si>
  <si>
    <t>JEFFREY JOHN DREPS</t>
  </si>
  <si>
    <t>5862 Holly Glenn Dr</t>
  </si>
  <si>
    <t>JEFFREY L YUILLE</t>
  </si>
  <si>
    <t>5001 South Ave Lot 31</t>
  </si>
  <si>
    <t>JEFFREY LOUIS KATZ</t>
  </si>
  <si>
    <t>2177 Queensdale Ct</t>
  </si>
  <si>
    <t>JEFFREY LOVEDAY</t>
  </si>
  <si>
    <t>1718 Mahala St</t>
  </si>
  <si>
    <t>JEFFREY M CLAUGUS</t>
  </si>
  <si>
    <t>5323 Fleet Rd</t>
  </si>
  <si>
    <t>JEFFREY M MATUSZAK</t>
  </si>
  <si>
    <t>5921 Suzanne Dr</t>
  </si>
  <si>
    <t>JEFFREY MATTHEW CAPUTO</t>
  </si>
  <si>
    <t>5512 Ginger Tree Ln</t>
  </si>
  <si>
    <t>JEFFREY MICHAEL BROWN</t>
  </si>
  <si>
    <t>7039 Nightingale Dr</t>
  </si>
  <si>
    <t>JEFFREY MICHAEL BRUBAKER</t>
  </si>
  <si>
    <t>8125 Erie St</t>
  </si>
  <si>
    <t>JEFFREY MICHAEL WRIGHT</t>
  </si>
  <si>
    <t>4505 Cherry Creek Ln</t>
  </si>
  <si>
    <t>JEFFREY N SHEPHERD</t>
  </si>
  <si>
    <t>233 Harold Ave</t>
  </si>
  <si>
    <t>Jeffrey Nicholson</t>
  </si>
  <si>
    <t>1702 Copley Dr</t>
  </si>
  <si>
    <t>JEFFREY OLLIGSCHLAGER</t>
  </si>
  <si>
    <t>835 Maple Ln</t>
  </si>
  <si>
    <t>JEFFREY R BEERY</t>
  </si>
  <si>
    <t>2010 S Holland Sylvania Rd</t>
  </si>
  <si>
    <t>JEFFREY R LONG</t>
  </si>
  <si>
    <t>8737 Linden Lake Rd</t>
  </si>
  <si>
    <t>JEFFREY ROSEMAN</t>
  </si>
  <si>
    <t>1845 Birdie Dr</t>
  </si>
  <si>
    <t>JEFFREY WILLIAM ARNOLD</t>
  </si>
  <si>
    <t>1962 Firlawn Dr</t>
  </si>
  <si>
    <t>JEFFREY WILLIAM MENTEL</t>
  </si>
  <si>
    <t>4802 293Rd St</t>
  </si>
  <si>
    <t>JEFFRIES CORNELL SR &amp; SHIRLEY A</t>
  </si>
  <si>
    <t>1016 Fries Ave</t>
  </si>
  <si>
    <t>JEMI RYAN</t>
  </si>
  <si>
    <t>1119 S Wheeling St                        Apt C28</t>
  </si>
  <si>
    <t>JENA J O MILLER</t>
  </si>
  <si>
    <t>5843 Sweetgum Dr</t>
  </si>
  <si>
    <t>JENISE LARUE JONES</t>
  </si>
  <si>
    <t>525 E Woodruff Ave Apt 605</t>
  </si>
  <si>
    <t>JENNA M BRENAMEN</t>
  </si>
  <si>
    <t>2041 Southmoor Dr</t>
  </si>
  <si>
    <t>JENNA PAWLACZYK</t>
  </si>
  <si>
    <t>4152 Drummond Rd</t>
  </si>
  <si>
    <t>JENNICE MOYLAN</t>
  </si>
  <si>
    <t>2181 Eastbrook Dr</t>
  </si>
  <si>
    <t>JENNIFER A BLOCK</t>
  </si>
  <si>
    <t>5837 Viramar Rd</t>
  </si>
  <si>
    <t>JENNIFER A BONNICE</t>
  </si>
  <si>
    <t>1065 Cardinal Bay Dr</t>
  </si>
  <si>
    <t>JENNIFER A CRAWFORD</t>
  </si>
  <si>
    <t>251 Elgin Ave</t>
  </si>
  <si>
    <t>JENNIFER A JOHNSON</t>
  </si>
  <si>
    <t>1146 Kirk St</t>
  </si>
  <si>
    <t>JENNIFER A KELCH</t>
  </si>
  <si>
    <t>6530 Brint Rd Apt 4</t>
  </si>
  <si>
    <t>Jennifer Antonini</t>
  </si>
  <si>
    <t>6591 W. Central Ave., #100</t>
  </si>
  <si>
    <t>2020 Est 917 - Est. Of Joe K. Sawyer</t>
  </si>
  <si>
    <t>6591 W. Central Ave., Ste. 100</t>
  </si>
  <si>
    <t>2021 Est 000101 - Est. Of Domonique Hopings</t>
  </si>
  <si>
    <t>JENNIFER BERGERON</t>
  </si>
  <si>
    <t>Po Box 210040</t>
  </si>
  <si>
    <t>JENNIFER BOLDT</t>
  </si>
  <si>
    <t>3426 E Lincolnshire Blvd</t>
  </si>
  <si>
    <t>JENNIFER BRADFIELD</t>
  </si>
  <si>
    <t>9515 Burnham Dr. Nw</t>
  </si>
  <si>
    <t>Gig Harbor</t>
  </si>
  <si>
    <t>JENNIFER BROTHERS</t>
  </si>
  <si>
    <t>6125 Everwood Rd</t>
  </si>
  <si>
    <t>JENNIFER BROWN</t>
  </si>
  <si>
    <t>2603 Oak Grove Pl</t>
  </si>
  <si>
    <t>JENNIFER ELIZABETH KOEHL</t>
  </si>
  <si>
    <t>9 Hidden Valley Dr Apt 2</t>
  </si>
  <si>
    <t>JENNIFER FINLEY</t>
  </si>
  <si>
    <t>2504 Cranbrook Rd</t>
  </si>
  <si>
    <t>JENNIFER GREEN</t>
  </si>
  <si>
    <t>5266 Kellogg Rd</t>
  </si>
  <si>
    <t>JENNIFER HALL</t>
  </si>
  <si>
    <t>4638 Harvest Ln</t>
  </si>
  <si>
    <t>Jennifer Homier</t>
  </si>
  <si>
    <t>3230 Centennial Rd. Lot 144</t>
  </si>
  <si>
    <t>JENNIFER J OANNE DUNLAP</t>
  </si>
  <si>
    <t>5904 Highland View Dr</t>
  </si>
  <si>
    <t>JENNIFER JEAN FRIEND</t>
  </si>
  <si>
    <t>6201 Douglas Rd</t>
  </si>
  <si>
    <t>JENNIFER JUSTINA LEE</t>
  </si>
  <si>
    <t>5163 Fairgreen Dr</t>
  </si>
  <si>
    <t>JENNIFER L MIZELLE</t>
  </si>
  <si>
    <t>3413 Jeannette Ave</t>
  </si>
  <si>
    <t>JENNIFER L SIMMONS</t>
  </si>
  <si>
    <t>5918 Bonsels Pkwy</t>
  </si>
  <si>
    <t>JENNIFER LEE HAMILTON</t>
  </si>
  <si>
    <t>527 Danberry St</t>
  </si>
  <si>
    <t>JENNIFER LYNN GILLEY</t>
  </si>
  <si>
    <t>1977 Cherrylawn Dr</t>
  </si>
  <si>
    <t>JENNIFER LYNN GREEN</t>
  </si>
  <si>
    <t>2351 Cheltenham Rd</t>
  </si>
  <si>
    <t>JENNIFER LYNN MCCOY</t>
  </si>
  <si>
    <t>3710 Larchmont Pkwy</t>
  </si>
  <si>
    <t>JENNIFER LYNN SMITH</t>
  </si>
  <si>
    <t>13520 Bancroft St</t>
  </si>
  <si>
    <t>JENNIFER LYNN WHITE</t>
  </si>
  <si>
    <t>6010 Angleview Dr</t>
  </si>
  <si>
    <t>JENNIFER LYNNE HEYMAN</t>
  </si>
  <si>
    <t>9949 S Blue Prairie Dr</t>
  </si>
  <si>
    <t>JENNIFER M DRAKE</t>
  </si>
  <si>
    <t>3624 Drexel Dr</t>
  </si>
  <si>
    <t>JENNIFER MARIE DEMARS</t>
  </si>
  <si>
    <t>3716 Grantley Rd</t>
  </si>
  <si>
    <t>JENNIFER MARIE PEREZ</t>
  </si>
  <si>
    <t>2423 S Holland Sylvania Rd   Apt 241</t>
  </si>
  <si>
    <t>JENNIFER MARIE SHIELDS</t>
  </si>
  <si>
    <t>4349 Westway St</t>
  </si>
  <si>
    <t>JENNIFER MARY BADONI</t>
  </si>
  <si>
    <t>536 Forest Lake Dr</t>
  </si>
  <si>
    <t>JENNIFER N LOSEK</t>
  </si>
  <si>
    <t>12720 Neapolis Waterville Rd</t>
  </si>
  <si>
    <t>JENNIFER PAIGE LORENZ</t>
  </si>
  <si>
    <t>2805 Merrimac Blvd</t>
  </si>
  <si>
    <t>JENNIFER RAE HILVERS</t>
  </si>
  <si>
    <t>5763 W Candlestick Ct</t>
  </si>
  <si>
    <t>JENNIFER RENEE CARTER CORNELL</t>
  </si>
  <si>
    <t>2626 Overbrook Dr</t>
  </si>
  <si>
    <t>JENNIFER RENEE ENGELMANN</t>
  </si>
  <si>
    <t>6049 Holliday Dr</t>
  </si>
  <si>
    <t>JENNIFER RENEE WALLACE</t>
  </si>
  <si>
    <t>2007 Harlan Rd</t>
  </si>
  <si>
    <t>JENNIFER ROSS</t>
  </si>
  <si>
    <t>2617 104Th St</t>
  </si>
  <si>
    <t>JENNIFER S NAGLE</t>
  </si>
  <si>
    <t>6853 Deer Ridge Rd Apt 40</t>
  </si>
  <si>
    <t>Jennifer Sammons</t>
  </si>
  <si>
    <t>36 Triangle Ave</t>
  </si>
  <si>
    <t>Oakwood</t>
  </si>
  <si>
    <t>209 Earnshaw Dr</t>
  </si>
  <si>
    <t>Kettering</t>
  </si>
  <si>
    <t>JENNIFER SCANLON</t>
  </si>
  <si>
    <t>710 N Mccord Rd</t>
  </si>
  <si>
    <t>JENNIFER SUMMERS</t>
  </si>
  <si>
    <t>5702 Angola Rd Lot 76</t>
  </si>
  <si>
    <t>JENNIFER SWAIN</t>
  </si>
  <si>
    <t>7335 Kenilworth Dr</t>
  </si>
  <si>
    <t>JEQUILLAN BOWERS</t>
  </si>
  <si>
    <t>3204 Elmont Rd</t>
  </si>
  <si>
    <t>Jeremiah Delgado</t>
  </si>
  <si>
    <t>1966 N. Erie</t>
  </si>
  <si>
    <t>JEREMIAH L BUCKMASTER</t>
  </si>
  <si>
    <t>2548 Woodfox Dr.</t>
  </si>
  <si>
    <t>JEREMY A BURNAT</t>
  </si>
  <si>
    <t>571 Robindale Ave</t>
  </si>
  <si>
    <t>JEREMY D IRELAN</t>
  </si>
  <si>
    <t>6157 S Chanticleer Dr</t>
  </si>
  <si>
    <t>JEREMY D PRATT</t>
  </si>
  <si>
    <t>2618 Bleeker St</t>
  </si>
  <si>
    <t>JEREMY E DUPREE</t>
  </si>
  <si>
    <t>2923 Woodhurst Dr</t>
  </si>
  <si>
    <t>JEREMY ELLISON</t>
  </si>
  <si>
    <t>4115 Arnelle Dr</t>
  </si>
  <si>
    <t>JEREMY GILPIN</t>
  </si>
  <si>
    <t>8048 Airport Hwy</t>
  </si>
  <si>
    <t>JEREMY JACOB ZENZ</t>
  </si>
  <si>
    <t>6869 Shooters Hill Rd</t>
  </si>
  <si>
    <t>JEREMY JAMES LANDIS</t>
  </si>
  <si>
    <t>4322 Vermaas Ave</t>
  </si>
  <si>
    <t>JEREMY JAMES RICHARDSON</t>
  </si>
  <si>
    <t>11020 Stiles Rd</t>
  </si>
  <si>
    <t>JEREMY JESSICA</t>
  </si>
  <si>
    <t>26487 Woodland Ct</t>
  </si>
  <si>
    <t>JEREMY JOHNSON</t>
  </si>
  <si>
    <t>4149 Brogan Dr</t>
  </si>
  <si>
    <t>JEREMY LEVINE</t>
  </si>
  <si>
    <t>2726 Gracewood Rd</t>
  </si>
  <si>
    <t>JEREMY M LOSEK</t>
  </si>
  <si>
    <t>116 Alter Ave</t>
  </si>
  <si>
    <t>JEREMY MICHAEL VANLERBERG</t>
  </si>
  <si>
    <t>1064 Atlantic Ave</t>
  </si>
  <si>
    <t>JEREMY R BARR</t>
  </si>
  <si>
    <t>5723 Mallard Pointe Ln</t>
  </si>
  <si>
    <t>JEREMY SCOTT WILLIAMS</t>
  </si>
  <si>
    <t>5872 Ryewyck Dr</t>
  </si>
  <si>
    <t>Jerica Saffold</t>
  </si>
  <si>
    <t>6627 W. Bancroft St, Apt 73J</t>
  </si>
  <si>
    <t>JERMAINE CHARLES SCRIBNER</t>
  </si>
  <si>
    <t>1206 Independence Rd</t>
  </si>
  <si>
    <t>JEROME BERNARD</t>
  </si>
  <si>
    <t>1902 Atwood Rd</t>
  </si>
  <si>
    <t>JERRETT RODERICK</t>
  </si>
  <si>
    <t>6111 Rambo Ln</t>
  </si>
  <si>
    <t>JERRY A EHLERT</t>
  </si>
  <si>
    <t>2719 Manchester Blvd</t>
  </si>
  <si>
    <t>Jerry Carnell Kelly Jr</t>
  </si>
  <si>
    <t>Jerry Purcel</t>
  </si>
  <si>
    <t>3230 Central Park West, Ste.106</t>
  </si>
  <si>
    <t>2022 Adp 130 - Adp. (Ingram)</t>
  </si>
  <si>
    <t>JESSE E ECK</t>
  </si>
  <si>
    <t>2516 Westbury Ct</t>
  </si>
  <si>
    <t>JESSE IVEY</t>
  </si>
  <si>
    <t>3105 Navarre Ave Apt 1D</t>
  </si>
  <si>
    <t>JESSE JAY SMITH</t>
  </si>
  <si>
    <t>2625 Fremont Street</t>
  </si>
  <si>
    <t>JESSE L EMMERICH</t>
  </si>
  <si>
    <t>7220 Nightingale Dr Apt 9</t>
  </si>
  <si>
    <t>JESSE PETHTEL</t>
  </si>
  <si>
    <t>1732 Brownstone Blvd Apt C</t>
  </si>
  <si>
    <t>JESSE PHENIX</t>
  </si>
  <si>
    <t>1211 Buckingham St</t>
  </si>
  <si>
    <t>Jesse Sayre</t>
  </si>
  <si>
    <t>9519 Pawnee Way</t>
  </si>
  <si>
    <t>New Haven</t>
  </si>
  <si>
    <t>JESSE SHUFELDT</t>
  </si>
  <si>
    <t>6510 Antoinette Ln</t>
  </si>
  <si>
    <t>Jessi Johnson</t>
  </si>
  <si>
    <t>1800 N Mccord Rd, Bldg P-170</t>
  </si>
  <si>
    <t>JESSICA BAKER</t>
  </si>
  <si>
    <t>3523 Cedardale Ct</t>
  </si>
  <si>
    <t>JESSICA BERGER</t>
  </si>
  <si>
    <t>5875 Yermo, Apt E4</t>
  </si>
  <si>
    <t>JESSICA BURKS</t>
  </si>
  <si>
    <t>3815 Rushland Ave</t>
  </si>
  <si>
    <t>JESSICA CHAPA</t>
  </si>
  <si>
    <t>1706 Ashfield Dr</t>
  </si>
  <si>
    <t>JESSICA CORIN NIED</t>
  </si>
  <si>
    <t>3230 Glenn St</t>
  </si>
  <si>
    <t>JESSICA FERENCZ</t>
  </si>
  <si>
    <t>1706 Heatherdowns Blvd</t>
  </si>
  <si>
    <t>JESSICA H SCHULTZ</t>
  </si>
  <si>
    <t>561 Apple Ave</t>
  </si>
  <si>
    <t>Jessica Hancock</t>
  </si>
  <si>
    <t>2638 Glenwood Ave.</t>
  </si>
  <si>
    <t>JESSICA HUERTA</t>
  </si>
  <si>
    <t>1927 Harland</t>
  </si>
  <si>
    <t>JESSICA L BURKHARDT</t>
  </si>
  <si>
    <t>4286 Monroe St Apt 4</t>
  </si>
  <si>
    <t>JESSICA L PERKINS</t>
  </si>
  <si>
    <t>1648 Stanbery Ct</t>
  </si>
  <si>
    <t>JESSICA LYN BAKER</t>
  </si>
  <si>
    <t>2559 Plum Leaf Ln Apt C</t>
  </si>
  <si>
    <t>JESSICA MERITA OGBURN</t>
  </si>
  <si>
    <t>1024 Schmidlin Rd</t>
  </si>
  <si>
    <t>JESSICA MORRISON</t>
  </si>
  <si>
    <t>3409 Algonquin Pkwy</t>
  </si>
  <si>
    <t>JESSICA N DEPEW</t>
  </si>
  <si>
    <t>3545 Dixie Dr</t>
  </si>
  <si>
    <t>JESSICA PAMONAE AMOS</t>
  </si>
  <si>
    <t>1648 Archwood Ln</t>
  </si>
  <si>
    <t>JESSICA RUTHANN DERR</t>
  </si>
  <si>
    <t>558 S Edward St</t>
  </si>
  <si>
    <t>Jessica S Morales</t>
  </si>
  <si>
    <t>304 E Alexis Rd</t>
  </si>
  <si>
    <t>JESSICA S RODGERS</t>
  </si>
  <si>
    <t>2470 Grantwood Dr</t>
  </si>
  <si>
    <t>JESSICA SOBOLEWSKI</t>
  </si>
  <si>
    <t>8340 W Bancroft St</t>
  </si>
  <si>
    <t>Jessica Tripp</t>
  </si>
  <si>
    <t>3313 Long Fellow Dr</t>
  </si>
  <si>
    <t>Belton</t>
  </si>
  <si>
    <t>Jessica Wright</t>
  </si>
  <si>
    <t>3860 Canada Southern</t>
  </si>
  <si>
    <t>JESSICA YOUNG</t>
  </si>
  <si>
    <t>2274 Timberlawn Rd</t>
  </si>
  <si>
    <t>JESUSA NAVIDAD ROJAS</t>
  </si>
  <si>
    <t>JETLEY SUDERSHAN</t>
  </si>
  <si>
    <t>1500 Riverview Court</t>
  </si>
  <si>
    <t>JETT,JOHN</t>
  </si>
  <si>
    <t>2731 Glendale Ave, Apt I</t>
  </si>
  <si>
    <t>JETTA C FRASER</t>
  </si>
  <si>
    <t>4336 Birchall Rd</t>
  </si>
  <si>
    <t>JILL ANN BRATTON</t>
  </si>
  <si>
    <t>4250 Heatherdowns Blvd</t>
  </si>
  <si>
    <t>JILL ANN SMITH</t>
  </si>
  <si>
    <t>443 Haley Dr</t>
  </si>
  <si>
    <t>JILL BRADNER WAMER</t>
  </si>
  <si>
    <t>2209 Chalmette Dr</t>
  </si>
  <si>
    <t>JILL ELISE HOFFMAN</t>
  </si>
  <si>
    <t>4331 Overland Pkwy</t>
  </si>
  <si>
    <t>Jill Narron</t>
  </si>
  <si>
    <t>543 Sylvandale</t>
  </si>
  <si>
    <t>JILL PERRETTI</t>
  </si>
  <si>
    <t>4645 Whitehouse Spencer Rd</t>
  </si>
  <si>
    <t>JILL R HEPNER</t>
  </si>
  <si>
    <t>5533 San Pedro Dr</t>
  </si>
  <si>
    <t>JILL SEARY</t>
  </si>
  <si>
    <t>1573 Heatherton Dr</t>
  </si>
  <si>
    <t>JIM &amp; JULIE LINDSAY</t>
  </si>
  <si>
    <t>3513 Cedar Creek Ct</t>
  </si>
  <si>
    <t>Jim White Honda</t>
  </si>
  <si>
    <t>1505 Reynolds</t>
  </si>
  <si>
    <t>JIMMIE ONEAL BURGESS</t>
  </si>
  <si>
    <t>720 Riverside Dr Apt 105</t>
  </si>
  <si>
    <t>JIVIDEN ALEXIS</t>
  </si>
  <si>
    <t>1597 Alandale</t>
  </si>
  <si>
    <t>JO ANNE FINCH</t>
  </si>
  <si>
    <t>9861 Waterville Neapolis Rd</t>
  </si>
  <si>
    <t>JOAN BASS</t>
  </si>
  <si>
    <t>4928 Hurley Drive</t>
  </si>
  <si>
    <t>JOAN DRZEWIECKI</t>
  </si>
  <si>
    <t>2319 Timberlawn Rd</t>
  </si>
  <si>
    <t>Joan M. Crosser</t>
  </si>
  <si>
    <t>P.O. Box 60436</t>
  </si>
  <si>
    <t>2012 Est 550 - Est. Of Latoya Riley</t>
  </si>
  <si>
    <t>JOAN MARTIN</t>
  </si>
  <si>
    <t>223 Willard St</t>
  </si>
  <si>
    <t>Joan Perez</t>
  </si>
  <si>
    <t>931 Prouty Ave</t>
  </si>
  <si>
    <t>JOAN WALKER</t>
  </si>
  <si>
    <t>7359 Wicklow Woods Dr</t>
  </si>
  <si>
    <t>Joann Briggs</t>
  </si>
  <si>
    <t>JOAS YVES</t>
  </si>
  <si>
    <t>JOCELYN BONGORNO</t>
  </si>
  <si>
    <t>5659 Knightsbridge Dr</t>
  </si>
  <si>
    <t>JOCELYN GEYER</t>
  </si>
  <si>
    <t>2549 Charlestown Ave</t>
  </si>
  <si>
    <t>JODI ANN MAROK GARZA</t>
  </si>
  <si>
    <t>2424 Morningdew Blvd</t>
  </si>
  <si>
    <t>JODI E SZABO</t>
  </si>
  <si>
    <t>5921 Rambo Lane</t>
  </si>
  <si>
    <t>JODI FRANKS</t>
  </si>
  <si>
    <t>920 Atkins St</t>
  </si>
  <si>
    <t>JODI S UPHAM</t>
  </si>
  <si>
    <t>539 Ansonia St</t>
  </si>
  <si>
    <t>Jody Borton</t>
  </si>
  <si>
    <t>3929 County Road 1</t>
  </si>
  <si>
    <t>JODY L DAVIS</t>
  </si>
  <si>
    <t>1009 Atlantic Ave</t>
  </si>
  <si>
    <t>JODY M SMALLEY</t>
  </si>
  <si>
    <t>417 Hertford Ct</t>
  </si>
  <si>
    <t>Joe and Joe Properties, LLC</t>
  </si>
  <si>
    <t>1845 Stahlwood Avenue</t>
  </si>
  <si>
    <t>JOE D MYRICE</t>
  </si>
  <si>
    <t>JOE DEAN SHORTRIDGE</t>
  </si>
  <si>
    <t>741 W Northgate Pkwy</t>
  </si>
  <si>
    <t>JOE H ETTS</t>
  </si>
  <si>
    <t>3132 Airport Hwy</t>
  </si>
  <si>
    <t>JOE H SKILLMAN</t>
  </si>
  <si>
    <t>2731 Bleeker St</t>
  </si>
  <si>
    <t>JOEL BREEDING</t>
  </si>
  <si>
    <t>3914 Mill Run Ct</t>
  </si>
  <si>
    <t>JOEL HOLLINGSWORTH</t>
  </si>
  <si>
    <t>1065 King St</t>
  </si>
  <si>
    <t>JOELLA L BURTSCHER</t>
  </si>
  <si>
    <t>440 Rochelle Rd</t>
  </si>
  <si>
    <t>Joes Auto</t>
  </si>
  <si>
    <t>3538 Holland Sylvania</t>
  </si>
  <si>
    <t>JOE-WILLIE SMITH</t>
  </si>
  <si>
    <t>1707 Ottawa Dr Apt Down</t>
  </si>
  <si>
    <t>JOHN A SODD</t>
  </si>
  <si>
    <t>5522 Lewis Ave</t>
  </si>
  <si>
    <t>John Amonett</t>
  </si>
  <si>
    <t>2841 Westchester Rd.</t>
  </si>
  <si>
    <t>JOHN ANDERSON</t>
  </si>
  <si>
    <t>4537 Belfair Ct</t>
  </si>
  <si>
    <t>John Ayling</t>
  </si>
  <si>
    <t>1070 Commerce Dr., Bldg.2, Ste. 303</t>
  </si>
  <si>
    <t>2017 Est 1755 - Est. Of Robert R. Ayling</t>
  </si>
  <si>
    <t>JOHN BAKER</t>
  </si>
  <si>
    <t>2224 Torrey Hill, #5</t>
  </si>
  <si>
    <t>JOHN BENJAMIN ROBERTS</t>
  </si>
  <si>
    <t>4547 Longfellow Rd</t>
  </si>
  <si>
    <t>JOHN BERMUDEZ</t>
  </si>
  <si>
    <t>643 White St</t>
  </si>
  <si>
    <t>JOHN CALDWELL</t>
  </si>
  <si>
    <t>JOHN CHARLES SYLVESTER</t>
  </si>
  <si>
    <t>5442 Bannockburn Dr</t>
  </si>
  <si>
    <t>JOHN CHRYSOCHOOS</t>
  </si>
  <si>
    <t>3731 Manchester Blvd</t>
  </si>
  <si>
    <t>JOHN CONYERS</t>
  </si>
  <si>
    <t>5351 Nebraska #107</t>
  </si>
  <si>
    <t>JOHN CURRAN</t>
  </si>
  <si>
    <t>424 W William St</t>
  </si>
  <si>
    <t>JOHN D GEORGIN</t>
  </si>
  <si>
    <t>7588 Central Parke Blvd</t>
  </si>
  <si>
    <t>JOHN DARNA HOWARD</t>
  </si>
  <si>
    <t>3904 Lockwood Ave</t>
  </si>
  <si>
    <t>JOHN DAVID KONECNY</t>
  </si>
  <si>
    <t>26 W Poinsetta Ave</t>
  </si>
  <si>
    <t>JOHN DRAEGER</t>
  </si>
  <si>
    <t>107 W Capistrano Ave</t>
  </si>
  <si>
    <t>JOHN EDWARD FLEISCHMANN</t>
  </si>
  <si>
    <t>1074 Valley Grove Dr</t>
  </si>
  <si>
    <t>JOHN ENGLER</t>
  </si>
  <si>
    <t>2914 Talmadge Rd</t>
  </si>
  <si>
    <t>JOHN EUGENE DICKENDASHER</t>
  </si>
  <si>
    <t>3037 Middlesex Dr</t>
  </si>
  <si>
    <t>JOHN EVANS</t>
  </si>
  <si>
    <t>5018 Chardonnay Ln</t>
  </si>
  <si>
    <t>JOHN G SOMERS</t>
  </si>
  <si>
    <t>7725 Bonniebrook Rd</t>
  </si>
  <si>
    <t>JOHN G VANHERSETT</t>
  </si>
  <si>
    <t>5116 Park Place Dr</t>
  </si>
  <si>
    <t>JOHN HARRIS</t>
  </si>
  <si>
    <t>425 Kenilworth Ave</t>
  </si>
  <si>
    <t>JOHN HEIL</t>
  </si>
  <si>
    <t>JOHN J NATTER</t>
  </si>
  <si>
    <t>11320 Sylvania Ave</t>
  </si>
  <si>
    <t>JOHN J SCHLAGETER</t>
  </si>
  <si>
    <t>3230 Central Park West Ste 200</t>
  </si>
  <si>
    <t>JOHN KELVIN ZIELINSKI</t>
  </si>
  <si>
    <t>7640 Hidden Springs Dr</t>
  </si>
  <si>
    <t>JOHN KOWALSKI</t>
  </si>
  <si>
    <t>112 River Side Dr</t>
  </si>
  <si>
    <t>JOHN LAGGER</t>
  </si>
  <si>
    <t>2907 Eastmoreland Dr</t>
  </si>
  <si>
    <t>JOHN M GARNER</t>
  </si>
  <si>
    <t>1213 Richland St</t>
  </si>
  <si>
    <t>JOHN M KAHL</t>
  </si>
  <si>
    <t>3968 Kimberton Dr</t>
  </si>
  <si>
    <t>JOHN M KOWALSKI</t>
  </si>
  <si>
    <t>2823 Tarrytowne Dr</t>
  </si>
  <si>
    <t>JOHN M MCTIGUE</t>
  </si>
  <si>
    <t>744 Mayfair Blvd</t>
  </si>
  <si>
    <t>JOHN MALKOSKI</t>
  </si>
  <si>
    <t>2014 Ketner Ave</t>
  </si>
  <si>
    <t>JOHN MASON</t>
  </si>
  <si>
    <t>2217 Hickory St</t>
  </si>
  <si>
    <t>JOHN MICHAEL BALONEK</t>
  </si>
  <si>
    <t>2631 Sherbrooke Rd</t>
  </si>
  <si>
    <t>John Miles Chevrolet, Inc.</t>
  </si>
  <si>
    <t>950 Dogwood Dr</t>
  </si>
  <si>
    <t>Conyers</t>
  </si>
  <si>
    <t>JOHN N MAUDER</t>
  </si>
  <si>
    <t>3761 Sherbrooke Rd</t>
  </si>
  <si>
    <t>John Norris</t>
  </si>
  <si>
    <t>143 Bromwich Lane</t>
  </si>
  <si>
    <t>JOHN ODONNELL</t>
  </si>
  <si>
    <t>1945 Richmond Rd</t>
  </si>
  <si>
    <t>JOHN P MIKESELL</t>
  </si>
  <si>
    <t>1830 Rose Arbor Dr</t>
  </si>
  <si>
    <t>John P. Zima, Esq.</t>
  </si>
  <si>
    <t>316 N. Michigan St. Suite 303</t>
  </si>
  <si>
    <t>JOHN POTTS</t>
  </si>
  <si>
    <t>420 Madison Ave Suite 630</t>
  </si>
  <si>
    <t>John Robles</t>
  </si>
  <si>
    <t>6003 Sunset Knoll Ln</t>
  </si>
  <si>
    <t>Katy</t>
  </si>
  <si>
    <t>John Saunders</t>
  </si>
  <si>
    <t>468 Trebisky Rd</t>
  </si>
  <si>
    <t>Richmond Heights</t>
  </si>
  <si>
    <t>JOHN W YERMAN</t>
  </si>
  <si>
    <t>John W. Rozic</t>
  </si>
  <si>
    <t>6135 Trust Dr., Ste. 115</t>
  </si>
  <si>
    <t>121179 - Est. Of Carl C. Goulding</t>
  </si>
  <si>
    <t>JOHN WALTER ADE GOUTTIERE</t>
  </si>
  <si>
    <t>8066 Bridgehampton Dr</t>
  </si>
  <si>
    <t>JOHNATHON A GARDNER</t>
  </si>
  <si>
    <t>2459 Country Squire Ln</t>
  </si>
  <si>
    <t>JOHNATHON BEBEAU</t>
  </si>
  <si>
    <t>1208 Higley St</t>
  </si>
  <si>
    <t>JOHNNNY PLATA</t>
  </si>
  <si>
    <t>7360 Monclova Rd</t>
  </si>
  <si>
    <t>JOHNSON AND ASSOCIATES</t>
  </si>
  <si>
    <t>3335 Meijer Dr Suite 200</t>
  </si>
  <si>
    <t>JOHNSON APRIL</t>
  </si>
  <si>
    <t>868 Berry St</t>
  </si>
  <si>
    <t>JOHNSON BRIAN</t>
  </si>
  <si>
    <t>246 E Streicher</t>
  </si>
  <si>
    <t>JOHNSON BROS. FURNITURE CO.</t>
  </si>
  <si>
    <t>2600 Sylvania Avenue</t>
  </si>
  <si>
    <t>JOHNSON DERRION</t>
  </si>
  <si>
    <t>3527 Northwood</t>
  </si>
  <si>
    <t>JOHNSON HAKEEM</t>
  </si>
  <si>
    <t>JOHNSON IAN</t>
  </si>
  <si>
    <t>716 White St</t>
  </si>
  <si>
    <t>JOHNSON JAMAR</t>
  </si>
  <si>
    <t>336 Cumberland</t>
  </si>
  <si>
    <t>JOHNSON JARRETT</t>
  </si>
  <si>
    <t>4208 N Terrace</t>
  </si>
  <si>
    <t>JOHNSON JORDAN</t>
  </si>
  <si>
    <t>104 North State Route 101</t>
  </si>
  <si>
    <t>JOHNSON JOVAN</t>
  </si>
  <si>
    <t>3311 Arlington</t>
  </si>
  <si>
    <t>JOHNSON KRYSTAL</t>
  </si>
  <si>
    <t>25200 Chagrin Ste 200</t>
  </si>
  <si>
    <t>JOHNSON MARSHA</t>
  </si>
  <si>
    <t>1002 Harding</t>
  </si>
  <si>
    <t>JOHNSON MICHAEL D</t>
  </si>
  <si>
    <t>129 E Harbor View</t>
  </si>
  <si>
    <t>Harbor View</t>
  </si>
  <si>
    <t>JOHNSON RICK</t>
  </si>
  <si>
    <t>825 Wylie</t>
  </si>
  <si>
    <t>JOHNSON TYLER</t>
  </si>
  <si>
    <t>322 Bronson</t>
  </si>
  <si>
    <t>JOHNSON TYRONE</t>
  </si>
  <si>
    <t>703 Nancy</t>
  </si>
  <si>
    <t>Johnson, Janice</t>
  </si>
  <si>
    <t>JOHNSON,PATRICIA</t>
  </si>
  <si>
    <t>P.O. Box 80122</t>
  </si>
  <si>
    <t>JOHNSON,PAULETTE</t>
  </si>
  <si>
    <t>610 Stickney Ave, Apt 1301</t>
  </si>
  <si>
    <t>JOHNSTON DOROTHY</t>
  </si>
  <si>
    <t>329 Heffner Street</t>
  </si>
  <si>
    <t>JOHNTE STACKER</t>
  </si>
  <si>
    <t>JOLENE ANN MILLER</t>
  </si>
  <si>
    <t>4255 Weckerly Rd</t>
  </si>
  <si>
    <t>JON DAVID LOUCKS</t>
  </si>
  <si>
    <t>1241 Kirk St</t>
  </si>
  <si>
    <t>JON HOUSER</t>
  </si>
  <si>
    <t>7711 Winter Sweet Dr</t>
  </si>
  <si>
    <t>JON L HERDMAN</t>
  </si>
  <si>
    <t>5501 Fleet Rd</t>
  </si>
  <si>
    <t>JON L LEFEVRE</t>
  </si>
  <si>
    <t>3531 Homewood Ave</t>
  </si>
  <si>
    <t>JON M SANCRANT</t>
  </si>
  <si>
    <t>311 Danberry St</t>
  </si>
  <si>
    <t>Jon M. Drouillard</t>
  </si>
  <si>
    <t>4644 Springbrook Dr.</t>
  </si>
  <si>
    <t>JON RODRIGUEZ</t>
  </si>
  <si>
    <t>944 Colburn St</t>
  </si>
  <si>
    <t>JON WARREN JONES</t>
  </si>
  <si>
    <t>5702 Angola Rd Lot 261</t>
  </si>
  <si>
    <t>JONAH J ROSZCZIPKA</t>
  </si>
  <si>
    <t>4608 N May Ave</t>
  </si>
  <si>
    <t>JONATHAN BRAUER</t>
  </si>
  <si>
    <t>5033 Rudgate Blvd</t>
  </si>
  <si>
    <t>JONATHAN EDWARD SIROIS</t>
  </si>
  <si>
    <t>7942 White Cap Ln</t>
  </si>
  <si>
    <t>JONATHAN HEPNER</t>
  </si>
  <si>
    <t>Jonathan Hoag</t>
  </si>
  <si>
    <t>7621 Yawberg Rd</t>
  </si>
  <si>
    <t>JONATHAN J AY BAGI</t>
  </si>
  <si>
    <t>12700 Brint Rd</t>
  </si>
  <si>
    <t>JONATHAN J LOCKIE</t>
  </si>
  <si>
    <t>11757 Neowash Rd</t>
  </si>
  <si>
    <t>JONATHAN MCENTIRE</t>
  </si>
  <si>
    <t>5434 Brook Point Rd</t>
  </si>
  <si>
    <t>JONATHAN N SEGUR</t>
  </si>
  <si>
    <t>3726 Stannard Dr.</t>
  </si>
  <si>
    <t>JONATHAN PETER FRIES</t>
  </si>
  <si>
    <t>5328 Fox Run</t>
  </si>
  <si>
    <t>JONATHAN RUSSELL HUFHAM</t>
  </si>
  <si>
    <t>9220 Noward Rd</t>
  </si>
  <si>
    <t>JONATHAN VARNER</t>
  </si>
  <si>
    <t>2414 Bucklew Dr</t>
  </si>
  <si>
    <t>JONES AND SOLOMON</t>
  </si>
  <si>
    <t>Two Martime Plaza Third Fl</t>
  </si>
  <si>
    <t>JONES ANTOINE</t>
  </si>
  <si>
    <t>1117 Jefferson</t>
  </si>
  <si>
    <t>JONES ANTWAN</t>
  </si>
  <si>
    <t>1420 Noble St</t>
  </si>
  <si>
    <t>JONES DANIELLE</t>
  </si>
  <si>
    <t>831 Walnut Street</t>
  </si>
  <si>
    <t>JONES JUSTIN</t>
  </si>
  <si>
    <t>1250 Prouty</t>
  </si>
  <si>
    <t>JONES LATOYA</t>
  </si>
  <si>
    <t>2661 Tremainsville Unit 101</t>
  </si>
  <si>
    <t>JONES LOUIS JOSEPH</t>
  </si>
  <si>
    <t>P.O. Box 162</t>
  </si>
  <si>
    <t>JONES LUCILLE</t>
  </si>
  <si>
    <t>JONES MONICA</t>
  </si>
  <si>
    <t>512 Whittemore</t>
  </si>
  <si>
    <t>JONES RACHEL</t>
  </si>
  <si>
    <t>5521 Harvest</t>
  </si>
  <si>
    <t>JONES RICKY</t>
  </si>
  <si>
    <t>615 Cherry</t>
  </si>
  <si>
    <t>JONES RONALD</t>
  </si>
  <si>
    <t>2134 Clinton</t>
  </si>
  <si>
    <t>JONES SAMANTHA</t>
  </si>
  <si>
    <t>4852 Round House</t>
  </si>
  <si>
    <t>JONES WES</t>
  </si>
  <si>
    <t>1822 Berkshire</t>
  </si>
  <si>
    <t>Jones, Kovohn</t>
  </si>
  <si>
    <t>1246 Colburn</t>
  </si>
  <si>
    <t>JONET BELTRAN</t>
  </si>
  <si>
    <t>411 W Dudley St</t>
  </si>
  <si>
    <t>JONNIE &amp; JULIUS TAYLOR</t>
  </si>
  <si>
    <t>2017 Circle Dr</t>
  </si>
  <si>
    <t>JONNIE TAYLOR</t>
  </si>
  <si>
    <t>JORDAN BURRIOLA</t>
  </si>
  <si>
    <t>1571 Hagley</t>
  </si>
  <si>
    <t>JORDAN CHARLES GREGORY</t>
  </si>
  <si>
    <t>1729 Glen Ellyn Dr</t>
  </si>
  <si>
    <t>JORDAN HENRY</t>
  </si>
  <si>
    <t>4644 Hannaford Dr</t>
  </si>
  <si>
    <t>JORDAN HEUKER</t>
  </si>
  <si>
    <t>4623 Lakeside Dr Unit 56</t>
  </si>
  <si>
    <t>JORDAN J MAAS</t>
  </si>
  <si>
    <t>10963 Southanne Ln</t>
  </si>
  <si>
    <t>JORDAN JAMES ANDREJAN</t>
  </si>
  <si>
    <t>7807 Empire Ct</t>
  </si>
  <si>
    <t>Jordan R Chasteen</t>
  </si>
  <si>
    <t>106 Pheasant Run Ct</t>
  </si>
  <si>
    <t>JORDAN STEPHEN STRACK</t>
  </si>
  <si>
    <t>3630 Prairie Ave</t>
  </si>
  <si>
    <t>Jordyn Wilkins</t>
  </si>
  <si>
    <t>3660 W. Lincolnshire Blvd.</t>
  </si>
  <si>
    <t>JOREY M SMART</t>
  </si>
  <si>
    <t>2340 Ann Dr</t>
  </si>
  <si>
    <t>JOSE ANGEL GARCIA</t>
  </si>
  <si>
    <t>1925 Brussels</t>
  </si>
  <si>
    <t>JOSE CARLOS PADILLA</t>
  </si>
  <si>
    <t>549 Eastern</t>
  </si>
  <si>
    <t>JOSE F CERVANTES</t>
  </si>
  <si>
    <t>2530 Spruce Loop Rd</t>
  </si>
  <si>
    <t>JOSE J TORRES SR</t>
  </si>
  <si>
    <t>4340 Packard</t>
  </si>
  <si>
    <t>JOSEPH A REAMS</t>
  </si>
  <si>
    <t>2741 119Th St</t>
  </si>
  <si>
    <t>JOSEPH A SCHMELTZ</t>
  </si>
  <si>
    <t>1627 Key St</t>
  </si>
  <si>
    <t>JOSEPH B CLARKE</t>
  </si>
  <si>
    <t>420 Madison Ave.  Suite 1101</t>
  </si>
  <si>
    <t>420 Madison Ave.  Ste. 1101</t>
  </si>
  <si>
    <t>420 Madison Ave                      Ste 1101</t>
  </si>
  <si>
    <t>420 Madison Avenue Suite 1101</t>
  </si>
  <si>
    <t>JOSEPH CHARLES PELLERITE</t>
  </si>
  <si>
    <t>6369 Garden Rd</t>
  </si>
  <si>
    <t>JOSEPH CHESTER</t>
  </si>
  <si>
    <t>3844 Bellevue Rd</t>
  </si>
  <si>
    <t>Joseph Clarke</t>
  </si>
  <si>
    <t>420 Madison Ave. Ste. 1101</t>
  </si>
  <si>
    <t>JOSEPH CLARKE</t>
  </si>
  <si>
    <t>420 Madison Ave Ste 1101</t>
  </si>
  <si>
    <t>JOSEPH COUSINO</t>
  </si>
  <si>
    <t>5242 Ottawa River Rd</t>
  </si>
  <si>
    <t>JOSEPH DANIEL LANG</t>
  </si>
  <si>
    <t>229 W Dudley St</t>
  </si>
  <si>
    <t>Joseph Gary Difeterici</t>
  </si>
  <si>
    <t>12210 Box Rd</t>
  </si>
  <si>
    <t>JOSEPH GERALD KELLER</t>
  </si>
  <si>
    <t>4859 Leamington Ave</t>
  </si>
  <si>
    <t>JOSEPH GERARD CARRIEL</t>
  </si>
  <si>
    <t>1151 South Ave</t>
  </si>
  <si>
    <t>JOSEPH GERCAK</t>
  </si>
  <si>
    <t>4824 Lerado Rd Apt 45</t>
  </si>
  <si>
    <t>JOSEPH GRANDJEAN</t>
  </si>
  <si>
    <t>7264 Apache Trl</t>
  </si>
  <si>
    <t>JOSEPH H PILKINGTON</t>
  </si>
  <si>
    <t>1 Seagate Ste 620</t>
  </si>
  <si>
    <t>Joseph H. Pilkington</t>
  </si>
  <si>
    <t>One Seagate, Ste. 620</t>
  </si>
  <si>
    <t>2016 Est 535 - Est. Of Maxwell C. Powell</t>
  </si>
  <si>
    <t>JOSEPH HUGHES</t>
  </si>
  <si>
    <t>120 Lake Shore Ave Lowr</t>
  </si>
  <si>
    <t>JOSEPH J SOLOMON</t>
  </si>
  <si>
    <t>2 Martime Place 3Rd Fl</t>
  </si>
  <si>
    <t>Joseph Landry</t>
  </si>
  <si>
    <t>2111 N. 14Th St.</t>
  </si>
  <si>
    <t>2019 Est 82 - Est. Of Nancy T. Barry</t>
  </si>
  <si>
    <t>JOSEPH LAWS</t>
  </si>
  <si>
    <t>6644 Kingsbridge Dr Apt 6</t>
  </si>
  <si>
    <t>JOSEPH LEWIS</t>
  </si>
  <si>
    <t>1716 Hinsdale Dr</t>
  </si>
  <si>
    <t>JOSEPH M GIOIELLA</t>
  </si>
  <si>
    <t>4406 Todd Dr</t>
  </si>
  <si>
    <t>JOSEPH M RENDA</t>
  </si>
  <si>
    <t>4908 Kathy Ln</t>
  </si>
  <si>
    <t>JOSEPH MICHAEL CZYZEWSKI</t>
  </si>
  <si>
    <t>4158 Elmhurst Rd</t>
  </si>
  <si>
    <t>JOSEPH PATRICK RIGDON</t>
  </si>
  <si>
    <t>2057 Orchard Lakes Pl Apt 11</t>
  </si>
  <si>
    <t>JOSEPH POZON</t>
  </si>
  <si>
    <t>910 Clifton Blvd</t>
  </si>
  <si>
    <t>JOSEPH REGER</t>
  </si>
  <si>
    <t>3728 N Beverly Hills Drive</t>
  </si>
  <si>
    <t>JOSEPH SCOTT</t>
  </si>
  <si>
    <t>127 W Colony Dr</t>
  </si>
  <si>
    <t>JOSEPH SCOTT BOYER</t>
  </si>
  <si>
    <t>1074 Leith St</t>
  </si>
  <si>
    <t>JOSEPH ST JOHN</t>
  </si>
  <si>
    <t>556 Thurston St</t>
  </si>
  <si>
    <t>JOSEPH T METZNER</t>
  </si>
  <si>
    <t>3 Exmoor</t>
  </si>
  <si>
    <t>JOSEPH TAYDEN</t>
  </si>
  <si>
    <t>5342 Hill Ave</t>
  </si>
  <si>
    <t>JOSEPH,REGINA</t>
  </si>
  <si>
    <t>2104 Richmond Rd</t>
  </si>
  <si>
    <t>JOSH KANE SIMPSON</t>
  </si>
  <si>
    <t>1228 South Ave</t>
  </si>
  <si>
    <t>Josham Alahmar</t>
  </si>
  <si>
    <t>4245 Appomattox</t>
  </si>
  <si>
    <t>JOSHUA BENJAMEN SANDERS</t>
  </si>
  <si>
    <t>1707 Gilbert Rd</t>
  </si>
  <si>
    <t>Joshua Bethel</t>
  </si>
  <si>
    <t>2410 Nebraska Ave. Lot 41</t>
  </si>
  <si>
    <t>JOSHUA BOCK</t>
  </si>
  <si>
    <t>2052 Ottawa River Rd</t>
  </si>
  <si>
    <t>Joshua D Dickman</t>
  </si>
  <si>
    <t>2616 120Th St</t>
  </si>
  <si>
    <t>JOSHUA D MANDERS</t>
  </si>
  <si>
    <t>3839 Buell Ave</t>
  </si>
  <si>
    <t>JOSHUA DAVID MOON</t>
  </si>
  <si>
    <t>JOSHUA DAVID OBERLE</t>
  </si>
  <si>
    <t>234 Warrington Rd</t>
  </si>
  <si>
    <t>JOSHUA DAVIES</t>
  </si>
  <si>
    <t>3743 Grantley Rd</t>
  </si>
  <si>
    <t>JOSHUA DIDION</t>
  </si>
  <si>
    <t>3153 Kenwood Blvd</t>
  </si>
  <si>
    <t>JOSHUA EMMERICH</t>
  </si>
  <si>
    <t>4461 Seagert Dr</t>
  </si>
  <si>
    <t>JOSHUA GULCH</t>
  </si>
  <si>
    <t>5421 Tulane Ave</t>
  </si>
  <si>
    <t>JOSHUA HANNUM</t>
  </si>
  <si>
    <t>6166 Katherine Ave</t>
  </si>
  <si>
    <t>JOSHUA HENRY</t>
  </si>
  <si>
    <t>5710 Sunset Lake Dr</t>
  </si>
  <si>
    <t>JOSHUA HOFFMAN</t>
  </si>
  <si>
    <t>404 N Holland Sylvania Rd</t>
  </si>
  <si>
    <t>JOSHUA J EPLING</t>
  </si>
  <si>
    <t>8087 Washington Village Drive, Suite 220</t>
  </si>
  <si>
    <t>7550 Paragon Rd</t>
  </si>
  <si>
    <t>7550 Paragon Road</t>
  </si>
  <si>
    <t>Joshua Johnson</t>
  </si>
  <si>
    <t>1218 Westfield Dr</t>
  </si>
  <si>
    <t>JOSHUA LEVI HANDLEY</t>
  </si>
  <si>
    <t>6460 Salisbury Rd Apt 304</t>
  </si>
  <si>
    <t>JOSHUA LINDSEY</t>
  </si>
  <si>
    <t>2405 Eastbrook Dr</t>
  </si>
  <si>
    <t>JOSHUA M HARRIS</t>
  </si>
  <si>
    <t>2023 Eileen Rd</t>
  </si>
  <si>
    <t>JOSHUA M ROLLINS</t>
  </si>
  <si>
    <t>348 Spring Grove Ave</t>
  </si>
  <si>
    <t>JOSHUA MARK SURDELL</t>
  </si>
  <si>
    <t>5920 Water Point Ct</t>
  </si>
  <si>
    <t>JOSHUA MICHAEL BUTLER</t>
  </si>
  <si>
    <t>5301 Fortune Dr</t>
  </si>
  <si>
    <t>JOSHUA NICHOLAS FEJES</t>
  </si>
  <si>
    <t>234 University Blvd</t>
  </si>
  <si>
    <t>5827 Firethorne Dr</t>
  </si>
  <si>
    <t>JOSHUA RYAN BRUNT</t>
  </si>
  <si>
    <t>2307 Torgler Ave</t>
  </si>
  <si>
    <t>JOSHUA THOMAS BOYER</t>
  </si>
  <si>
    <t>8456 Kacie Ln</t>
  </si>
  <si>
    <t>JOSHUA,LINDA</t>
  </si>
  <si>
    <t>3309 E Manhattan Blvd, Apt 1</t>
  </si>
  <si>
    <t>Joshura Dunn</t>
  </si>
  <si>
    <t>3365 Buckeye St.</t>
  </si>
  <si>
    <t>JOSIAH BRIM</t>
  </si>
  <si>
    <t>340 S Reynolds Lot 232</t>
  </si>
  <si>
    <t>JOSIAH RUSH</t>
  </si>
  <si>
    <t>5555 Christopher Ct</t>
  </si>
  <si>
    <t>Jovita James-Robertson</t>
  </si>
  <si>
    <t>2246 Winterset Dr</t>
  </si>
  <si>
    <t>Joy Andrews</t>
  </si>
  <si>
    <t>5054 Giverny Rd</t>
  </si>
  <si>
    <t>JOY L CHAPA LIBERTY</t>
  </si>
  <si>
    <t>1221 Oak St</t>
  </si>
  <si>
    <t>JOYCE A HIGHTOWER</t>
  </si>
  <si>
    <t>1026 Moran Ave</t>
  </si>
  <si>
    <t>Joyce Allen</t>
  </si>
  <si>
    <t>7007 Leicester Rd</t>
  </si>
  <si>
    <t>JOYCE ANN SLAMAN</t>
  </si>
  <si>
    <t>10227 Blue Ridge Dr S</t>
  </si>
  <si>
    <t>JOYCE KNAPKE TAYLOR</t>
  </si>
  <si>
    <t>1719 Winston Blvd</t>
  </si>
  <si>
    <t>JOYCE MOORE</t>
  </si>
  <si>
    <t>1420 Freeman St</t>
  </si>
  <si>
    <t>JOZEF LEWIS</t>
  </si>
  <si>
    <t>5942 Trailway Dr</t>
  </si>
  <si>
    <t>JUAN M DUARTE</t>
  </si>
  <si>
    <t>2833 W Laskey Rd</t>
  </si>
  <si>
    <t>JUAN VALLEJO</t>
  </si>
  <si>
    <t>606 Platt St</t>
  </si>
  <si>
    <t>JUANITA C SHELLITO</t>
  </si>
  <si>
    <t>322 Willard St</t>
  </si>
  <si>
    <t>JUAREZ JUAN</t>
  </si>
  <si>
    <t>730 North Cousino Rd</t>
  </si>
  <si>
    <t>JUDE KEANE</t>
  </si>
  <si>
    <t>404 Shrewsbury Street</t>
  </si>
  <si>
    <t>JUDITH JAKUBOWSKI</t>
  </si>
  <si>
    <t>6057 Willowvale Dr</t>
  </si>
  <si>
    <t>JUDITH LYNN DARCANGELO</t>
  </si>
  <si>
    <t>4356 Berwick Ave</t>
  </si>
  <si>
    <t>JUDITH N CATTRAN</t>
  </si>
  <si>
    <t>1107 N Superior St</t>
  </si>
  <si>
    <t>Judy A Leach</t>
  </si>
  <si>
    <t>5351 Nebraska Ave Apt 315</t>
  </si>
  <si>
    <t>JUDY TOMASZEWSKI</t>
  </si>
  <si>
    <t>2123 W Alexis Rd Apt 2</t>
  </si>
  <si>
    <t>JUHASZ ERIC</t>
  </si>
  <si>
    <t>2080 E Baywood Drive</t>
  </si>
  <si>
    <t>JULIA ANN JOSEPH</t>
  </si>
  <si>
    <t>3655 Herr Rd</t>
  </si>
  <si>
    <t>JULIA K MARSHALL</t>
  </si>
  <si>
    <t>4433 S Terrace View St</t>
  </si>
  <si>
    <t>JULIA L JACOB</t>
  </si>
  <si>
    <t>6809 Kristi Lynne Ln</t>
  </si>
  <si>
    <t>JULIA L ZAHRADNIK</t>
  </si>
  <si>
    <t>2334 Orchard Rd</t>
  </si>
  <si>
    <t>JULIA MARSHALL</t>
  </si>
  <si>
    <t>JULIA OHAIR</t>
  </si>
  <si>
    <t>1052 Scribner St</t>
  </si>
  <si>
    <t>JULIAN HUDDLESTON</t>
  </si>
  <si>
    <t>425 W Manhattan Blvd</t>
  </si>
  <si>
    <t>JULIANA CONSUELO JANATOWSKI</t>
  </si>
  <si>
    <t>5212 Davewood Dr</t>
  </si>
  <si>
    <t>JULIANNA E  FROST-OLAH</t>
  </si>
  <si>
    <t>2515 Manchester Blvd</t>
  </si>
  <si>
    <t>JULIANNA M KAUFMAN</t>
  </si>
  <si>
    <t>173 Kingswood Trail Dr</t>
  </si>
  <si>
    <t>JULIE A FRANK</t>
  </si>
  <si>
    <t>5558 Planet Ave</t>
  </si>
  <si>
    <t>JULIE A GERKEN</t>
  </si>
  <si>
    <t>6020 W Sylvania Ave</t>
  </si>
  <si>
    <t>JULIE A VOHLAND</t>
  </si>
  <si>
    <t>1121 Westfield Dr</t>
  </si>
  <si>
    <t>JULIE ANN KRAMP</t>
  </si>
  <si>
    <t>710 Saint Andrews Rd</t>
  </si>
  <si>
    <t>JULIE ANN LAUX</t>
  </si>
  <si>
    <t>6169 Larchway Rd</t>
  </si>
  <si>
    <t>JULIE ANSMAN</t>
  </si>
  <si>
    <t>635 Plymouth St</t>
  </si>
  <si>
    <t>JULIE BOWEN</t>
  </si>
  <si>
    <t>2065 Garden Lake</t>
  </si>
  <si>
    <t>JULIE DANIELLE KOLLAR</t>
  </si>
  <si>
    <t>2039 Central Grv</t>
  </si>
  <si>
    <t>JULIE E BOMIA</t>
  </si>
  <si>
    <t>3453 Scarsborough Rd</t>
  </si>
  <si>
    <t>Julie Fisher</t>
  </si>
  <si>
    <t>8918 Cedar Bend Rd</t>
  </si>
  <si>
    <t>Julie Forgach</t>
  </si>
  <si>
    <t>5226 South Oak Court</t>
  </si>
  <si>
    <t>JULIE H ABALOS</t>
  </si>
  <si>
    <t>5702 Angola Rd Lot 60</t>
  </si>
  <si>
    <t>JULIE I ALLEY</t>
  </si>
  <si>
    <t>1025 Ogontz Ave</t>
  </si>
  <si>
    <t>JULIE MARIE DAVID</t>
  </si>
  <si>
    <t>4542 E Oakridge Dr</t>
  </si>
  <si>
    <t>JULIE ODORZYNSKI</t>
  </si>
  <si>
    <t>6401 Seminole Blvd, Lot 32</t>
  </si>
  <si>
    <t>Seminole</t>
  </si>
  <si>
    <t>Julie Odorzynski</t>
  </si>
  <si>
    <t>6401 Seminole Blvd,  Lot 33</t>
  </si>
  <si>
    <t>5037 80Th Way N</t>
  </si>
  <si>
    <t>St Petersburg</t>
  </si>
  <si>
    <t>6401 Seminole Blvd  Lot 33</t>
  </si>
  <si>
    <t>Julie Paszczykowski</t>
  </si>
  <si>
    <t>33 S Michigan St  Ste 301</t>
  </si>
  <si>
    <t>JULIUS &amp; JONNIE TAYLOR</t>
  </si>
  <si>
    <t>JUNE E LONG</t>
  </si>
  <si>
    <t>1133 Carrington St</t>
  </si>
  <si>
    <t>JURSKI MARGARET</t>
  </si>
  <si>
    <t>3927 Pickle Road</t>
  </si>
  <si>
    <t>JUSTIN ALAN DENEVE</t>
  </si>
  <si>
    <t>2611 Shoreland Ave  #9</t>
  </si>
  <si>
    <t>JUSTIN ALLYN KUCERA</t>
  </si>
  <si>
    <t>2146 Consaul St</t>
  </si>
  <si>
    <t>JUSTIN D CRUNKILTON</t>
  </si>
  <si>
    <t>763 Clark St.</t>
  </si>
  <si>
    <t>JUSTIN DAVID HAWKINS</t>
  </si>
  <si>
    <t>6407 Weckerly Dr</t>
  </si>
  <si>
    <t>JUSTIN DENEVE</t>
  </si>
  <si>
    <t>2611 Shoreland Ave Apt 9</t>
  </si>
  <si>
    <t>JUSTIN DUNLAP</t>
  </si>
  <si>
    <t>1445 South Cove Blvd</t>
  </si>
  <si>
    <t>JUSTIN E RAWSON</t>
  </si>
  <si>
    <t>5644 Ryewyck Dr</t>
  </si>
  <si>
    <t>JUSTIN FRAZIER</t>
  </si>
  <si>
    <t>5600 Alexis Rd Apt 364</t>
  </si>
  <si>
    <t>JUSTIN HANDLEY</t>
  </si>
  <si>
    <t>62 N Main St</t>
  </si>
  <si>
    <t>Bellbrook</t>
  </si>
  <si>
    <t>JUSTIN J RICHARDS</t>
  </si>
  <si>
    <t>2140 Circular Rd</t>
  </si>
  <si>
    <t>JUSTIN JAMES MELENDREZ</t>
  </si>
  <si>
    <t>4849 Leamington Ave</t>
  </si>
  <si>
    <t>JUSTIN KRUCZKOWSKI</t>
  </si>
  <si>
    <t>4231 Overland Pkwy</t>
  </si>
  <si>
    <t>JUSTIN M BAIR</t>
  </si>
  <si>
    <t>2155 Bishopsgate Dr</t>
  </si>
  <si>
    <t>JUSTIN M COLTER</t>
  </si>
  <si>
    <t>5352 Monroe St Apt 11</t>
  </si>
  <si>
    <t>Justin Michael Maxwell</t>
  </si>
  <si>
    <t>2126 Alvin St</t>
  </si>
  <si>
    <t>JUSTIN SNOW</t>
  </si>
  <si>
    <t>1314 Kelsey Ave</t>
  </si>
  <si>
    <t>JUSTIN STEPHENSON</t>
  </si>
  <si>
    <t>3756 Hill Ave Apt 42</t>
  </si>
  <si>
    <t>JUSTIN W HILGER</t>
  </si>
  <si>
    <t>2403 River Rd</t>
  </si>
  <si>
    <t>JUSTIN WERLING</t>
  </si>
  <si>
    <t>1504 Blackhawk Dr</t>
  </si>
  <si>
    <t>JUSTIN ZEHENDER</t>
  </si>
  <si>
    <t>3142 Strathmoor Ave</t>
  </si>
  <si>
    <t>KADY WEITH</t>
  </si>
  <si>
    <t>1407 Kenyon Dr</t>
  </si>
  <si>
    <t>KAISER JEFFREY M</t>
  </si>
  <si>
    <t>2439 104Th St</t>
  </si>
  <si>
    <t>KAITLIN MARIE BURGHORN</t>
  </si>
  <si>
    <t>5542 Ashdale Ct</t>
  </si>
  <si>
    <t>KAITLIN WAGNER</t>
  </si>
  <si>
    <t>1541 Milroy St</t>
  </si>
  <si>
    <t>KAITLYN BLAIRE ESTEP</t>
  </si>
  <si>
    <t>4701 Weldwood Ln</t>
  </si>
  <si>
    <t>KAITLYN LEA TAUBER</t>
  </si>
  <si>
    <t>7043 Dunstans Ln</t>
  </si>
  <si>
    <t>KAITLYN MARIE METZGER</t>
  </si>
  <si>
    <t>703 Barclay Dr</t>
  </si>
  <si>
    <t>KAITLYN PIETRZAK</t>
  </si>
  <si>
    <t>2834 111St</t>
  </si>
  <si>
    <t>KAJE COWELL</t>
  </si>
  <si>
    <t>4819 291St St</t>
  </si>
  <si>
    <t>KALEB ASH</t>
  </si>
  <si>
    <t>1311 Pennelwood Dr</t>
  </si>
  <si>
    <t>KALEB MAHLER</t>
  </si>
  <si>
    <t>733 W Carisbrook Dr</t>
  </si>
  <si>
    <t>KALOB ANDREW RAINEY</t>
  </si>
  <si>
    <t>2053 W Alexis Rd Apt B6</t>
  </si>
  <si>
    <t>KAM R MATHEWS</t>
  </si>
  <si>
    <t>2078 Driftwood Ln</t>
  </si>
  <si>
    <t>KAMARRA JANAE THOMAS</t>
  </si>
  <si>
    <t>1664 Brownstone Blvd Apt 411</t>
  </si>
  <si>
    <t>KAMELESKY MATTHEW</t>
  </si>
  <si>
    <t>4742 N Elliston-Trowbridge</t>
  </si>
  <si>
    <t>Graytown</t>
  </si>
  <si>
    <t>KAMIE KAI-LI YANG</t>
  </si>
  <si>
    <t>5436 Emden Oaks Ln</t>
  </si>
  <si>
    <t>KAMLANI NILE</t>
  </si>
  <si>
    <t>KANDIACE YOUNG</t>
  </si>
  <si>
    <t>1735 Perrysburg Holland Rd</t>
  </si>
  <si>
    <t>KANE WARREN KREAMER</t>
  </si>
  <si>
    <t>2320 Murray Dr</t>
  </si>
  <si>
    <t>KARA HART</t>
  </si>
  <si>
    <t>1946 Hunters Run</t>
  </si>
  <si>
    <t>KARCSAK WILLIAM S JR</t>
  </si>
  <si>
    <t>3606 Wersell</t>
  </si>
  <si>
    <t>KAREM HASSAN</t>
  </si>
  <si>
    <t>7 Shaftsbury Dr Apt A</t>
  </si>
  <si>
    <t>Karen Baker Zepf</t>
  </si>
  <si>
    <t>3552 Brookside Road</t>
  </si>
  <si>
    <t>Karen Cassaubon</t>
  </si>
  <si>
    <t>1009 Dixie Hwy</t>
  </si>
  <si>
    <t>KAREN CASSAUBON</t>
  </si>
  <si>
    <t>KAREN D FARRELL</t>
  </si>
  <si>
    <t>5638 Talmadge Rd</t>
  </si>
  <si>
    <t>KAREN GLADIEUX</t>
  </si>
  <si>
    <t>1608 Daniel Dr</t>
  </si>
  <si>
    <t>Karen Gladieux</t>
  </si>
  <si>
    <t>1608 Daniel Dr, Millbury</t>
  </si>
  <si>
    <t>KAREN L  RAMSEY</t>
  </si>
  <si>
    <t>1313 Towers Rd</t>
  </si>
  <si>
    <t>KAREN LEIGH OWENS</t>
  </si>
  <si>
    <t>2804 Back Bay Dr</t>
  </si>
  <si>
    <t>KAREN MARTENSEN</t>
  </si>
  <si>
    <t>5535 Ketukkee Tr</t>
  </si>
  <si>
    <t>KAREN NICOLE ZEDAKER</t>
  </si>
  <si>
    <t>4246 Barbara Dr</t>
  </si>
  <si>
    <t>Karen Owen</t>
  </si>
  <si>
    <t>1303 Windsor Park Rd.</t>
  </si>
  <si>
    <t>Gulf Breeze</t>
  </si>
  <si>
    <t>KAREN RAHM</t>
  </si>
  <si>
    <t>2260 S Crissey Rd</t>
  </si>
  <si>
    <t>KAREN S BJORKMAN</t>
  </si>
  <si>
    <t>4526 Granville Ct</t>
  </si>
  <si>
    <t>KAREN S PLOCEK</t>
  </si>
  <si>
    <t>3225 Island Ave.</t>
  </si>
  <si>
    <t>KAREN SHELTON</t>
  </si>
  <si>
    <t>5948 Whiteacre Road</t>
  </si>
  <si>
    <t>Karen Walton</t>
  </si>
  <si>
    <t>15 Mayfair Way</t>
  </si>
  <si>
    <t>Covington</t>
  </si>
  <si>
    <t>Karen Willoughby</t>
  </si>
  <si>
    <t>749 Dearborn Ave</t>
  </si>
  <si>
    <t>KARIBAN BETTY</t>
  </si>
  <si>
    <t>602 Colima</t>
  </si>
  <si>
    <t>KARIS L GRAHAM</t>
  </si>
  <si>
    <t>3141 Scottwood Ave</t>
  </si>
  <si>
    <t>KARISA M BIXLER</t>
  </si>
  <si>
    <t>5128 South Ave</t>
  </si>
  <si>
    <t>KARL B ROHRBACHER</t>
  </si>
  <si>
    <t>728 Inwood Pl</t>
  </si>
  <si>
    <t>KARLA BELL GLEASON</t>
  </si>
  <si>
    <t>6712 Mill Ridge Rd</t>
  </si>
  <si>
    <t>KARLA GLEASON</t>
  </si>
  <si>
    <t>KARLEIGH ANN NEWMISTER</t>
  </si>
  <si>
    <t>2627 108Th St</t>
  </si>
  <si>
    <t>KASHAWNNA L GILMER</t>
  </si>
  <si>
    <t>2432 W Central Ave Apt 4A</t>
  </si>
  <si>
    <t>KASIE LYN SCHAEFFER</t>
  </si>
  <si>
    <t>831 S Detroit Ave</t>
  </si>
  <si>
    <t>KASPAR POLLY</t>
  </si>
  <si>
    <t>2521 Tiffany Court</t>
  </si>
  <si>
    <t>KATELIN MAE BUDGE</t>
  </si>
  <si>
    <t>KATELYN BISTA</t>
  </si>
  <si>
    <t>2037 Brent Valley Rd</t>
  </si>
  <si>
    <t>KATELYN SLOMKA</t>
  </si>
  <si>
    <t>9006 Cedar Berry Ct</t>
  </si>
  <si>
    <t>KATHARINE RAGAN</t>
  </si>
  <si>
    <t>2643 Stamford Dr</t>
  </si>
  <si>
    <t>KATHARINE WELLS SOBOTA</t>
  </si>
  <si>
    <t>10636 Ramm Rd</t>
  </si>
  <si>
    <t>KATHERINE A GULLUFSEN</t>
  </si>
  <si>
    <t>4626 Farmington Rd</t>
  </si>
  <si>
    <t>KATHERINE ANN DAILY</t>
  </si>
  <si>
    <t>3325 Mulberry St</t>
  </si>
  <si>
    <t>KATHERINE BARNES</t>
  </si>
  <si>
    <t>2358 Westbrook Dr</t>
  </si>
  <si>
    <t>Katherine Fonsela-Centeno</t>
  </si>
  <si>
    <t>9678 Eaddy Lane</t>
  </si>
  <si>
    <t>Murrells Inlet</t>
  </si>
  <si>
    <t>SC</t>
  </si>
  <si>
    <t>KATHERINE HODGE</t>
  </si>
  <si>
    <t>330 W. Poinsetta</t>
  </si>
  <si>
    <t>KATHERINE HYTTENHOVE</t>
  </si>
  <si>
    <t>7762 Wellsbury Dr</t>
  </si>
  <si>
    <t>Katherine I Oravecz Wilson</t>
  </si>
  <si>
    <t>4117 Eaglehurst Rd</t>
  </si>
  <si>
    <t>KATHERINE KOVALIK</t>
  </si>
  <si>
    <t>4560 Thackeray Rd</t>
  </si>
  <si>
    <t>KATHERINE LUCIA TIMM</t>
  </si>
  <si>
    <t>3039 E Lincolnshire Blvd Apt A</t>
  </si>
  <si>
    <t>Katherine Macek</t>
  </si>
  <si>
    <t>5550 Barred Owl Dr</t>
  </si>
  <si>
    <t>KATHERINE ROGGELIN</t>
  </si>
  <si>
    <t>5047 Bayshore Rd</t>
  </si>
  <si>
    <t>KATHI D WITT</t>
  </si>
  <si>
    <t>634 Tall Pines Dr</t>
  </si>
  <si>
    <t>KATHIE L CLARK</t>
  </si>
  <si>
    <t>123 W Capistrano Ave</t>
  </si>
  <si>
    <t>KATHLEEN A ANDERSON</t>
  </si>
  <si>
    <t>3005 Spring Water Dr</t>
  </si>
  <si>
    <t>KATHLEEN A SLOVAK</t>
  </si>
  <si>
    <t>5306 Bayshore Rd</t>
  </si>
  <si>
    <t>KATHLEEN CRISMAN</t>
  </si>
  <si>
    <t>4036 Lancelot Rd</t>
  </si>
  <si>
    <t>KATHLEEN HEHL</t>
  </si>
  <si>
    <t>4627 Copland Blvd</t>
  </si>
  <si>
    <t>KATHLEEN HOLMES</t>
  </si>
  <si>
    <t>5831 Bayshore Rd</t>
  </si>
  <si>
    <t>KATHLEEN MARIE DIEBOLD</t>
  </si>
  <si>
    <t>3720 Roanoke Rd</t>
  </si>
  <si>
    <t>KATHLEEN MARIE WILLIAMS</t>
  </si>
  <si>
    <t>4333 Beverly Dr</t>
  </si>
  <si>
    <t>KATHLEEN THERESE DALEY</t>
  </si>
  <si>
    <t>2208 Marlow Rd</t>
  </si>
  <si>
    <t>KATHLEENA J MCGEE</t>
  </si>
  <si>
    <t>701 Balfe St</t>
  </si>
  <si>
    <t>KATHRYN A BEAVERS</t>
  </si>
  <si>
    <t>3003 Westchester Rd</t>
  </si>
  <si>
    <t>KATHRYN ANN FREDENBURG</t>
  </si>
  <si>
    <t>1429 Bradshaw Ct</t>
  </si>
  <si>
    <t>KATHRYN ANN MEYER</t>
  </si>
  <si>
    <t>311 W Wayne St</t>
  </si>
  <si>
    <t>Kathryn Anne Urrutia</t>
  </si>
  <si>
    <t>6909 Shooters Hill Rd</t>
  </si>
  <si>
    <t>Kathryn Brown</t>
  </si>
  <si>
    <t>5137 Allen St</t>
  </si>
  <si>
    <t>KATHRYN JOY RUTT</t>
  </si>
  <si>
    <t>2628 Parkwood Ave</t>
  </si>
  <si>
    <t>KATHRYN L MILLER</t>
  </si>
  <si>
    <t>262 W Woodside Ter</t>
  </si>
  <si>
    <t>KATHRYN LUCIUS</t>
  </si>
  <si>
    <t>6729 Cloister Ct</t>
  </si>
  <si>
    <t>KATHRYN MCGUCKIN</t>
  </si>
  <si>
    <t>7451 Pinafore Ln</t>
  </si>
  <si>
    <t>KATHRYN RAHAL</t>
  </si>
  <si>
    <t>5636 Dianne Ct</t>
  </si>
  <si>
    <t>KATHRYN SABRINA WEINBERG</t>
  </si>
  <si>
    <t>4765 Middle Br</t>
  </si>
  <si>
    <t>KATHY GRISWOLD</t>
  </si>
  <si>
    <t>22 W. Streicher St. Apt. 55</t>
  </si>
  <si>
    <t>KATHY JO JIMENEZ</t>
  </si>
  <si>
    <t>2525 Granton Pl</t>
  </si>
  <si>
    <t>KATHY LYNN KOZAK</t>
  </si>
  <si>
    <t>4302 Drummond Rd</t>
  </si>
  <si>
    <t>KATIE BAK</t>
  </si>
  <si>
    <t>3109 Elmview Dr</t>
  </si>
  <si>
    <t>KATINA M CLARK</t>
  </si>
  <si>
    <t>1801 Duncan Rd</t>
  </si>
  <si>
    <t>KATLYN RENE CHORNEY</t>
  </si>
  <si>
    <t>3624 Wyckliffe Parkway</t>
  </si>
  <si>
    <t>KATRINA PEDERSEN</t>
  </si>
  <si>
    <t>4154 Brogan Dr</t>
  </si>
  <si>
    <t>KATTER BLAISE</t>
  </si>
  <si>
    <t>3240 Henderson Rd Suite B</t>
  </si>
  <si>
    <t>KAYE E BURNEP</t>
  </si>
  <si>
    <t>2513 101St St</t>
  </si>
  <si>
    <t>Kayla Boswell</t>
  </si>
  <si>
    <t>516 S. Main St., Apt. 1/2</t>
  </si>
  <si>
    <t>Delphos</t>
  </si>
  <si>
    <t>Kayla Hightower</t>
  </si>
  <si>
    <t>1723 Parkdale Ave</t>
  </si>
  <si>
    <t>KAYLA UTENDORF</t>
  </si>
  <si>
    <t>2527 Orchard Hills Blvd</t>
  </si>
  <si>
    <t>Kaylee Church</t>
  </si>
  <si>
    <t>3636 Starr Ave.</t>
  </si>
  <si>
    <t>KAYLEIGH MICHELE ARTIAGA</t>
  </si>
  <si>
    <t>636 Sylvandale Ave</t>
  </si>
  <si>
    <t>KAZMIERCZAK JESSIE T</t>
  </si>
  <si>
    <t>430 Ascot Ave</t>
  </si>
  <si>
    <t>Keeler, Megan</t>
  </si>
  <si>
    <t>KEENA L MUGASHE</t>
  </si>
  <si>
    <t>1167 Prospect Ave</t>
  </si>
  <si>
    <t>KEILA OCHOA</t>
  </si>
  <si>
    <t>847 Orchard St</t>
  </si>
  <si>
    <t>KEIONN MARTRICE GRAY</t>
  </si>
  <si>
    <t>2140 Parkdale Ave</t>
  </si>
  <si>
    <t>KEIQUAN A BLACKMON</t>
  </si>
  <si>
    <t>330 N King Rd</t>
  </si>
  <si>
    <t>KEIS GEORGE</t>
  </si>
  <si>
    <t>55 Public Square</t>
  </si>
  <si>
    <t>55 Public</t>
  </si>
  <si>
    <t>KEITH BRYANT MCCOY</t>
  </si>
  <si>
    <t>1007 Bowlus Ave</t>
  </si>
  <si>
    <t>KEITH FREDERICK SOKOLOSKI</t>
  </si>
  <si>
    <t>5928 Iron Ct</t>
  </si>
  <si>
    <t>KEITH KENNETH RICHARD</t>
  </si>
  <si>
    <t>135 Lakeshore Ave</t>
  </si>
  <si>
    <t>KEITH PETERSON</t>
  </si>
  <si>
    <t>4417 Miner Rd</t>
  </si>
  <si>
    <t>KEITH RAY STERLING</t>
  </si>
  <si>
    <t>1653 Homestead St</t>
  </si>
  <si>
    <t>KEITH RILEY</t>
  </si>
  <si>
    <t>5238 Fredelia Dr</t>
  </si>
  <si>
    <t>KEITHLEY B SPARROW</t>
  </si>
  <si>
    <t>405 Madison  Ave                      Ste 1000</t>
  </si>
  <si>
    <t>KELCIE LYNN HOWARD</t>
  </si>
  <si>
    <t>1218 Slater St</t>
  </si>
  <si>
    <t>KELLAND JAMIESON WRIGHT</t>
  </si>
  <si>
    <t>3033 Meadowwood Dr</t>
  </si>
  <si>
    <t>KELLER ANTHONY D</t>
  </si>
  <si>
    <t>Two Martime Plaza 2Nd Floor</t>
  </si>
  <si>
    <t>KELLEY MOORE</t>
  </si>
  <si>
    <t>5501 Seaman Rd</t>
  </si>
  <si>
    <t>KELLI MARIE YINGLING</t>
  </si>
  <si>
    <t>6817 Cloister Ct</t>
  </si>
  <si>
    <t>KELLIE M MCKEE</t>
  </si>
  <si>
    <t>27 Broadway St Apt 204</t>
  </si>
  <si>
    <t>KELLY ANDERSON</t>
  </si>
  <si>
    <t>1218 Girard Street</t>
  </si>
  <si>
    <t>Kelly Belote</t>
  </si>
  <si>
    <t>4407 Clearwatr Dr W</t>
  </si>
  <si>
    <t>KELLY HATCH</t>
  </si>
  <si>
    <t>2331 Shoreland,  Apt 331</t>
  </si>
  <si>
    <t>KELLY J COOK</t>
  </si>
  <si>
    <t>5730 Pheasant Hollow Dr</t>
  </si>
  <si>
    <t>KELLY J SURDELL</t>
  </si>
  <si>
    <t>KELLY K SMITH</t>
  </si>
  <si>
    <t>8059 Donnington Dr</t>
  </si>
  <si>
    <t>Kelly L Mccree</t>
  </si>
  <si>
    <t>1663 Nebraska Ave</t>
  </si>
  <si>
    <t>KELLY L MOON</t>
  </si>
  <si>
    <t>KELLY MICHALAK</t>
  </si>
  <si>
    <t>1713 Craig Rd</t>
  </si>
  <si>
    <t>KELLY PARKS</t>
  </si>
  <si>
    <t>3004 Carskaddon Ave Apt 3</t>
  </si>
  <si>
    <t>KELLY S JOHNSTON</t>
  </si>
  <si>
    <t>7062 Springfield Hills Dr S</t>
  </si>
  <si>
    <t>Kelsea Hueston</t>
  </si>
  <si>
    <t>6A Chelmsley Ct.</t>
  </si>
  <si>
    <t>2022 Est 525 - Est. Of Vicki L. Goetz</t>
  </si>
  <si>
    <t>KELSEY D OBRIEN</t>
  </si>
  <si>
    <t>7664 Grenlock Dr</t>
  </si>
  <si>
    <t>KELSEY SMITH</t>
  </si>
  <si>
    <t>3618 Greenlawn Ct</t>
  </si>
  <si>
    <t>KELSEY SNYDER</t>
  </si>
  <si>
    <t>1835 Krieger Dr</t>
  </si>
  <si>
    <t>KELVIN GREGORY TYLER</t>
  </si>
  <si>
    <t>1770 Ottawa Dr</t>
  </si>
  <si>
    <t>KEMP AMIR</t>
  </si>
  <si>
    <t>2227 Sanford</t>
  </si>
  <si>
    <t>Ken Hammer</t>
  </si>
  <si>
    <t>6151 Douglas Rd</t>
  </si>
  <si>
    <t>KENDALL ALEXIS PEACE</t>
  </si>
  <si>
    <t>2564 Bonnie Ln</t>
  </si>
  <si>
    <t>KENDALL PARKER</t>
  </si>
  <si>
    <t>18 City Park Ave Lot 70</t>
  </si>
  <si>
    <t>Kendra J. Kec</t>
  </si>
  <si>
    <t>1518 Blackhawk Dr.</t>
  </si>
  <si>
    <t>KENDRA KAY MORGAN</t>
  </si>
  <si>
    <t>4508 Naomi Dr</t>
  </si>
  <si>
    <t>KENDRA SHANE</t>
  </si>
  <si>
    <t>Kendra Walton</t>
  </si>
  <si>
    <t>2272 Scottwood Ave</t>
  </si>
  <si>
    <t>KENI WILLIAMS</t>
  </si>
  <si>
    <t>5549 Willowood Ct</t>
  </si>
  <si>
    <t>KENNEDY BARBARA</t>
  </si>
  <si>
    <t>North Mayberry #3</t>
  </si>
  <si>
    <t>KENNEDY CHARLOTTE SNELL</t>
  </si>
  <si>
    <t>4709 Port Dr</t>
  </si>
  <si>
    <t>KENNEDY MICHAEL</t>
  </si>
  <si>
    <t>310 N Cherry</t>
  </si>
  <si>
    <t>Bryan</t>
  </si>
  <si>
    <t>KENNETH D ADAMS</t>
  </si>
  <si>
    <t>229 S Wheeling St</t>
  </si>
  <si>
    <t>KENNETH D BUCKLAND</t>
  </si>
  <si>
    <t>1215 Cady St</t>
  </si>
  <si>
    <t>KENNETH D DABBS</t>
  </si>
  <si>
    <t>743 Turner Ave</t>
  </si>
  <si>
    <t>KENNETH G KENNEDY</t>
  </si>
  <si>
    <t>9157 W Bancroft St</t>
  </si>
  <si>
    <t>KENNETH G KENNEDY TR</t>
  </si>
  <si>
    <t>KENNETH GRANT LEWIS</t>
  </si>
  <si>
    <t>1819 Cherrylawn Dr</t>
  </si>
  <si>
    <t>KENNETH HART</t>
  </si>
  <si>
    <t>1539 Kedron St</t>
  </si>
  <si>
    <t>KENNETH KNAB</t>
  </si>
  <si>
    <t>4803 Weldwood Ln</t>
  </si>
  <si>
    <t>KENNETH M SHAFFNER</t>
  </si>
  <si>
    <t>4325 Burnham Ave</t>
  </si>
  <si>
    <t>Kenneth R. Crosley</t>
  </si>
  <si>
    <t>P.O. Box 2658</t>
  </si>
  <si>
    <t>2021 Est 958 - Est. Of Donald E. Gilmer</t>
  </si>
  <si>
    <t>KENNETH ROBERT EARL</t>
  </si>
  <si>
    <t>5431 Gay St</t>
  </si>
  <si>
    <t>KENNETH ROLAND BARNUM</t>
  </si>
  <si>
    <t>2144 Dundee St</t>
  </si>
  <si>
    <t>KENNEY,SUSAN</t>
  </si>
  <si>
    <t>9140 Shadow Brook Dr</t>
  </si>
  <si>
    <t>KENNY PESHLAKAI</t>
  </si>
  <si>
    <t>4341 Lyman Ave</t>
  </si>
  <si>
    <t>KENNY ROACH</t>
  </si>
  <si>
    <t>1111 Homer</t>
  </si>
  <si>
    <t>KENYA ANNETTE GUILFORD</t>
  </si>
  <si>
    <t>238 Ivanhill Rd</t>
  </si>
  <si>
    <t>KENYA RENE POLIN</t>
  </si>
  <si>
    <t>1028 W Woodruff Ave</t>
  </si>
  <si>
    <t>Kenyeha Y Baker</t>
  </si>
  <si>
    <t>1717 Big Hill Rd  Apt C5</t>
  </si>
  <si>
    <t>KEOGH,TIMOTHY</t>
  </si>
  <si>
    <t>5582 305Th St</t>
  </si>
  <si>
    <t>KERN MARK</t>
  </si>
  <si>
    <t>2904 Strouss Ave</t>
  </si>
  <si>
    <t>KESHIA ANDREK</t>
  </si>
  <si>
    <t>5600 Alexis Road Apt 316</t>
  </si>
  <si>
    <t>KEVEN PACK</t>
  </si>
  <si>
    <t>2318 Taft Ave</t>
  </si>
  <si>
    <t>KEVIN ABKE</t>
  </si>
  <si>
    <t>5970 Black Oak Drive</t>
  </si>
  <si>
    <t>KEVIN BROWN</t>
  </si>
  <si>
    <t>7120 Sandy Springs Rd</t>
  </si>
  <si>
    <t>KEVIN BYERS</t>
  </si>
  <si>
    <t>118 E Third St Ste J</t>
  </si>
  <si>
    <t>KEVIN ESCALANTE</t>
  </si>
  <si>
    <t>Kevin Heban</t>
  </si>
  <si>
    <t>200 Dixie Hwy.</t>
  </si>
  <si>
    <t>2022 Est 141 - Est. Of Brian A. Stork</t>
  </si>
  <si>
    <t>KEVIN J ANKNEY</t>
  </si>
  <si>
    <t>1832 Strathmoor Ave</t>
  </si>
  <si>
    <t>KEVIN JOSEPH SNYDER</t>
  </si>
  <si>
    <t>5250 Spicer Rd</t>
  </si>
  <si>
    <t>KEVIN L WILLIAMSON</t>
  </si>
  <si>
    <t>2523 Grelyn Dr</t>
  </si>
  <si>
    <t>KEVIN LYNN JACKSON</t>
  </si>
  <si>
    <t>1628 Lombard Ave</t>
  </si>
  <si>
    <t>Kevin Minor</t>
  </si>
  <si>
    <t>3744 Garrison Ave</t>
  </si>
  <si>
    <t>KEVIN MOCK</t>
  </si>
  <si>
    <t>6800 Encore Cir Unit 111</t>
  </si>
  <si>
    <t>KEVIN SMITH</t>
  </si>
  <si>
    <t>4233 Woodmont Rd</t>
  </si>
  <si>
    <t>KEVIN W LIMPERT</t>
  </si>
  <si>
    <t>2331 Saint Roberts Ln</t>
  </si>
  <si>
    <t>Kevins Auto Sales LLC</t>
  </si>
  <si>
    <t>1512 Sylvania</t>
  </si>
  <si>
    <t>KEY BANK NATIONAL ASSOCIATION</t>
  </si>
  <si>
    <t>Keyah Lynch</t>
  </si>
  <si>
    <t>360 Islington St.</t>
  </si>
  <si>
    <t>KEYBANK NATIONAL ASSOC</t>
  </si>
  <si>
    <t>KEYBANK NATIONAL ASSOCIATION</t>
  </si>
  <si>
    <t>KEYBANK NATIONAL NA</t>
  </si>
  <si>
    <t>KHALID J KNIGHT</t>
  </si>
  <si>
    <t>525 Lodge Ave</t>
  </si>
  <si>
    <t>KHAMYA BROWN</t>
  </si>
  <si>
    <t>6510 Brint Rd Apt 403</t>
  </si>
  <si>
    <t>KHECHEN HUSSEIN</t>
  </si>
  <si>
    <t>5650 Planet</t>
  </si>
  <si>
    <t>Khenyada Beck</t>
  </si>
  <si>
    <t>242 Connelsville Ave</t>
  </si>
  <si>
    <t>KIANA NICOLE WOODSON</t>
  </si>
  <si>
    <t>5601 Willowood Ct</t>
  </si>
  <si>
    <t>KIARA BYRD</t>
  </si>
  <si>
    <t>4108 Hermosa Ave</t>
  </si>
  <si>
    <t>KIARA C PALMER</t>
  </si>
  <si>
    <t>1031 Lincoln Ave</t>
  </si>
  <si>
    <t>KIARA OLDS</t>
  </si>
  <si>
    <t>3942 Drexel Dr</t>
  </si>
  <si>
    <t>KIGAR RICK A</t>
  </si>
  <si>
    <t>KIM C CHURCHILL</t>
  </si>
  <si>
    <t>5411 Sandra Ct</t>
  </si>
  <si>
    <t>KIM HESS</t>
  </si>
  <si>
    <t>3612 Queenswood Blvd</t>
  </si>
  <si>
    <t>KIMBERLEE K PONTIOUS</t>
  </si>
  <si>
    <t>548 Favony Ave</t>
  </si>
  <si>
    <t>KIMBERLIE CAMPBELL</t>
  </si>
  <si>
    <t>1821 Heatherdowns Blvd</t>
  </si>
  <si>
    <t>KIMBERLY ANN ELLIS</t>
  </si>
  <si>
    <t>597 Weirwood Dr</t>
  </si>
  <si>
    <t>KIMBERLY ANN HINELINE</t>
  </si>
  <si>
    <t>1612 Park Ridge Ln</t>
  </si>
  <si>
    <t>KIMBERLY ANN LISHEWSKI</t>
  </si>
  <si>
    <t>9143 Bowman Farms Ln</t>
  </si>
  <si>
    <t>KIMBERLY C KUREK</t>
  </si>
  <si>
    <t>405 Madison Ave                  Ste 2000</t>
  </si>
  <si>
    <t>KIMBERLY HARRIS WILLIAMS</t>
  </si>
  <si>
    <t>2039 Brookdale Rd</t>
  </si>
  <si>
    <t>KIMBERLY HAVENER</t>
  </si>
  <si>
    <t>441 Temple Rd</t>
  </si>
  <si>
    <t>Kimberly Hodges</t>
  </si>
  <si>
    <t>1131 Claudia Ln Apt C</t>
  </si>
  <si>
    <t>Findlay</t>
  </si>
  <si>
    <t>KIMBERLY KERN ADAMS</t>
  </si>
  <si>
    <t>4121 Elmhurst Rd</t>
  </si>
  <si>
    <t>KIMBERLY KUREK</t>
  </si>
  <si>
    <t>405 Madison Street       Ste 2000</t>
  </si>
  <si>
    <t>Kimberly Lillibridge</t>
  </si>
  <si>
    <t>1975 Grimes Golden Dr</t>
  </si>
  <si>
    <t>KIMBERLY MUMFORD</t>
  </si>
  <si>
    <t>527 Raymer Blvd</t>
  </si>
  <si>
    <t>KIMBERLY PHILLIPS</t>
  </si>
  <si>
    <t>1901 Meadowlark Ave</t>
  </si>
  <si>
    <t>KIMBERLY RAE NETRY</t>
  </si>
  <si>
    <t>6061 Rockdale Ln</t>
  </si>
  <si>
    <t>KIMBERLY S KONDALSKI</t>
  </si>
  <si>
    <t>4342 Old Saybrook Dr</t>
  </si>
  <si>
    <t>KIMBERLY S. GOODMAN</t>
  </si>
  <si>
    <t>1931 N. Superior St</t>
  </si>
  <si>
    <t>KIMBERLY SLAGLE</t>
  </si>
  <si>
    <t>1935 Country Terrace Apt. 20G</t>
  </si>
  <si>
    <t>KIMBERLY STAFFORD</t>
  </si>
  <si>
    <t>3532 Wersell Ave</t>
  </si>
  <si>
    <t>KIMBERLY SUSAN HUBER</t>
  </si>
  <si>
    <t>501 Deline Dr</t>
  </si>
  <si>
    <t>KIMBERLY WARE</t>
  </si>
  <si>
    <t>3755 Stannard Dr</t>
  </si>
  <si>
    <t>KIMBLE BRANDON</t>
  </si>
  <si>
    <t>3240 Edison</t>
  </si>
  <si>
    <t>KIMBRELL ROBERT</t>
  </si>
  <si>
    <t>3435 Mary Allen</t>
  </si>
  <si>
    <t>KIMBROUGH JAHAAN</t>
  </si>
  <si>
    <t>KINDER DAVID</t>
  </si>
  <si>
    <t>2729 112Th Street</t>
  </si>
  <si>
    <t>KING BRIAN</t>
  </si>
  <si>
    <t>1913 Roselawn</t>
  </si>
  <si>
    <t>KING, ATOI</t>
  </si>
  <si>
    <t>Fam/Aug 2019</t>
  </si>
  <si>
    <t>KIRBY KATHY</t>
  </si>
  <si>
    <t>2127 Monroe St</t>
  </si>
  <si>
    <t>KIRK JENSEN</t>
  </si>
  <si>
    <t>4617 Waterford Ct</t>
  </si>
  <si>
    <t>KIRK WOLFE</t>
  </si>
  <si>
    <t>6125 Jeffrey Ln</t>
  </si>
  <si>
    <t>Kirk Wolfe</t>
  </si>
  <si>
    <t>KIRSTEN M QUEENAN</t>
  </si>
  <si>
    <t>10650 Neowash Rd</t>
  </si>
  <si>
    <t>KIRSTIN SHEPARD</t>
  </si>
  <si>
    <t>5114 Pawnee Rd</t>
  </si>
  <si>
    <t>Kisha Campbell</t>
  </si>
  <si>
    <t>10 Chase Ct</t>
  </si>
  <si>
    <t>Springboro</t>
  </si>
  <si>
    <t>KISTNER,JACOB</t>
  </si>
  <si>
    <t>13546 Neowash Rd</t>
  </si>
  <si>
    <t>KIYAH WHITSON</t>
  </si>
  <si>
    <t>1940 Princeton Dr Apt 1</t>
  </si>
  <si>
    <t>KIZER TERREL</t>
  </si>
  <si>
    <t>1524 Ontario</t>
  </si>
  <si>
    <t>KLEIN LAURA</t>
  </si>
  <si>
    <t>5013 Stengel Avenue</t>
  </si>
  <si>
    <t>KLOSEK EDMOND</t>
  </si>
  <si>
    <t>300 Madison #1600</t>
  </si>
  <si>
    <t>KLOSEK EDMOND   KENT RIESEN ESQ</t>
  </si>
  <si>
    <t>KLOSEK RICHARD</t>
  </si>
  <si>
    <t>KLOSEK RICHARD   KENT RIESEN ESQ</t>
  </si>
  <si>
    <t>KLUG VICTOR R ETAL</t>
  </si>
  <si>
    <t>1016 Greenwood Ave</t>
  </si>
  <si>
    <t>KM3 INC</t>
  </si>
  <si>
    <t>9429 Valetta Drive</t>
  </si>
  <si>
    <t>K-MART</t>
  </si>
  <si>
    <t>5956 West Central Avenue</t>
  </si>
  <si>
    <t>KNIGHT ANDREW</t>
  </si>
  <si>
    <t>4324 Boydson</t>
  </si>
  <si>
    <t>Koala Auto Group LLC</t>
  </si>
  <si>
    <t>8860 Prov Swan Rd</t>
  </si>
  <si>
    <t>KOBY VINCENT WEIS</t>
  </si>
  <si>
    <t>2338 Dellwood Dr</t>
  </si>
  <si>
    <t>KOEHLER LONNIE</t>
  </si>
  <si>
    <t>1049 N Warpole Unit 31</t>
  </si>
  <si>
    <t>Upper Sandusky</t>
  </si>
  <si>
    <t>KOHLI,SUZANNAH</t>
  </si>
  <si>
    <t>2848 Jodore Ave</t>
  </si>
  <si>
    <t>Kolodzaike, Molly</t>
  </si>
  <si>
    <t>3162 Rocksberry Ave</t>
  </si>
  <si>
    <t>KONNOR JOSHUA CHUBA</t>
  </si>
  <si>
    <t>2017 Key St Apt H</t>
  </si>
  <si>
    <t>KONTAK JAMES</t>
  </si>
  <si>
    <t>6651 North River Road</t>
  </si>
  <si>
    <t>KORALEWSKI,JUSTIN</t>
  </si>
  <si>
    <t>2553 Ivy Pl</t>
  </si>
  <si>
    <t>KORAS PETER</t>
  </si>
  <si>
    <t>2617 120Th</t>
  </si>
  <si>
    <t>KORI SZIROTNYAK</t>
  </si>
  <si>
    <t>4610 W Sylvania Ave #6</t>
  </si>
  <si>
    <t>KORINA K PARSONS</t>
  </si>
  <si>
    <t>9728 Fairmeadows Ln</t>
  </si>
  <si>
    <t>KOURTNEY MICHELLE E HANENKRATT</t>
  </si>
  <si>
    <t>6307 Weckerly Rd</t>
  </si>
  <si>
    <t>KOURTNIE BECK</t>
  </si>
  <si>
    <t>5873 Sims Dr</t>
  </si>
  <si>
    <t>KOVACH BEVERLY</t>
  </si>
  <si>
    <t>292 Division Street #5A</t>
  </si>
  <si>
    <t>Petersburg</t>
  </si>
  <si>
    <t>KRALL,BENJAMIN</t>
  </si>
  <si>
    <t>KRAMP,GREGORY</t>
  </si>
  <si>
    <t>916 W Wayne St</t>
  </si>
  <si>
    <t>KRESAL MATTHEW</t>
  </si>
  <si>
    <t>KRETZ GREGORY P</t>
  </si>
  <si>
    <t>413 N Michigan Street</t>
  </si>
  <si>
    <t>KRIEGER SHAWN</t>
  </si>
  <si>
    <t>2731 Monroe</t>
  </si>
  <si>
    <t>Kris Farnham</t>
  </si>
  <si>
    <t>Unclaimed Funds - 2024 Est 2174 Estate Of Edward R. Extine</t>
  </si>
  <si>
    <t>Kristen Bates</t>
  </si>
  <si>
    <t>2846 Eldora Dr</t>
  </si>
  <si>
    <t>Kristen E Rockwell</t>
  </si>
  <si>
    <t>9 Naugatuck Way</t>
  </si>
  <si>
    <t>KRISTEN MEACH</t>
  </si>
  <si>
    <t>6956 Clare Ct</t>
  </si>
  <si>
    <t>KRISTEN S RYALL</t>
  </si>
  <si>
    <t>4218 Stannard Dr</t>
  </si>
  <si>
    <t>KRISTEN SAUL</t>
  </si>
  <si>
    <t>3025 Gunckel Blvd Lowr</t>
  </si>
  <si>
    <t>KRISTI ELAINE GOOLSBY</t>
  </si>
  <si>
    <t>4133 Kingsmoor Dr</t>
  </si>
  <si>
    <t>KRISTIE M REECE</t>
  </si>
  <si>
    <t>747 Utah St</t>
  </si>
  <si>
    <t>KRISTIN BROWN</t>
  </si>
  <si>
    <t>79 South Main St</t>
  </si>
  <si>
    <t>KRISTIN R BRUCE</t>
  </si>
  <si>
    <t>3627 Larchmont Pkwy</t>
  </si>
  <si>
    <t>KRISTIN ROSE LAY</t>
  </si>
  <si>
    <t>3141 Darlington Rd</t>
  </si>
  <si>
    <t>KRISTIN T HEATH</t>
  </si>
  <si>
    <t>6623 Mill Ridge Rd</t>
  </si>
  <si>
    <t>KRISTINA KIDD</t>
  </si>
  <si>
    <t>5615 Corduroy Rd</t>
  </si>
  <si>
    <t>KRISTINA L EULER</t>
  </si>
  <si>
    <t>11060 Oak Pointe Dr</t>
  </si>
  <si>
    <t>KRISTINA MOHLER</t>
  </si>
  <si>
    <t>4604 Framingham Dr</t>
  </si>
  <si>
    <t>KRISTINE A MILLER</t>
  </si>
  <si>
    <t>2742 Persimmon Dr</t>
  </si>
  <si>
    <t>KRISTINE E NICKOLS</t>
  </si>
  <si>
    <t>3532 Homewood Ave</t>
  </si>
  <si>
    <t>Kristine Hansen</t>
  </si>
  <si>
    <t>376 N 916 E</t>
  </si>
  <si>
    <t>Declo</t>
  </si>
  <si>
    <t>ID</t>
  </si>
  <si>
    <t>Kristine Ward</t>
  </si>
  <si>
    <t>2702 128Th St.</t>
  </si>
  <si>
    <t>KRISTOPHER CHARLES HAMPTON BEY</t>
  </si>
  <si>
    <t>1334 Ogontz Ave</t>
  </si>
  <si>
    <t>KRISTOPHER LEONARD</t>
  </si>
  <si>
    <t>KRISTOPHER M BYERS</t>
  </si>
  <si>
    <t>2627 Edgar St</t>
  </si>
  <si>
    <t>KRISTY ANN SCHUSTER</t>
  </si>
  <si>
    <t>5716 Waterford Pl</t>
  </si>
  <si>
    <t>KRISTY LYNN ADKINS</t>
  </si>
  <si>
    <t>943 Alvison Rd</t>
  </si>
  <si>
    <t>KRISTYN M NICHOLS</t>
  </si>
  <si>
    <t>2545 W Sylvania Ave</t>
  </si>
  <si>
    <t>KRONCKE KEVIN</t>
  </si>
  <si>
    <t>5913 Wildwood</t>
  </si>
  <si>
    <t>Kronos SaaShr, Inc.</t>
  </si>
  <si>
    <t>P.O. Box 744724</t>
  </si>
  <si>
    <t>KRUSZYNSKI MICHAEL JOHN</t>
  </si>
  <si>
    <t>5813 Durbin Road</t>
  </si>
  <si>
    <t>KRYSTAL JONES</t>
  </si>
  <si>
    <t>2038 Parkside Blvd</t>
  </si>
  <si>
    <t>KRYSTAL M GORNEY</t>
  </si>
  <si>
    <t>4429 Stannard Dr</t>
  </si>
  <si>
    <t>KRYSTLE ANN HERNANDEZ</t>
  </si>
  <si>
    <t>5620 Nebraska Ave</t>
  </si>
  <si>
    <t>KRYSTOFER MANGOLD</t>
  </si>
  <si>
    <t>6815 Wycliffe Dr</t>
  </si>
  <si>
    <t>KSMG LLC</t>
  </si>
  <si>
    <t>3015 Norris Ave</t>
  </si>
  <si>
    <t>Parma</t>
  </si>
  <si>
    <t>KURT BERNARD BUSSON</t>
  </si>
  <si>
    <t>3505 Worden Rd</t>
  </si>
  <si>
    <t>KURT R MEYER</t>
  </si>
  <si>
    <t>630 Sylvandale Ave</t>
  </si>
  <si>
    <t>Kurt R Meyer</t>
  </si>
  <si>
    <t>KURT SAWYER</t>
  </si>
  <si>
    <t>2704 Gunckel Blvd</t>
  </si>
  <si>
    <t>KURT SNOW</t>
  </si>
  <si>
    <t>7256 Brown Rd</t>
  </si>
  <si>
    <t>KUTZLI,LAURA</t>
  </si>
  <si>
    <t>3553 Claudia Dr</t>
  </si>
  <si>
    <t>KWAPICH PATRICIA</t>
  </si>
  <si>
    <t>1440 5Th</t>
  </si>
  <si>
    <t>Kwik Parking</t>
  </si>
  <si>
    <t>Po Box 1985</t>
  </si>
  <si>
    <t>KY A POORE</t>
  </si>
  <si>
    <t>3015 Colby Dr</t>
  </si>
  <si>
    <t>KYIA NIKKOL MARSENBURG</t>
  </si>
  <si>
    <t>405 W Alexis Rd Apt 35</t>
  </si>
  <si>
    <t>KYLA KANELLIS</t>
  </si>
  <si>
    <t>9817 Oak Place Court</t>
  </si>
  <si>
    <t>KYLA TIERNEY SWITZER</t>
  </si>
  <si>
    <t>1178 Bernath Parkway</t>
  </si>
  <si>
    <t>KYLE A GREEN</t>
  </si>
  <si>
    <t>2113 Longport Dr</t>
  </si>
  <si>
    <t>KYLE A SILVERS</t>
  </si>
  <si>
    <t>405 Madison</t>
  </si>
  <si>
    <t>KYLE CRAWFORD</t>
  </si>
  <si>
    <t>5121 Adella St</t>
  </si>
  <si>
    <t>KYLE FREDERIC SMITH</t>
  </si>
  <si>
    <t>5553 Lewis Ave Apt 13</t>
  </si>
  <si>
    <t>KYLE G MCHUGH</t>
  </si>
  <si>
    <t>5941 Murnen Rd</t>
  </si>
  <si>
    <t>KYLE J GLONEK</t>
  </si>
  <si>
    <t>2838 Byrnwyck W</t>
  </si>
  <si>
    <t>KYLE J WILKINS</t>
  </si>
  <si>
    <t>827 Custer Dr</t>
  </si>
  <si>
    <t>KYLE JAMES RODEBAUGH</t>
  </si>
  <si>
    <t>4645 S May Ave</t>
  </si>
  <si>
    <t>KYLE M JAKUBOWSKI</t>
  </si>
  <si>
    <t>4430 N Holland Sylvania Rd  Apt 3308</t>
  </si>
  <si>
    <t>Kyle McClure</t>
  </si>
  <si>
    <t>1024 Freedom</t>
  </si>
  <si>
    <t>KYLE MICHAEL JAKUBOWSKI</t>
  </si>
  <si>
    <t>8108 Hidden Harbour Dr W</t>
  </si>
  <si>
    <t>KYLE PATRICK FORD</t>
  </si>
  <si>
    <t>1649 Tadmore Dr</t>
  </si>
  <si>
    <t>KYLE ROBBINS</t>
  </si>
  <si>
    <t>1337 Hugo St</t>
  </si>
  <si>
    <t>KYLE THANASIU</t>
  </si>
  <si>
    <t>6059 Fairhaven Dr</t>
  </si>
  <si>
    <t>KYLE VALLONGO</t>
  </si>
  <si>
    <t>5628 King Arthur Ct</t>
  </si>
  <si>
    <t>KYLER OMEY</t>
  </si>
  <si>
    <t>7150 Berkey Southern Road</t>
  </si>
  <si>
    <t>KYLIE N VARY</t>
  </si>
  <si>
    <t>4634 Springbrook Dr</t>
  </si>
  <si>
    <t>KYNARD ROBERT</t>
  </si>
  <si>
    <t>3244 Glenwood</t>
  </si>
  <si>
    <t>KYNARD VIRGINIA Y</t>
  </si>
  <si>
    <t>341 Sentry Hill Rd</t>
  </si>
  <si>
    <t>La Prensa Publications, Inc.
D.B.A. La Prensa</t>
  </si>
  <si>
    <t>616 Adams St.</t>
  </si>
  <si>
    <t>LABRAHN PARKER, LEVENNA GAITHER &amp; CLEODIS PARKER</t>
  </si>
  <si>
    <t>1251 Tecumseh St</t>
  </si>
  <si>
    <t>LADDIE PAUL</t>
  </si>
  <si>
    <t>1721 Wychwood</t>
  </si>
  <si>
    <t>Lafontaine Automotive Group</t>
  </si>
  <si>
    <t>2027 S Telegaph Rd</t>
  </si>
  <si>
    <t>Dearborn</t>
  </si>
  <si>
    <t>111 S Commerce Rd</t>
  </si>
  <si>
    <t>Walled Lake</t>
  </si>
  <si>
    <t>3500 Jackson Rd</t>
  </si>
  <si>
    <t>Ann Arbor</t>
  </si>
  <si>
    <t>500 Auto Mall</t>
  </si>
  <si>
    <t>500 Auto Mall Dr</t>
  </si>
  <si>
    <t>Lafontaine Chevrolet</t>
  </si>
  <si>
    <t>7120 Dexter Ann Arbor Rd</t>
  </si>
  <si>
    <t>Dexter</t>
  </si>
  <si>
    <t>Lafontaine Subaru</t>
  </si>
  <si>
    <t>3055 W Maple Rd Ste A</t>
  </si>
  <si>
    <t>Commerce Twp</t>
  </si>
  <si>
    <t>Lah'Margrea Hart</t>
  </si>
  <si>
    <t>1615 Lawnview Ave</t>
  </si>
  <si>
    <t>LAKEVIEW LOAN SERVICING LLC</t>
  </si>
  <si>
    <t>Lamar D Taylor</t>
  </si>
  <si>
    <t>2236 Havenwood Dr</t>
  </si>
  <si>
    <t>LANA THRASH</t>
  </si>
  <si>
    <t>2559 Briarwood Ln</t>
  </si>
  <si>
    <t>LANCE CHANEY</t>
  </si>
  <si>
    <t>1066 King Street</t>
  </si>
  <si>
    <t>Lance Lycourt</t>
  </si>
  <si>
    <t>760 Weatherstone Rd</t>
  </si>
  <si>
    <t>Lance T Williams</t>
  </si>
  <si>
    <t>927 W State Line Rd Apt 9</t>
  </si>
  <si>
    <t>LANDS, SHANNON</t>
  </si>
  <si>
    <t>Health-June</t>
  </si>
  <si>
    <t>LANE ALEXIS</t>
  </si>
  <si>
    <t>LANKENAU LAW</t>
  </si>
  <si>
    <t>105 West Main Street</t>
  </si>
  <si>
    <t>LAQUESHIA S RIDLEY</t>
  </si>
  <si>
    <t>509 Winfield Rd</t>
  </si>
  <si>
    <t>LARA MARIE FYE</t>
  </si>
  <si>
    <t>4103 Harvest Ln Apt 10</t>
  </si>
  <si>
    <t>LARA MARTIN LENGEL</t>
  </si>
  <si>
    <t>1924 Broadstone Rd</t>
  </si>
  <si>
    <t>Larissa Yerg</t>
  </si>
  <si>
    <t>2622 Claredale Rd</t>
  </si>
  <si>
    <t>LARKETT ERICA</t>
  </si>
  <si>
    <t>4723 Southaire Avenue</t>
  </si>
  <si>
    <t>8133 Airport Highway</t>
  </si>
  <si>
    <t>LARON BANKSTON</t>
  </si>
  <si>
    <t>709 Madison Suite 220</t>
  </si>
  <si>
    <t>709 Madison Ave                  Ste 220</t>
  </si>
  <si>
    <t>LARRY BENEDICT</t>
  </si>
  <si>
    <t>527 Whitlock Ave</t>
  </si>
  <si>
    <t>LARRY C LOO</t>
  </si>
  <si>
    <t>2241 Heatherwood Dr</t>
  </si>
  <si>
    <t>LARRY DILABBIO</t>
  </si>
  <si>
    <t>316 N Michigan St Suite 600</t>
  </si>
  <si>
    <t>Larry Haar</t>
  </si>
  <si>
    <t>LARRY J MACIOLEK</t>
  </si>
  <si>
    <t>1774 Sudbury Dr</t>
  </si>
  <si>
    <t>Larry J. Martin</t>
  </si>
  <si>
    <t>1574 Park Ridge Ln</t>
  </si>
  <si>
    <t>LARRY SINGLETON</t>
  </si>
  <si>
    <t>03151 County Road 2425</t>
  </si>
  <si>
    <t>LARRY THOMAS KOREN</t>
  </si>
  <si>
    <t>3431 Seaman Rd</t>
  </si>
  <si>
    <t>LARRY TWIGG</t>
  </si>
  <si>
    <t>608 Miami Mnr</t>
  </si>
  <si>
    <t>LARS R SWEEDE</t>
  </si>
  <si>
    <t>800 Continental Dr</t>
  </si>
  <si>
    <t>LASHANDA JOHNSON</t>
  </si>
  <si>
    <t>1212 Steeple Chase Cir Apt 13D</t>
  </si>
  <si>
    <t>LASHONDA E NEWBERN</t>
  </si>
  <si>
    <t>718 Richards Rd</t>
  </si>
  <si>
    <t>Latanya Collins</t>
  </si>
  <si>
    <t>228 Rockingham St.</t>
  </si>
  <si>
    <t>LATIKKA ANTUANETTE COFFIE</t>
  </si>
  <si>
    <t>3141 Chase St</t>
  </si>
  <si>
    <t>Latina Jett</t>
  </si>
  <si>
    <t>287 W Woodside Ter</t>
  </si>
  <si>
    <t>LATONYA WATSON</t>
  </si>
  <si>
    <t>5122 Egger Rd</t>
  </si>
  <si>
    <t>LATOYA JANEE JENKINS</t>
  </si>
  <si>
    <t>934 Geneva Ave</t>
  </si>
  <si>
    <t>LATRICE ANN HENDERSON</t>
  </si>
  <si>
    <t>1078 Amanda Cir</t>
  </si>
  <si>
    <t>LATRINA MOORE</t>
  </si>
  <si>
    <t>1148 Shadow Ln</t>
  </si>
  <si>
    <t>LAU JOSEPH</t>
  </si>
  <si>
    <t>6440 Brown Rd</t>
  </si>
  <si>
    <t>LAUDTO NICOLAS</t>
  </si>
  <si>
    <t>414 N Erie</t>
  </si>
  <si>
    <t>LAUMANN,CAROL</t>
  </si>
  <si>
    <t>6849 Southpine Ct</t>
  </si>
  <si>
    <t>LAURA ANN BAIRD</t>
  </si>
  <si>
    <t>745 Washington St Apt 602</t>
  </si>
  <si>
    <t>LAURA ANN LUBINSKI</t>
  </si>
  <si>
    <t>4315 Belmar Ave</t>
  </si>
  <si>
    <t>LAURA ANNE HASYN</t>
  </si>
  <si>
    <t>7404 Lock Mill Ct</t>
  </si>
  <si>
    <t>LAURA ARMSTRONG</t>
  </si>
  <si>
    <t>4465 Pickle Rd</t>
  </si>
  <si>
    <t>LAURA BERRYMAN</t>
  </si>
  <si>
    <t>711 Ansonia St</t>
  </si>
  <si>
    <t>LAURA BRINDLEY</t>
  </si>
  <si>
    <t>5602 W Rowland Rd</t>
  </si>
  <si>
    <t>LAURA BRINLEE</t>
  </si>
  <si>
    <t>519 Walsh St</t>
  </si>
  <si>
    <t>Laura Dale</t>
  </si>
  <si>
    <t>LAURA DEPEW</t>
  </si>
  <si>
    <t>2141-1/2 Valentine St</t>
  </si>
  <si>
    <t>LAURA E FRITSCH</t>
  </si>
  <si>
    <t>6944 Wexford Hill Ln</t>
  </si>
  <si>
    <t>LAURA ELIZABETH CRAWFORD</t>
  </si>
  <si>
    <t>540 Maumee Ave</t>
  </si>
  <si>
    <t>LAURA KAY RYBARCZYK</t>
  </si>
  <si>
    <t>217 Northdale Dr</t>
  </si>
  <si>
    <t>LAURA L MOBLEY</t>
  </si>
  <si>
    <t>2915 Midwood Ave</t>
  </si>
  <si>
    <t>LAURA L SHOUP</t>
  </si>
  <si>
    <t>6184 Larchway Rd</t>
  </si>
  <si>
    <t>LAURA LEE GERKEN</t>
  </si>
  <si>
    <t>1715 Fanning Dr</t>
  </si>
  <si>
    <t>Laura Lenz</t>
  </si>
  <si>
    <t>12594 Weston Rd</t>
  </si>
  <si>
    <t>Riga</t>
  </si>
  <si>
    <t>LAURA LENZ</t>
  </si>
  <si>
    <t>2515 Drummond Rd</t>
  </si>
  <si>
    <t>LAURA MARIE RUSSELL</t>
  </si>
  <si>
    <t>3400 Charter Oak Dr</t>
  </si>
  <si>
    <t>LAURA NOEL MANN</t>
  </si>
  <si>
    <t>2306 Rockspring Rd</t>
  </si>
  <si>
    <t>LAURA TAYLOR SHORT</t>
  </si>
  <si>
    <t>5082 Breezeway Dr</t>
  </si>
  <si>
    <t>LAUREN ANNE CARVER</t>
  </si>
  <si>
    <t>4554 N Mccord Rd</t>
  </si>
  <si>
    <t>LAUREN ASHLEE GREENE</t>
  </si>
  <si>
    <t>5060 Highpoint Dr</t>
  </si>
  <si>
    <t>LAUREN CAROL COLBY</t>
  </si>
  <si>
    <t>4324 Candlewood Ln</t>
  </si>
  <si>
    <t>LAUREN ELIZABETH BAESSLER</t>
  </si>
  <si>
    <t>212 E Harrison St</t>
  </si>
  <si>
    <t>LAUREN ELIZABETH BIALY</t>
  </si>
  <si>
    <t>2731 Schneider</t>
  </si>
  <si>
    <t>LAUREN J MUTTER BIRNER</t>
  </si>
  <si>
    <t>123 Pebble Beach Dr</t>
  </si>
  <si>
    <t>LAUREN JENNIFER CARNCROSS</t>
  </si>
  <si>
    <t>1543 Lombard Ave</t>
  </si>
  <si>
    <t>LAUREN JOSEPHINE MASTIN</t>
  </si>
  <si>
    <t>4010 Royer Rd Apt 101</t>
  </si>
  <si>
    <t>LAUREN L DEHART</t>
  </si>
  <si>
    <t>4604 Indian Ridge Rd</t>
  </si>
  <si>
    <t>LAUREN MARIE JOHNSON</t>
  </si>
  <si>
    <t>128 University Blvd</t>
  </si>
  <si>
    <t>LAUREN MARSHALL</t>
  </si>
  <si>
    <t>6822 Gaines Mill Dr</t>
  </si>
  <si>
    <t>LAUREN MICHELLE CLINTON</t>
  </si>
  <si>
    <t>6113 Grainfield Dr</t>
  </si>
  <si>
    <t>LAUREN NICOLE CARL</t>
  </si>
  <si>
    <t>4702 Sheringham Ln</t>
  </si>
  <si>
    <t>LAUREN STEWART</t>
  </si>
  <si>
    <t>1208 Sierra Dr</t>
  </si>
  <si>
    <t>LAURIE A BOGGS</t>
  </si>
  <si>
    <t>4359 Bromfield Cir</t>
  </si>
  <si>
    <t>LAURIE BELKNAP</t>
  </si>
  <si>
    <t>427 Overlook Dr</t>
  </si>
  <si>
    <t>LAURIE FAULKNER</t>
  </si>
  <si>
    <t>3712 Revere Drive</t>
  </si>
  <si>
    <t>LAURIE SWEENEY</t>
  </si>
  <si>
    <t>485 Springs Dr</t>
  </si>
  <si>
    <t>LAVALETTE JOSEPH N</t>
  </si>
  <si>
    <t>5614 Ginger Tree Ln</t>
  </si>
  <si>
    <t>Lavelle Willis</t>
  </si>
  <si>
    <t>2437 Evans St.</t>
  </si>
  <si>
    <t>2022 Est 001216 - Est. Of Sabrina R. Willis</t>
  </si>
  <si>
    <t>LAW OFFICES OF KURT M YOUNG</t>
  </si>
  <si>
    <t>LAWANDRA RENEE STUART</t>
  </si>
  <si>
    <t>127 Lyric Ln</t>
  </si>
  <si>
    <t>LAWRENCE B LARUE</t>
  </si>
  <si>
    <t>8609 Whitecliff Ct</t>
  </si>
  <si>
    <t>LAWRENCE FRIEDEMAN</t>
  </si>
  <si>
    <t>472 Patriot Dr W</t>
  </si>
  <si>
    <t>LAWRENCE GROTH</t>
  </si>
  <si>
    <t>LAWRENCE J SNEIDER</t>
  </si>
  <si>
    <t>6041 Tetherwood Dr</t>
  </si>
  <si>
    <t>LAWRENCE W BOLDT</t>
  </si>
  <si>
    <t>2007 Pinelawn Dr</t>
  </si>
  <si>
    <t>LAWSON MALIQ</t>
  </si>
  <si>
    <t>1501 Brookepark Unit 7</t>
  </si>
  <si>
    <t>LAWSON TERRELL</t>
  </si>
  <si>
    <t>LB UBS 2007 C2 OH 1 PROPERTIES</t>
  </si>
  <si>
    <t>41 South High St  Ste 3100</t>
  </si>
  <si>
    <t>LE GUY</t>
  </si>
  <si>
    <t>1244 Glenview Rd</t>
  </si>
  <si>
    <t>LEADER PREFFERED INS COMPANY C/O ROETZEL AND ANDRESS</t>
  </si>
  <si>
    <t>1 Seagate Suite 999</t>
  </si>
  <si>
    <t>Leadership Toledo Inc</t>
  </si>
  <si>
    <t>316 Adams Street</t>
  </si>
  <si>
    <t>LEAH K BAKER</t>
  </si>
  <si>
    <t>3912 Rugby Dr</t>
  </si>
  <si>
    <t>LEANN MARIE LOHR</t>
  </si>
  <si>
    <t>2406 Hiddenbrook Dr</t>
  </si>
  <si>
    <t>LEASOR,SUSAN</t>
  </si>
  <si>
    <t>10020 Hertzfeld Rd</t>
  </si>
  <si>
    <t>LEBOLD CHARLENE J.</t>
  </si>
  <si>
    <t>9689 Oak Haven Ct.</t>
  </si>
  <si>
    <t>LECRON ELIZABETH</t>
  </si>
  <si>
    <t>3608 Willowrun</t>
  </si>
  <si>
    <t>LEE A BROWN</t>
  </si>
  <si>
    <t>6053 Manley Rd Apt C</t>
  </si>
  <si>
    <t>LEE MILDRED MARIE</t>
  </si>
  <si>
    <t>1105 Woodland Ave</t>
  </si>
  <si>
    <t>Lee Nijakowski</t>
  </si>
  <si>
    <t>3833 S Beverly Hills Dr</t>
  </si>
  <si>
    <t>LEE NIJAKOWSKI</t>
  </si>
  <si>
    <t>3437 Goddard Rd</t>
  </si>
  <si>
    <t>Lee Perry</t>
  </si>
  <si>
    <t>3824 Hoiles Ave</t>
  </si>
  <si>
    <t>LEE R LEWIS</t>
  </si>
  <si>
    <t>4816 Glendale Ave Apt 6</t>
  </si>
  <si>
    <t>Leese, Lisa Marie</t>
  </si>
  <si>
    <t>1030 Mambrino Rd</t>
  </si>
  <si>
    <t>LEFFLERS ANTIQUES</t>
  </si>
  <si>
    <t>2646 West Central Ave</t>
  </si>
  <si>
    <t>LEIGH ANNE BADYNA</t>
  </si>
  <si>
    <t>7402 Woodshire Ln</t>
  </si>
  <si>
    <t>LEISA MARIE FESSLER</t>
  </si>
  <si>
    <t>817 N Huron St Apt 8</t>
  </si>
  <si>
    <t>Lena McClain</t>
  </si>
  <si>
    <t>1142 Fernwood Ave</t>
  </si>
  <si>
    <t>1142 Fernwood</t>
  </si>
  <si>
    <t>2022 Est 1613 - Est. Of Ray Charles Mcclain</t>
  </si>
  <si>
    <t>LENAVITT LAW OFFICES</t>
  </si>
  <si>
    <t>5800 Monroe St Blvd H</t>
  </si>
  <si>
    <t>LENNICE REGALADO</t>
  </si>
  <si>
    <t>1531 Lakewood St</t>
  </si>
  <si>
    <t>LEONA I CRAMER</t>
  </si>
  <si>
    <t>344 Parker Ave</t>
  </si>
  <si>
    <t>LEONARD HAROLD</t>
  </si>
  <si>
    <t>29961 Zachary Lane</t>
  </si>
  <si>
    <t>LEONARD JAMES</t>
  </si>
  <si>
    <t>222 Kevin</t>
  </si>
  <si>
    <t>LERNER SAMPSON</t>
  </si>
  <si>
    <t>120 East Fourth Street 8Th Flo</t>
  </si>
  <si>
    <t>120 East Fourth Street</t>
  </si>
  <si>
    <t>120 E Fourth St 8Th Fl</t>
  </si>
  <si>
    <t>LERNER SAMPSON ROTHFUSS</t>
  </si>
  <si>
    <t>120 E Fourth St 8Th</t>
  </si>
  <si>
    <t>120 East Fourth Street 8Th Fl</t>
  </si>
  <si>
    <t>120 East Fourth Street 8Th Fll</t>
  </si>
  <si>
    <t>120 East Fourth Street 8Th Floor</t>
  </si>
  <si>
    <t>120 E Fourth Street, 8Th Fl</t>
  </si>
  <si>
    <t>121 E Fourth Street, 8Th Fl</t>
  </si>
  <si>
    <t>120 East Fourth St 6Th Fl</t>
  </si>
  <si>
    <t>LERNER, SAMPSON &amp; ROTHFUSS</t>
  </si>
  <si>
    <t>P.O. Box 5480</t>
  </si>
  <si>
    <t>LEROY HERBERT KOSIER</t>
  </si>
  <si>
    <t>2246 Brothan Dr</t>
  </si>
  <si>
    <t>LESLIE BAUGHMAN</t>
  </si>
  <si>
    <t>1102 Hamilton St, Apt. #3</t>
  </si>
  <si>
    <t>LESLIE MARIE MATERNI</t>
  </si>
  <si>
    <t>7801 Laurel Glen Way Apt A</t>
  </si>
  <si>
    <t>LESLIE MEYER</t>
  </si>
  <si>
    <t>2530 Drummond Rd</t>
  </si>
  <si>
    <t>LESLIE RHEGNESS</t>
  </si>
  <si>
    <t>LESLIE,NORMA</t>
  </si>
  <si>
    <t>2710 Emmick Dr</t>
  </si>
  <si>
    <t>LETICIA J NEMIRE</t>
  </si>
  <si>
    <t>446 Danberry St</t>
  </si>
  <si>
    <t>LEVEY HOMER</t>
  </si>
  <si>
    <t>807 Tecumseh</t>
  </si>
  <si>
    <t>LEWANDOWSKI MICHAEL</t>
  </si>
  <si>
    <t>One Goverment Ctr Ste 1645</t>
  </si>
  <si>
    <t>LEWIS DANIEL</t>
  </si>
  <si>
    <t>LEWIS RANDALL</t>
  </si>
  <si>
    <t>2640 Eastvale Ave</t>
  </si>
  <si>
    <t>LEWIS RICARDO</t>
  </si>
  <si>
    <t>1109 Clark</t>
  </si>
  <si>
    <t>LEWIS SAMUEL K L</t>
  </si>
  <si>
    <t>4026 Fairview Dr</t>
  </si>
  <si>
    <t>Lewis, Renee</t>
  </si>
  <si>
    <t>Csb/Aug 2019</t>
  </si>
  <si>
    <t>LEWIS,PHILLIP</t>
  </si>
  <si>
    <t>5553 Malden Ave, Apt 2203</t>
  </si>
  <si>
    <t>Lexus of Ann Arbor</t>
  </si>
  <si>
    <t>590 Auto Mall Dr</t>
  </si>
  <si>
    <t>LIAM DANIEL OLINGER</t>
  </si>
  <si>
    <t>2829 Eldora Dr Apt 10</t>
  </si>
  <si>
    <t>LIAM MICHAEL DICK</t>
  </si>
  <si>
    <t>460 Patriot Dr W</t>
  </si>
  <si>
    <t>LIAM OLINGER</t>
  </si>
  <si>
    <t>LIAM WHITE</t>
  </si>
  <si>
    <t>5844 Ryewyck Dr</t>
  </si>
  <si>
    <t>LIFE TIME HOLDINGS LLC</t>
  </si>
  <si>
    <t>1701 Tollgate</t>
  </si>
  <si>
    <t>Lightgov, LLC</t>
  </si>
  <si>
    <t>Po Box 5100</t>
  </si>
  <si>
    <t>Poland</t>
  </si>
  <si>
    <t>LILITH SHANE</t>
  </si>
  <si>
    <t>4021 Amsterdam Rd</t>
  </si>
  <si>
    <t>LILLIAN RAE GRIMM</t>
  </si>
  <si>
    <t>1433 Toul Ave</t>
  </si>
  <si>
    <t>LIN YIZHI</t>
  </si>
  <si>
    <t>309A 301 East First Street</t>
  </si>
  <si>
    <t>LINCOLN RHONYE</t>
  </si>
  <si>
    <t>1401 E Mall</t>
  </si>
  <si>
    <t>LINDA A ETHER</t>
  </si>
  <si>
    <t>419 S Haven Rd</t>
  </si>
  <si>
    <t>LINDA BEALL</t>
  </si>
  <si>
    <t>2446 Barrington Dr</t>
  </si>
  <si>
    <t>LINDA BETH RUBLEY</t>
  </si>
  <si>
    <t>3203 Haughton Dr</t>
  </si>
  <si>
    <t>LINDA GEOFFRION</t>
  </si>
  <si>
    <t>1755 E Benwick Rd</t>
  </si>
  <si>
    <t>LINDA J KUHMAN</t>
  </si>
  <si>
    <t>3726 Larchmont Pkwy</t>
  </si>
  <si>
    <t>LINDA KAY JUNG</t>
  </si>
  <si>
    <t>2134 Stoneham Rd</t>
  </si>
  <si>
    <t>LINDA KINSTLER</t>
  </si>
  <si>
    <t>2750 Pickle Rd Apt 105</t>
  </si>
  <si>
    <t>LINDA MARIE GUBBE</t>
  </si>
  <si>
    <t>2009 Silverpine Ct</t>
  </si>
  <si>
    <t>LINDA MCALISTER</t>
  </si>
  <si>
    <t>3257 Maher St</t>
  </si>
  <si>
    <t>Linda McAlister</t>
  </si>
  <si>
    <t>LINDALEE ORA CLAUGUS</t>
  </si>
  <si>
    <t>2343 Wildwood Blvd</t>
  </si>
  <si>
    <t>LINDEN L KING</t>
  </si>
  <si>
    <t>1438 Sabra Rd</t>
  </si>
  <si>
    <t>LINDLEY CRYSTAL</t>
  </si>
  <si>
    <t>565 Orchard Street</t>
  </si>
  <si>
    <t>LINDSAY BATES</t>
  </si>
  <si>
    <t>2229 Heatherview Dr</t>
  </si>
  <si>
    <t>LINDSAY JOANNE K TRUSTEE</t>
  </si>
  <si>
    <t>8126 Hidden Harbour Dr W</t>
  </si>
  <si>
    <t>LINDSAY LEWANDOWSKI</t>
  </si>
  <si>
    <t>11176 Centerville St</t>
  </si>
  <si>
    <t>LINDSAY MARGARET HIERHOLZER</t>
  </si>
  <si>
    <t>112 E Harrison St</t>
  </si>
  <si>
    <t>LINDSAY MCKITRICK</t>
  </si>
  <si>
    <t>6154 Meteor Ave</t>
  </si>
  <si>
    <t>LINDSAY METZGER</t>
  </si>
  <si>
    <t>4246 Harvest Ln</t>
  </si>
  <si>
    <t>LINDSAY SANZENBACHER</t>
  </si>
  <si>
    <t>3743 Sulphur Spring Rd</t>
  </si>
  <si>
    <t>Lindsay Wysowaty</t>
  </si>
  <si>
    <t>5844 Adelaide Dr</t>
  </si>
  <si>
    <t>LINDSEY ARREDONDO</t>
  </si>
  <si>
    <t>LINDSEY M BIRR</t>
  </si>
  <si>
    <t>5648 Maple Creek Blvd</t>
  </si>
  <si>
    <t>LINDSEY MARIE MILLER</t>
  </si>
  <si>
    <t>1022 Underwood Ave</t>
  </si>
  <si>
    <t>LINDSEY ULCH</t>
  </si>
  <si>
    <t>4525 Harvest Ln</t>
  </si>
  <si>
    <t>LINZEY LINK</t>
  </si>
  <si>
    <t>5934 Woodside Trl</t>
  </si>
  <si>
    <t>LION CREST LLC</t>
  </si>
  <si>
    <t>4200 Regent Street Ste 200</t>
  </si>
  <si>
    <t>LIROT TEARIEGH</t>
  </si>
  <si>
    <t>1700 E High</t>
  </si>
  <si>
    <t>LISA &amp; JASON DAVIS</t>
  </si>
  <si>
    <t>4026 Wetzler Rd</t>
  </si>
  <si>
    <t>LISA A DECKER</t>
  </si>
  <si>
    <t>3813 Revere Dr</t>
  </si>
  <si>
    <t>Lisa A Henderson</t>
  </si>
  <si>
    <t>1505 Vinal St</t>
  </si>
  <si>
    <t>LISA ANN HESSLER</t>
  </si>
  <si>
    <t>1506 Craigwood Rd</t>
  </si>
  <si>
    <t>LISA ANN VANKLINGEREN</t>
  </si>
  <si>
    <t>6925 Gettysburg Dr</t>
  </si>
  <si>
    <t>Lisa Carpenter</t>
  </si>
  <si>
    <t>925 Joliet Dr.</t>
  </si>
  <si>
    <t>2021 Est 461 - Est. Of Jacob William Fogel</t>
  </si>
  <si>
    <t>LISA CUNNINGHAM</t>
  </si>
  <si>
    <t>LISA DALE ROSS</t>
  </si>
  <si>
    <t>715 S Holland Sylvania Rd Lot 76</t>
  </si>
  <si>
    <t>LISA DEARING</t>
  </si>
  <si>
    <t>7249 Nebraska Ave</t>
  </si>
  <si>
    <t>LISA H STOCKDALE</t>
  </si>
  <si>
    <t>3108 Winston Blvd</t>
  </si>
  <si>
    <t>LISA KAYE BAUMER</t>
  </si>
  <si>
    <t>1960 Pickle Rd</t>
  </si>
  <si>
    <t>LISA KUEHNLE</t>
  </si>
  <si>
    <t>6736 Sweet Bush Ct.</t>
  </si>
  <si>
    <t>LISA M HUCKABAA</t>
  </si>
  <si>
    <t>4847 Wickford Dr E Apt 1</t>
  </si>
  <si>
    <t>LISA M REMAKLUS</t>
  </si>
  <si>
    <t>7018 Manore Rd</t>
  </si>
  <si>
    <t>LISA MARIE J ACOBS</t>
  </si>
  <si>
    <t>2769 Pine Trace Dr</t>
  </si>
  <si>
    <t>LISA MARIE SMITH</t>
  </si>
  <si>
    <t>3939 Sylvanwood Dr</t>
  </si>
  <si>
    <t>LISA MAYER</t>
  </si>
  <si>
    <t>5872 Settlers Ridge Cir</t>
  </si>
  <si>
    <t>LISA N DISALLE</t>
  </si>
  <si>
    <t>2327 Poplar Ct</t>
  </si>
  <si>
    <t>LISA PROSHEK</t>
  </si>
  <si>
    <t>3436 W Lincolnshire Blvd</t>
  </si>
  <si>
    <t>Lisa Proshek</t>
  </si>
  <si>
    <t>LISA R PROSHEK</t>
  </si>
  <si>
    <t>LISA ROCKWELL</t>
  </si>
  <si>
    <t>5908 Sarah Lake Dr</t>
  </si>
  <si>
    <t>LISA ROSE DURIS</t>
  </si>
  <si>
    <t>1327 Slater St Apt 103</t>
  </si>
  <si>
    <t>LISA SHIPLEY</t>
  </si>
  <si>
    <t>205 Kierra Ln</t>
  </si>
  <si>
    <t>LISA SPENCER</t>
  </si>
  <si>
    <t>801 Linda Dr</t>
  </si>
  <si>
    <t>LISA TAYLOR</t>
  </si>
  <si>
    <t>5867 Sweetgum Dr</t>
  </si>
  <si>
    <t>Lisa Williams</t>
  </si>
  <si>
    <t>1228 N Erie St</t>
  </si>
  <si>
    <t>LITTLE JAMEL</t>
  </si>
  <si>
    <t>4300 International</t>
  </si>
  <si>
    <t>LKQ Corporation</t>
  </si>
  <si>
    <t>6180 Hagman Rd</t>
  </si>
  <si>
    <t>LLEWELLYN GIBBONS</t>
  </si>
  <si>
    <t>5910 Lakeside Ave</t>
  </si>
  <si>
    <t>LLOYD AND MCDANIEL PLC</t>
  </si>
  <si>
    <t>Po Box 23200</t>
  </si>
  <si>
    <t>LLOYD ORLANDO</t>
  </si>
  <si>
    <t>586 Leach</t>
  </si>
  <si>
    <t>LOAN DEPOT</t>
  </si>
  <si>
    <t>LOANCARE LLC</t>
  </si>
  <si>
    <t>LODGE TERRY J</t>
  </si>
  <si>
    <t>316 N Michigan St Suite 520</t>
  </si>
  <si>
    <t>316 N. Michigan St., Suite 520</t>
  </si>
  <si>
    <t>LOFTIES DESTANEY</t>
  </si>
  <si>
    <t>729 Utah</t>
  </si>
  <si>
    <t>LOGAN D HORNER</t>
  </si>
  <si>
    <t>3355 W Alexis Rd Apt D</t>
  </si>
  <si>
    <t>LOGAN FEUSSNER</t>
  </si>
  <si>
    <t>1925 Key St Apt C</t>
  </si>
  <si>
    <t>LOGAN HUNTER</t>
  </si>
  <si>
    <t>2041 Balkan Pl</t>
  </si>
  <si>
    <t>LOGAN R STORM</t>
  </si>
  <si>
    <t>1913 Key St Apt K</t>
  </si>
  <si>
    <t>LOGAN RUPP</t>
  </si>
  <si>
    <t>4117 Herdmans Cir</t>
  </si>
  <si>
    <t>LOGAN,DIANA</t>
  </si>
  <si>
    <t>10305 Maumee Western</t>
  </si>
  <si>
    <t>LOGGINS DAYZREON</t>
  </si>
  <si>
    <t>4323 Foxchapel</t>
  </si>
  <si>
    <t>LOIS REAU SUCCESSOR TR</t>
  </si>
  <si>
    <t>6405 Dorr St</t>
  </si>
  <si>
    <t>Lokey Motor Company</t>
  </si>
  <si>
    <t>19820 Us 19 North</t>
  </si>
  <si>
    <t>Clearwater</t>
  </si>
  <si>
    <t>LON R FILIPOVICH</t>
  </si>
  <si>
    <t>2141 Heatherlawn Dr</t>
  </si>
  <si>
    <t>LONDALYA HARRIS-AMISON</t>
  </si>
  <si>
    <t>1332 Craigwood Road</t>
  </si>
  <si>
    <t>Lonnell Jones</t>
  </si>
  <si>
    <t>1047 Prouty Ave</t>
  </si>
  <si>
    <t>LORAN YODER</t>
  </si>
  <si>
    <t>10617 Jerusalem Rd</t>
  </si>
  <si>
    <t>LOREN ROBINSON</t>
  </si>
  <si>
    <t>28 Garfield Pl</t>
  </si>
  <si>
    <t>LOREN UNDERWOOD JR</t>
  </si>
  <si>
    <t>1308 1/2 Oak Street</t>
  </si>
  <si>
    <t>LORI ANN CHRISTIAN</t>
  </si>
  <si>
    <t>LORI BETH RITZENTHALER</t>
  </si>
  <si>
    <t>620 Sawyer Rd</t>
  </si>
  <si>
    <t>LORI E BARTMAN</t>
  </si>
  <si>
    <t>4220 Butternut Ct</t>
  </si>
  <si>
    <t>LORI HILL</t>
  </si>
  <si>
    <t>4895 Monroe St 203</t>
  </si>
  <si>
    <t>LORI LYNN GOVERNO</t>
  </si>
  <si>
    <t>2643 Edgar St</t>
  </si>
  <si>
    <t>LORI PENDLETON POA</t>
  </si>
  <si>
    <t>5084 Lake Breeze Ln</t>
  </si>
  <si>
    <t>LORI POPIL</t>
  </si>
  <si>
    <t>2962 Lexington Glen Blvd</t>
  </si>
  <si>
    <t>LORRAINE FAY</t>
  </si>
  <si>
    <t>2511 Crissey Rd</t>
  </si>
  <si>
    <t>LOSEY JENNIFER</t>
  </si>
  <si>
    <t>24601 Bean</t>
  </si>
  <si>
    <t>Stony Ridge</t>
  </si>
  <si>
    <t>LOUANN FLICK</t>
  </si>
  <si>
    <t>2650 Pine Trace Dr Apt 11</t>
  </si>
  <si>
    <t>LOUIS ANTHONY RI FLIGOR</t>
  </si>
  <si>
    <t>6510 Brint Rd Apt 410</t>
  </si>
  <si>
    <t>Louis C Allen</t>
  </si>
  <si>
    <t>3545 Dean Ave</t>
  </si>
  <si>
    <t>Louis C. Schneider</t>
  </si>
  <si>
    <t>250 East Fifth St., Ste. 440</t>
  </si>
  <si>
    <t>2020 Est 461 - Est. Of Hudson Utley</t>
  </si>
  <si>
    <t>LOUIS JONATHAN</t>
  </si>
  <si>
    <t>815 N Ontario Unit 46</t>
  </si>
  <si>
    <t>LOUIS SZILAGYI</t>
  </si>
  <si>
    <t>81 Lakeland Drive</t>
  </si>
  <si>
    <t>Milbury</t>
  </si>
  <si>
    <t>LOUIS WOODS</t>
  </si>
  <si>
    <t>Old Florida Beach  10 Boardwalk Lane</t>
  </si>
  <si>
    <t>Santa Rosa Beach</t>
  </si>
  <si>
    <t>LOUISA CORBITT</t>
  </si>
  <si>
    <t>1588 Wayne St</t>
  </si>
  <si>
    <t>LOVE APRIL</t>
  </si>
  <si>
    <t>2060 Northridge Dr</t>
  </si>
  <si>
    <t>LOVETTA L PARTIN</t>
  </si>
  <si>
    <t>6049 Kincora Dr</t>
  </si>
  <si>
    <t>LOVING CRYSTAL</t>
  </si>
  <si>
    <t>5440 Dorr</t>
  </si>
  <si>
    <t>LOWERY,CHRISTOPHER</t>
  </si>
  <si>
    <t>3708 Starr Ave</t>
  </si>
  <si>
    <t>LUCAS ANDREW GARBER</t>
  </si>
  <si>
    <t>8365 W Bancroft St</t>
  </si>
  <si>
    <t>LUCAS COUNTY AUDITOR</t>
  </si>
  <si>
    <t>One Governement Ctr  Ste 770</t>
  </si>
  <si>
    <t>LUCAS COUNTY CORRECTIONS CENTE</t>
  </si>
  <si>
    <t>1622 Spielbusch Ave</t>
  </si>
  <si>
    <t>Lucas County Township Association - Springfield Township</t>
  </si>
  <si>
    <t>7617 Angola Road</t>
  </si>
  <si>
    <t>LUCAS COUNTY TREASURER</t>
  </si>
  <si>
    <t>One Government Center</t>
  </si>
  <si>
    <t>LUCAS J DONNAL</t>
  </si>
  <si>
    <t>1508 Mott Ave</t>
  </si>
  <si>
    <t>LUCAS JAMES CRANDALL</t>
  </si>
  <si>
    <t>6511 Eastview Dr</t>
  </si>
  <si>
    <t>LUCAS LAMBERT</t>
  </si>
  <si>
    <t>4117 Roanoke Rd</t>
  </si>
  <si>
    <t>LUCAS METROPOLITAN HOUSING AUT</t>
  </si>
  <si>
    <t>3737 Embassy Parkway Ste 100</t>
  </si>
  <si>
    <t>LUCAS OSENBAUGH</t>
  </si>
  <si>
    <t>4730 Wickford Dr W</t>
  </si>
  <si>
    <t>LUCAS TYTIANA</t>
  </si>
  <si>
    <t>4731 Overland Unit 301</t>
  </si>
  <si>
    <t>LUCIANO PEGGY</t>
  </si>
  <si>
    <t>LUCIANO SATINE STERLING</t>
  </si>
  <si>
    <t>8247 Country Brook Dr</t>
  </si>
  <si>
    <t>Lucille D. Swain</t>
  </si>
  <si>
    <t>1734 Potomac</t>
  </si>
  <si>
    <t>Estate Of Vanessa Swain Badgett - 2017 Est 2424</t>
  </si>
  <si>
    <t>Lucille Swain</t>
  </si>
  <si>
    <t>Estate Of Vanessa Swain Badgett</t>
  </si>
  <si>
    <t>LUCK SCOTT</t>
  </si>
  <si>
    <t>1209 Rochelle</t>
  </si>
  <si>
    <t>LUCKEY TALEIGHA</t>
  </si>
  <si>
    <t>702 N Erie Street, Apt 415</t>
  </si>
  <si>
    <t>LUCRETIA KING</t>
  </si>
  <si>
    <t>2266 Maplewood</t>
  </si>
  <si>
    <t>LUCY ROSE</t>
  </si>
  <si>
    <t>1311 W State Line Rd</t>
  </si>
  <si>
    <t>LUDLOW,DAVID</t>
  </si>
  <si>
    <t>6126 Harvest Ln</t>
  </si>
  <si>
    <t>LUKAS KUMMER</t>
  </si>
  <si>
    <t>2315 S Crissey Rd</t>
  </si>
  <si>
    <t>LUKE A ACHINGER</t>
  </si>
  <si>
    <t>7212 Oak Hill Dr</t>
  </si>
  <si>
    <t>LUKE BREYMAIER</t>
  </si>
  <si>
    <t>6805 N River Rd</t>
  </si>
  <si>
    <t>LUKE DAWSON</t>
  </si>
  <si>
    <t>1931 Hartford Ln</t>
  </si>
  <si>
    <t>LUKE HADEED</t>
  </si>
  <si>
    <t>1905 Key St. Apt. F</t>
  </si>
  <si>
    <t>LUKE WYSONG</t>
  </si>
  <si>
    <t>Lulis Restoration</t>
  </si>
  <si>
    <t>2924 Shetland</t>
  </si>
  <si>
    <t>LUSTER MACKIE</t>
  </si>
  <si>
    <t>710 Norwood</t>
  </si>
  <si>
    <t>LUTHER TERRY</t>
  </si>
  <si>
    <t>2336 South Ave</t>
  </si>
  <si>
    <t>LUTZ RICKY</t>
  </si>
  <si>
    <t>3721 Philmar</t>
  </si>
  <si>
    <t>LYDEN CHAPPEL</t>
  </si>
  <si>
    <t>5565 Airport Hwy Ste 101</t>
  </si>
  <si>
    <t>LYDEN CHAPPELL AND DEWHIRST</t>
  </si>
  <si>
    <t>5565 Airport Highway Ste 101</t>
  </si>
  <si>
    <t>LYDIA J LAWRENCE</t>
  </si>
  <si>
    <t>205 W Broadway</t>
  </si>
  <si>
    <t>LYDY AND MOAN LTD</t>
  </si>
  <si>
    <t>4930 Holland Sylvania Rd</t>
  </si>
  <si>
    <t>Lyell, Julian</t>
  </si>
  <si>
    <t>6113 Harvest Ln</t>
  </si>
  <si>
    <t>LYKINS GERALD</t>
  </si>
  <si>
    <t>3019 Nebraska Unit 82</t>
  </si>
  <si>
    <t>LYN MYLES</t>
  </si>
  <si>
    <t>2012 Fernwood</t>
  </si>
  <si>
    <t>Lynda Easley</t>
  </si>
  <si>
    <t>2616 Scottwood Ave</t>
  </si>
  <si>
    <t>LYNDA SINGER</t>
  </si>
  <si>
    <t>2839 Sequoia Rd</t>
  </si>
  <si>
    <t>LYNDSEY AHLEMAN</t>
  </si>
  <si>
    <t>3425 Wyckliffe Pkwy</t>
  </si>
  <si>
    <t>LYNN BRAUN</t>
  </si>
  <si>
    <t>Lynn Braun</t>
  </si>
  <si>
    <t>LYNN MORRIS</t>
  </si>
  <si>
    <t>2516 Brenner Ct</t>
  </si>
  <si>
    <t>LYONS FAYE</t>
  </si>
  <si>
    <t>1470 Fernwood</t>
  </si>
  <si>
    <t>LYTERRELL VON BUTLER</t>
  </si>
  <si>
    <t>2234 Vermont Ave</t>
  </si>
  <si>
    <t>M FRANCES MARTONE</t>
  </si>
  <si>
    <t>1732 Wildwood Rd</t>
  </si>
  <si>
    <t>Macenzi Pawlowski</t>
  </si>
  <si>
    <t>301 Dawkins Rd.</t>
  </si>
  <si>
    <t>Lagrange</t>
  </si>
  <si>
    <t>MACKENZIE &amp; CLAUDIA LENNOX</t>
  </si>
  <si>
    <t>2411 St James Wood Blvd</t>
  </si>
  <si>
    <t>Mackenzie Henry</t>
  </si>
  <si>
    <t>6530 N River Rd</t>
  </si>
  <si>
    <t>MACKENZIE K BRYANT</t>
  </si>
  <si>
    <t>9539 Amanda Cir</t>
  </si>
  <si>
    <t>MACKENZIE LYNCH</t>
  </si>
  <si>
    <t>665 Northfield Dr</t>
  </si>
  <si>
    <t>MACKENZIE SMITH</t>
  </si>
  <si>
    <t>168 Chesterfield Ln Apt 8</t>
  </si>
  <si>
    <t>MACKENZIE WEIDEMAN</t>
  </si>
  <si>
    <t>5833 Pepperell Pl</t>
  </si>
  <si>
    <t>MACKENZIE YOHNKE</t>
  </si>
  <si>
    <t>3815 Rugby Dr</t>
  </si>
  <si>
    <t>Maddalynn Maree West</t>
  </si>
  <si>
    <t>2917 Shoreland Ave</t>
  </si>
  <si>
    <t>MADDEN MARQUIS</t>
  </si>
  <si>
    <t>2524 Berdan Unit A</t>
  </si>
  <si>
    <t>MADDOX LATASHA</t>
  </si>
  <si>
    <t>3457 Gibralter Heights #4</t>
  </si>
  <si>
    <t>MADELAINE GUMENIK</t>
  </si>
  <si>
    <t>5802 Glasgow Rd</t>
  </si>
  <si>
    <t>MADELYNN MANGOLD</t>
  </si>
  <si>
    <t>Madison Frishett</t>
  </si>
  <si>
    <t>2146 S 2Nd Ave</t>
  </si>
  <si>
    <t>Alpena</t>
  </si>
  <si>
    <t>MADISON KATHLEEN REIS</t>
  </si>
  <si>
    <t>1601 Eastfield Dr</t>
  </si>
  <si>
    <t>Madisyn Paige Watkins</t>
  </si>
  <si>
    <t>1647 S Cove Blvd Apt 4C</t>
  </si>
  <si>
    <t>MADRID JOWANNA</t>
  </si>
  <si>
    <t>424 Potter St</t>
  </si>
  <si>
    <t>MAE D YOUNG</t>
  </si>
  <si>
    <t>532 Acklin Ave</t>
  </si>
  <si>
    <t>MAEGAN A WIETRZYKOWSKI</t>
  </si>
  <si>
    <t>817 Ketcham Ave</t>
  </si>
  <si>
    <t>MAGAN M RAMSEY</t>
  </si>
  <si>
    <t>2304 Parkwood St</t>
  </si>
  <si>
    <t>Magana, Audelia M</t>
  </si>
  <si>
    <t>5351 Nebraska Ave Unit 311</t>
  </si>
  <si>
    <t>MAGDALENA VIKTORJA STVARTAK</t>
  </si>
  <si>
    <t>455 Decatur St</t>
  </si>
  <si>
    <t>MAGGIE M DREIER</t>
  </si>
  <si>
    <t>3720 Woodmont Rd</t>
  </si>
  <si>
    <t>MAGGIE RENNELS</t>
  </si>
  <si>
    <t>6942 Applecreek Rd</t>
  </si>
  <si>
    <t>MAHMUD NAGIB</t>
  </si>
  <si>
    <t>3331 Herr Road</t>
  </si>
  <si>
    <t>MAHONEY WHITNEY</t>
  </si>
  <si>
    <t>3232 Executive</t>
  </si>
  <si>
    <t>MAKAYLA BELLE STECOVICH</t>
  </si>
  <si>
    <t>5763 Saint Clement Ct</t>
  </si>
  <si>
    <t>MALCOLM BEY &amp; JONNIE TAYLOR</t>
  </si>
  <si>
    <t>MALCOM M KRISE</t>
  </si>
  <si>
    <t>6705 E Blue Prairie Dr</t>
  </si>
  <si>
    <t>Maleah Copeland</t>
  </si>
  <si>
    <t>3724 Cherry Wood Ln</t>
  </si>
  <si>
    <t>MALENFANT ROBERT</t>
  </si>
  <si>
    <t>515 N Holland-Sylvania</t>
  </si>
  <si>
    <t>MALKIA DENISE CAMPBELL</t>
  </si>
  <si>
    <t>3345 Airport Hwy Apt 2</t>
  </si>
  <si>
    <t>MALLORY J OYCE PHILLIPS</t>
  </si>
  <si>
    <t>2323 Heatherglen Dr</t>
  </si>
  <si>
    <t>MALLORY LONGACRE</t>
  </si>
  <si>
    <t>1488 Hagley Rd</t>
  </si>
  <si>
    <t>MALORI MCCLOSKEY</t>
  </si>
  <si>
    <t>220 North St</t>
  </si>
  <si>
    <t>MALYNDA S DENSMORE</t>
  </si>
  <si>
    <t>114 Hargrave Rd</t>
  </si>
  <si>
    <t>MAMA MARYS PIZZA</t>
  </si>
  <si>
    <t>1535 Eleanor Avenue</t>
  </si>
  <si>
    <t>MANCINI CRYSTAL</t>
  </si>
  <si>
    <t>283 N River</t>
  </si>
  <si>
    <t>MANCINI,MICHAEL</t>
  </si>
  <si>
    <t>283 N River Rd</t>
  </si>
  <si>
    <t>MANDAR JOSHI</t>
  </si>
  <si>
    <t>29 Tremore Way</t>
  </si>
  <si>
    <t>Mara Ann Ward</t>
  </si>
  <si>
    <t>3309 Cheltenham Rd</t>
  </si>
  <si>
    <t>MARA LEE CHIO</t>
  </si>
  <si>
    <t>4952 Trellis Way</t>
  </si>
  <si>
    <t>MARABLE,STEPHANIE</t>
  </si>
  <si>
    <t>5282 Fredelia Dr</t>
  </si>
  <si>
    <t>MARCEANA BLACK</t>
  </si>
  <si>
    <t>302 Wrexham Ln Apt 2</t>
  </si>
  <si>
    <t>MARCEL G CHAPA LIBERTY</t>
  </si>
  <si>
    <t>MARCIA MALENFANT</t>
  </si>
  <si>
    <t>710 Village Pkwy</t>
  </si>
  <si>
    <t>MARCKEL SCOTT</t>
  </si>
  <si>
    <t>1134 Earl</t>
  </si>
  <si>
    <t>MARCO ANTONIO ORTIZ</t>
  </si>
  <si>
    <t>4460 Rohr Dr</t>
  </si>
  <si>
    <t>MARCOS PIZZA INC</t>
  </si>
  <si>
    <t>5252 Monroe Street</t>
  </si>
  <si>
    <t>MARCUS ALLEN HERBERT</t>
  </si>
  <si>
    <t>2407 Shellbrook Ln</t>
  </si>
  <si>
    <t>MARCUS D FREEMAN</t>
  </si>
  <si>
    <t>2612 Scottwood Ave</t>
  </si>
  <si>
    <t>MARCUS DOMINIC KING</t>
  </si>
  <si>
    <t>2521 Glengate Dr</t>
  </si>
  <si>
    <t>MARCUS JAMES MCHUGH</t>
  </si>
  <si>
    <t>1855 Glendale Ave</t>
  </si>
  <si>
    <t>MARCUS LEDELL DAV HAYNES</t>
  </si>
  <si>
    <t>1050 Fernwood Ave</t>
  </si>
  <si>
    <t>MARCUS PHILLIPS</t>
  </si>
  <si>
    <t>2259 Auburn Ave</t>
  </si>
  <si>
    <t>MARGARET CISOWSKI MILLER</t>
  </si>
  <si>
    <t>3749 Suder Ave</t>
  </si>
  <si>
    <t>MARGARET E LOGWOOD</t>
  </si>
  <si>
    <t>5409 Westcastle Dr. #3</t>
  </si>
  <si>
    <t>MARGARET ELLEN WEIRICH</t>
  </si>
  <si>
    <t>1507 Amesbury Rd</t>
  </si>
  <si>
    <t>MARGARET ERNA MATTOON</t>
  </si>
  <si>
    <t>2906 123Rd St</t>
  </si>
  <si>
    <t>MARGARET J OSEPHINE WALSH</t>
  </si>
  <si>
    <t>6555 Abbey Run</t>
  </si>
  <si>
    <t>MARGARET JANE RYAN</t>
  </si>
  <si>
    <t>819 Maple Ln</t>
  </si>
  <si>
    <t>MARGARET MCINTOSH</t>
  </si>
  <si>
    <t>5702 Angola Road Lot 51</t>
  </si>
  <si>
    <t>MARGARET ROGERS</t>
  </si>
  <si>
    <t>4333 Weckerly</t>
  </si>
  <si>
    <t>MARGARET TOMASKI</t>
  </si>
  <si>
    <t>4517 Overland Pkwy</t>
  </si>
  <si>
    <t>MARGARET VASQUEZ</t>
  </si>
  <si>
    <t>MARGIE &amp; KEITH CADARET</t>
  </si>
  <si>
    <t>7249 Jamesford Dr</t>
  </si>
  <si>
    <t>MARGO SCHAFFER</t>
  </si>
  <si>
    <t>1461 S Coy Rd</t>
  </si>
  <si>
    <t>MARGUERITA AMICO</t>
  </si>
  <si>
    <t>5234 King</t>
  </si>
  <si>
    <t>Howell</t>
  </si>
  <si>
    <t>MARIA ANTONIA COLE</t>
  </si>
  <si>
    <t>4820 Laurel Hill Pl</t>
  </si>
  <si>
    <t>Maria Coleman</t>
  </si>
  <si>
    <t>6140 S Chanticleer Dr</t>
  </si>
  <si>
    <t>MARIA MARGARET PANNENBERG</t>
  </si>
  <si>
    <t>717 Hayes Rd</t>
  </si>
  <si>
    <t>MARIA SHORDT</t>
  </si>
  <si>
    <t>4332 Cattlemans Cir</t>
  </si>
  <si>
    <t>MARIAN BUNTAIN</t>
  </si>
  <si>
    <t>9153 Garden Rd</t>
  </si>
  <si>
    <t>MARILOU MOORE</t>
  </si>
  <si>
    <t>6201 Garden Road Unit B-23</t>
  </si>
  <si>
    <t>MARILYN PORTER</t>
  </si>
  <si>
    <t>2431 Nebraska Ave</t>
  </si>
  <si>
    <t>MARIO BAIS</t>
  </si>
  <si>
    <t>1041 Hugo St</t>
  </si>
  <si>
    <t>Mario Padron</t>
  </si>
  <si>
    <t>522 Colburn St</t>
  </si>
  <si>
    <t>MARISA RAE STURM</t>
  </si>
  <si>
    <t>2109 Dundee St</t>
  </si>
  <si>
    <t>MARISOL A MARTINEZ</t>
  </si>
  <si>
    <t>4206 Deepwood Ln</t>
  </si>
  <si>
    <t>MARISSA A MILLIRON</t>
  </si>
  <si>
    <t>4612 Farmington Rd</t>
  </si>
  <si>
    <t>MARISSA ARITE</t>
  </si>
  <si>
    <t>4052 Langston Pl Apt C</t>
  </si>
  <si>
    <t>MARISSA M HAGAN</t>
  </si>
  <si>
    <t>2015 N Erie St</t>
  </si>
  <si>
    <t>MARISSA MARIE DOTY</t>
  </si>
  <si>
    <t>2151 Marlow Rd</t>
  </si>
  <si>
    <t>Mark A Baker II</t>
  </si>
  <si>
    <t>1142 Oak St</t>
  </si>
  <si>
    <t>MARK A REEF</t>
  </si>
  <si>
    <t>1130 Cady St</t>
  </si>
  <si>
    <t>MARK A ROBINSON</t>
  </si>
  <si>
    <t>3450  W. Central Suite 244</t>
  </si>
  <si>
    <t>MARK A SKELDON</t>
  </si>
  <si>
    <t>5415 Monroe St Ste 5</t>
  </si>
  <si>
    <t>MARK ALAN CARTER</t>
  </si>
  <si>
    <t>2712 Westcastle Dr Unit 1</t>
  </si>
  <si>
    <t>MARK ANTHONY DELBROCCO</t>
  </si>
  <si>
    <t>2736 Robinwood Ave</t>
  </si>
  <si>
    <t>MARK C JONES</t>
  </si>
  <si>
    <t>5332 Grosse Point Pkwy</t>
  </si>
  <si>
    <t>MARK D SEIFERT</t>
  </si>
  <si>
    <t>6408 Glenhurst Dr Apt 2</t>
  </si>
  <si>
    <t>MARK DOMINIC SHERRY</t>
  </si>
  <si>
    <t>4810 W Bancroft                       Apt 21</t>
  </si>
  <si>
    <t>MARK E LINGEL</t>
  </si>
  <si>
    <t>3947 Autumn View Ct</t>
  </si>
  <si>
    <t>Mark E. Philips</t>
  </si>
  <si>
    <t>24055 Jefferson Ave., Ste. 102</t>
  </si>
  <si>
    <t>St.Clair Shores</t>
  </si>
  <si>
    <t>2023 Uncashed Checks For Various Estates</t>
  </si>
  <si>
    <t>Mark Gloria</t>
  </si>
  <si>
    <t>147 Essex</t>
  </si>
  <si>
    <t>2008 Est 2292 - Est. Of Luis P. Gloria</t>
  </si>
  <si>
    <t>MARK HEARNDON</t>
  </si>
  <si>
    <t>7910 Noward Rd</t>
  </si>
  <si>
    <t>MARK J A DEMIAN</t>
  </si>
  <si>
    <t>1250 Granger Rd</t>
  </si>
  <si>
    <t>Mark Jacobs</t>
  </si>
  <si>
    <t>160 Aspen Dr</t>
  </si>
  <si>
    <t>MARK KUHLMAN</t>
  </si>
  <si>
    <t>5824 Viramar Rd</t>
  </si>
  <si>
    <t>MARK LEE</t>
  </si>
  <si>
    <t>4531 Whiteford Rd</t>
  </si>
  <si>
    <t>MARK MCCOY</t>
  </si>
  <si>
    <t>3210 Cromwel</t>
  </si>
  <si>
    <t>MARK MCKENZIE</t>
  </si>
  <si>
    <t>3409 Hilltop Blvd</t>
  </si>
  <si>
    <t>MARK MOCKENSTURM RECEIVER FOR United North Mgmt Corp</t>
  </si>
  <si>
    <t>1119 Adams St 1St Fl</t>
  </si>
  <si>
    <t>MARK MOORE</t>
  </si>
  <si>
    <t>5104 Brown Rd</t>
  </si>
  <si>
    <t>MARK N DIERKS</t>
  </si>
  <si>
    <t>MARK PARKER</t>
  </si>
  <si>
    <t>5550 Heatherdowns Blvd</t>
  </si>
  <si>
    <t>MARK S BARNES</t>
  </si>
  <si>
    <t>405 Madison Ave Ste 1900</t>
  </si>
  <si>
    <t>MARK S MAYS II</t>
  </si>
  <si>
    <t>2560 Maplewood Ave</t>
  </si>
  <si>
    <t>MARK SCHABEL</t>
  </si>
  <si>
    <t>113 N Stephen St</t>
  </si>
  <si>
    <t>MARK SKELDON</t>
  </si>
  <si>
    <t>MARK T GRIFFITH</t>
  </si>
  <si>
    <t>925 Joliet Dr</t>
  </si>
  <si>
    <t>MARK W CLARK</t>
  </si>
  <si>
    <t>6031 Granville Dr</t>
  </si>
  <si>
    <t>Mark Williams</t>
  </si>
  <si>
    <t>108 Brookfield Ave.</t>
  </si>
  <si>
    <t>Clinton</t>
  </si>
  <si>
    <t>2022 Est 1040 - Estate Of Judith Rucki</t>
  </si>
  <si>
    <t>MarketPlace West License Agency</t>
  </si>
  <si>
    <t>3606 W Sylvania Ave #15</t>
  </si>
  <si>
    <t>MARKIE ANN MARIE MILLER</t>
  </si>
  <si>
    <t>3754 Grantley Rd</t>
  </si>
  <si>
    <t>MARLA DENISE EDWARDS</t>
  </si>
  <si>
    <t>3826 Heatherbrook Dr</t>
  </si>
  <si>
    <t>Marlene Rosinski</t>
  </si>
  <si>
    <t>4775 Port Dr</t>
  </si>
  <si>
    <t>MARLON M SCOTT</t>
  </si>
  <si>
    <t>105 Ralph St</t>
  </si>
  <si>
    <t>Marquel Williams</t>
  </si>
  <si>
    <t>615 Geneva</t>
  </si>
  <si>
    <t>MARQUELL VENE CHANDLER</t>
  </si>
  <si>
    <t>260 E Manhattan Blvd</t>
  </si>
  <si>
    <t>MARQUIS J JOHNSON</t>
  </si>
  <si>
    <t>C/O Zach Murry, 1701 Woodlands Dr, Suite 10</t>
  </si>
  <si>
    <t>MARSENBERG KEITH</t>
  </si>
  <si>
    <t>1156 Oakwood</t>
  </si>
  <si>
    <t>MARSHALL GERALD</t>
  </si>
  <si>
    <t>1905 Drouillard Road</t>
  </si>
  <si>
    <t>MARSHALL GUERIN</t>
  </si>
  <si>
    <t>85 W Plum St</t>
  </si>
  <si>
    <t>Westerville</t>
  </si>
  <si>
    <t>MARTHA GUYTON</t>
  </si>
  <si>
    <t>4741 S Arvilla Dr</t>
  </si>
  <si>
    <t>MARTHA KLEMPNER</t>
  </si>
  <si>
    <t>4820 295Th St</t>
  </si>
  <si>
    <t>MARTHA SENAY</t>
  </si>
  <si>
    <t>2207 Greenlawn Dr</t>
  </si>
  <si>
    <t>MARTIN DAVID</t>
  </si>
  <si>
    <t>295 E State Rd 120</t>
  </si>
  <si>
    <t>Fremont</t>
  </si>
  <si>
    <t>MARTIN DWAYNE</t>
  </si>
  <si>
    <t>5552 Moline Martin Rd</t>
  </si>
  <si>
    <t>Walbridge</t>
  </si>
  <si>
    <t>MARTIN INVESTMENT GROUP LLC</t>
  </si>
  <si>
    <t>403 W Poinsetta</t>
  </si>
  <si>
    <t>MARTIN J MANUS</t>
  </si>
  <si>
    <t>709 Madison Avenue Suite 303</t>
  </si>
  <si>
    <t>MARTIN J MCMANUS</t>
  </si>
  <si>
    <t>709 Madison Ave 303</t>
  </si>
  <si>
    <t>MARTIN JOSEPH CORESSEL</t>
  </si>
  <si>
    <t>1445 South Ave</t>
  </si>
  <si>
    <t>Martin Porter</t>
  </si>
  <si>
    <t>1114 Norwood</t>
  </si>
  <si>
    <t>MARTIN SHEREESE</t>
  </si>
  <si>
    <t>618 Geneva</t>
  </si>
  <si>
    <t>MARTIN STEPHEN BUSHA</t>
  </si>
  <si>
    <t>2720 Elsie Ave</t>
  </si>
  <si>
    <t>MARTIN,CLAUDETTE</t>
  </si>
  <si>
    <t>1339 East Meadow Dr</t>
  </si>
  <si>
    <t>MARTIN,KRISTINE</t>
  </si>
  <si>
    <t>MARTINE J MCMANUS</t>
  </si>
  <si>
    <t>709 Madison Ave                  Ste 303</t>
  </si>
  <si>
    <t>MARTINEZ CHRISTINA &amp; GINA</t>
  </si>
  <si>
    <t>7450 Angola Rdt</t>
  </si>
  <si>
    <t>MARTINEZ ROBERTO &amp; JUANA</t>
  </si>
  <si>
    <t>1123 E Bancroft St</t>
  </si>
  <si>
    <t>Marvin Burwell Jr.</t>
  </si>
  <si>
    <t>827 Underwood Ave.</t>
  </si>
  <si>
    <t>Marvin D Kerr</t>
  </si>
  <si>
    <t>3626 Eastpointe Dr  Apt 101</t>
  </si>
  <si>
    <t>Marvin Keller</t>
  </si>
  <si>
    <t>27456 Holiday Lane, Ste. K</t>
  </si>
  <si>
    <t>2020 Est 818 - Est. Of Helen M. Teneyck</t>
  </si>
  <si>
    <t>MARVIN W HANSEN JR</t>
  </si>
  <si>
    <t>1221 Gordon St</t>
  </si>
  <si>
    <t>MARY A DUNNING</t>
  </si>
  <si>
    <t>4917 Townsend Dr</t>
  </si>
  <si>
    <t>MARY A LAY</t>
  </si>
  <si>
    <t>6125 Rambo Ln</t>
  </si>
  <si>
    <t>MARY ANNE SULLIVAN</t>
  </si>
  <si>
    <t>4533 289Th St</t>
  </si>
  <si>
    <t>MARY CARNEY</t>
  </si>
  <si>
    <t>5160 Elaine Dr</t>
  </si>
  <si>
    <t>MARY DUNCAN</t>
  </si>
  <si>
    <t>1521 E Sonrisas St</t>
  </si>
  <si>
    <t>MARY E BRITTON</t>
  </si>
  <si>
    <t>7044 Sandy Hill Way</t>
  </si>
  <si>
    <t>MARY E KULWICKI</t>
  </si>
  <si>
    <t>Po Box 178</t>
  </si>
  <si>
    <t>MARY ELLEN SCHWAMBERGER</t>
  </si>
  <si>
    <t>1138 Richland St</t>
  </si>
  <si>
    <t>MARY FRANCES WAGENER</t>
  </si>
  <si>
    <t>508 Wrenford Dr</t>
  </si>
  <si>
    <t>MARY KELLETT</t>
  </si>
  <si>
    <t>3210 E Lincolnshire Blvd</t>
  </si>
  <si>
    <t>MARY KREUZ</t>
  </si>
  <si>
    <t>6955 Dorr St, Ste 89</t>
  </si>
  <si>
    <t>Mary Kreuz</t>
  </si>
  <si>
    <t>MARY L SCHNEIDER</t>
  </si>
  <si>
    <t>2127 Woodmere Ct</t>
  </si>
  <si>
    <t>Mary Lou Kimmins-Weinberg</t>
  </si>
  <si>
    <t>1156 Lennox Ave., N.E.</t>
  </si>
  <si>
    <t>Massillon</t>
  </si>
  <si>
    <t>27275 - Guardianship Of Patricia A. Kimmins</t>
  </si>
  <si>
    <t>MARY M BOLLINGER</t>
  </si>
  <si>
    <t>Po Box 167796</t>
  </si>
  <si>
    <t>MARY M CLANCY</t>
  </si>
  <si>
    <t>1636 Botkins Dr</t>
  </si>
  <si>
    <t>MARY M OATES</t>
  </si>
  <si>
    <t>7722 Hickory Grv</t>
  </si>
  <si>
    <t>Mary M Roberts</t>
  </si>
  <si>
    <t>2423 S Holland Sylvania Rd Apt 109</t>
  </si>
  <si>
    <t>MARY M SULLIVAN</t>
  </si>
  <si>
    <t>2157 Crossbough Dr</t>
  </si>
  <si>
    <t>MARY MITCHELL</t>
  </si>
  <si>
    <t>Mary Olivia Miller</t>
  </si>
  <si>
    <t>7134 Front St</t>
  </si>
  <si>
    <t>MARY RETHMEL</t>
  </si>
  <si>
    <t>5665 Camberley Dr</t>
  </si>
  <si>
    <t>MARY WHITE</t>
  </si>
  <si>
    <t>1136 Michigan Ave</t>
  </si>
  <si>
    <t>MARY WILLIAMS</t>
  </si>
  <si>
    <t>3701 S Beverly Hills Dr</t>
  </si>
  <si>
    <t>Marya D. Singleton</t>
  </si>
  <si>
    <t>6681 Wesley Dr.</t>
  </si>
  <si>
    <t>Maryland Child Support Account</t>
  </si>
  <si>
    <t>Po Box 17396</t>
  </si>
  <si>
    <t>Baltimore</t>
  </si>
  <si>
    <t>MASON LOWRY</t>
  </si>
  <si>
    <t>2009 Cherrylawn Dr</t>
  </si>
  <si>
    <t>MASON RONALD N</t>
  </si>
  <si>
    <t>3428 Birchdale</t>
  </si>
  <si>
    <t>MASTERS CAMERON</t>
  </si>
  <si>
    <t>1624 Oberlin</t>
  </si>
  <si>
    <t>Matamoros, Tonia</t>
  </si>
  <si>
    <t>1250 Norwood Ave</t>
  </si>
  <si>
    <t>MATE DAWAN</t>
  </si>
  <si>
    <t>901 Woodsdale Unit 3</t>
  </si>
  <si>
    <t>Mathews</t>
  </si>
  <si>
    <t>2811 Navarre Ave</t>
  </si>
  <si>
    <t>MATHIS KATHLEEN</t>
  </si>
  <si>
    <t>2745 Fremont Street</t>
  </si>
  <si>
    <t>MATHIS SHARVADA</t>
  </si>
  <si>
    <t>1115 Gordon</t>
  </si>
  <si>
    <t>MATLOCK,JENNIFER</t>
  </si>
  <si>
    <t>1469 Belmont Ave</t>
  </si>
  <si>
    <t>MATRIX FINANCIAL SERVICES</t>
  </si>
  <si>
    <t>MATRIX FINANCIAL SERVICES CORP</t>
  </si>
  <si>
    <t>MATTER AMBER</t>
  </si>
  <si>
    <t>2829 Tremainsville</t>
  </si>
  <si>
    <t>MATTHEW A COLE</t>
  </si>
  <si>
    <t>7211 Forest Brook Dr</t>
  </si>
  <si>
    <t>MATTHEW B BRYANT</t>
  </si>
  <si>
    <t>3450 W Central Avenue Suite 370</t>
  </si>
  <si>
    <t>MATTHEW D BADYNA</t>
  </si>
  <si>
    <t>4237 Beverly Dr</t>
  </si>
  <si>
    <t>MATTHEW D FARTHING</t>
  </si>
  <si>
    <t>3748 Beverly Dr</t>
  </si>
  <si>
    <t>MATTHEW D MULLAN</t>
  </si>
  <si>
    <t>204 Ford St</t>
  </si>
  <si>
    <t>MATTHEW DAVID BRAUN</t>
  </si>
  <si>
    <t>10635 Reed Rd</t>
  </si>
  <si>
    <t>MATTHEW DOUGLAS KRIEGER</t>
  </si>
  <si>
    <t>2014 Bretton Pl</t>
  </si>
  <si>
    <t>MATTHEW DUFFY</t>
  </si>
  <si>
    <t>9229 Delegates Row Ste 100</t>
  </si>
  <si>
    <t>Indianapolis</t>
  </si>
  <si>
    <t>MATTHEW E EXTON</t>
  </si>
  <si>
    <t>MATTHEW EXTON</t>
  </si>
  <si>
    <t>MATTHEW FRANCIS</t>
  </si>
  <si>
    <t>4522 Talmadge Green Rd.</t>
  </si>
  <si>
    <t>MATTHEW HALE</t>
  </si>
  <si>
    <t>5302 Fortune Dr</t>
  </si>
  <si>
    <t>MATTHEW HUTCHINSON</t>
  </si>
  <si>
    <t>6135 Trust Dr Ste 115</t>
  </si>
  <si>
    <t>MATTHEW J MCCOLLUM</t>
  </si>
  <si>
    <t>4574 Eastway St</t>
  </si>
  <si>
    <t>MATTHEW JOSEPH PAWLACZYK</t>
  </si>
  <si>
    <t>2324 River Rd</t>
  </si>
  <si>
    <t>MATTHEW KEVIN FISHER</t>
  </si>
  <si>
    <t>565 Ansonia St</t>
  </si>
  <si>
    <t>MATTHEW L WILSON</t>
  </si>
  <si>
    <t>2328 Orchard Hills Blvd</t>
  </si>
  <si>
    <t>Matthew L. Weisenburger</t>
  </si>
  <si>
    <t>300 Madison Ave., Ste. 1100</t>
  </si>
  <si>
    <t>2022 Est 367 - Est. Of Ronald Leroy Berlincourt</t>
  </si>
  <si>
    <t>MATTHEW LAWRENCE GRABARCZYK</t>
  </si>
  <si>
    <t>6900 Big Buck Trl</t>
  </si>
  <si>
    <t>MATTHEW LEE MARSHALL</t>
  </si>
  <si>
    <t>3722 Revere Dr</t>
  </si>
  <si>
    <t>MATTHEW LEE MARTIN</t>
  </si>
  <si>
    <t>MATTHEW LEMKE</t>
  </si>
  <si>
    <t>4519 W Bancroft St Apt 3</t>
  </si>
  <si>
    <t>MATTHEW LISKAI</t>
  </si>
  <si>
    <t>7948 Meadowview Ln</t>
  </si>
  <si>
    <t>MATTHEW LLYOD HUFF</t>
  </si>
  <si>
    <t>2001 Colony Dr</t>
  </si>
  <si>
    <t>MATTHEW LOVATO</t>
  </si>
  <si>
    <t>7630 Reitz Rd, Lot 129</t>
  </si>
  <si>
    <t>MATTHEW PAST</t>
  </si>
  <si>
    <t>4634 Framingham Dr</t>
  </si>
  <si>
    <t>MATTHEW PAUL LEMKE</t>
  </si>
  <si>
    <t>MATTHEW R PIOTEREK</t>
  </si>
  <si>
    <t>7408 Bauman St</t>
  </si>
  <si>
    <t>MATTHEW RAY RODGERS</t>
  </si>
  <si>
    <t>1617 7Th St</t>
  </si>
  <si>
    <t>MATTHEW RIAD OKDIE</t>
  </si>
  <si>
    <t>1343 Craigwood Rd</t>
  </si>
  <si>
    <t>MATTHEW S TIPPIN</t>
  </si>
  <si>
    <t>2951 Heysler Rd.</t>
  </si>
  <si>
    <t>MATTHEW SEARS</t>
  </si>
  <si>
    <t>7401 Lock Mill Ct</t>
  </si>
  <si>
    <t>MATTHEW SOMMERS</t>
  </si>
  <si>
    <t>2426 Country Squire Ln</t>
  </si>
  <si>
    <t>MATTHEW TRZCINSKI</t>
  </si>
  <si>
    <t>5637 Home Ln</t>
  </si>
  <si>
    <t>MATTHEW WILLIAMS</t>
  </si>
  <si>
    <t>423 Boxhall Rd</t>
  </si>
  <si>
    <t>Maumee Bay General Store d.b.a. Joe's Pizza Kitchen</t>
  </si>
  <si>
    <t>7410 Jerusalem Rd</t>
  </si>
  <si>
    <t>MAUMEE VALLEY HABITAT FOR HUMA</t>
  </si>
  <si>
    <t>MAUREEN ELISE BELLAIRE</t>
  </si>
  <si>
    <t>1490 College Dr Apt 9</t>
  </si>
  <si>
    <t>MAVEAL DON</t>
  </si>
  <si>
    <t>Fourt Seagate, Suite 400</t>
  </si>
  <si>
    <t>MAVEAL HARVEY</t>
  </si>
  <si>
    <t>MAVEAL HARVEY   DAVID WISE ESQ</t>
  </si>
  <si>
    <t>MAXWELL DAVID J HAAR</t>
  </si>
  <si>
    <t>2843 Inwood Dr</t>
  </si>
  <si>
    <t>MAXWELL JOSEPH BENTON</t>
  </si>
  <si>
    <t>6004 Huntington Rd</t>
  </si>
  <si>
    <t>MAXWELL JUANITA F.</t>
  </si>
  <si>
    <t>3045 Talmadge Road</t>
  </si>
  <si>
    <t>MAXX BROOKS</t>
  </si>
  <si>
    <t>5301 Alexis Rd Apt F22</t>
  </si>
  <si>
    <t>MAY JASON</t>
  </si>
  <si>
    <t>241 N Superior Stret Suite 200</t>
  </si>
  <si>
    <t>MAY,ZENA</t>
  </si>
  <si>
    <t>330 E Weber St Frnt</t>
  </si>
  <si>
    <t>MAYS MARK S II</t>
  </si>
  <si>
    <t>2440 Lawton</t>
  </si>
  <si>
    <t>MAZEN TELLAWI &amp; FATIMAH AROUDKI</t>
  </si>
  <si>
    <t>2150 N Mccord Rd, Apt 56</t>
  </si>
  <si>
    <t>MC MILLAN J M &amp; S</t>
  </si>
  <si>
    <t>2352 Hollywood Ave</t>
  </si>
  <si>
    <t>MCBRIDE DONALD</t>
  </si>
  <si>
    <t>302 Avalon</t>
  </si>
  <si>
    <t>MCCABE LINDA</t>
  </si>
  <si>
    <t>2149 Airport Highway</t>
  </si>
  <si>
    <t>McCabe, Daijah</t>
  </si>
  <si>
    <t>4228 N Lockwood</t>
  </si>
  <si>
    <t>MCCARVER DASHAUN</t>
  </si>
  <si>
    <t>1220 Bronson</t>
  </si>
  <si>
    <t>MCCLANAHAN MARTY C</t>
  </si>
  <si>
    <t>4429 Weckerly Rd</t>
  </si>
  <si>
    <t>MCCLOSKEY,PATRICK</t>
  </si>
  <si>
    <t>4457 Woodmont Rd</t>
  </si>
  <si>
    <t>MCCOY TIMOTHY</t>
  </si>
  <si>
    <t>2465 Goddard</t>
  </si>
  <si>
    <t>MCCOY,CARRON</t>
  </si>
  <si>
    <t>215 E Pearl St</t>
  </si>
  <si>
    <t>MCCRAY DEBORAH</t>
  </si>
  <si>
    <t>817 Michigan</t>
  </si>
  <si>
    <t>MCCRUTER DOROTHY</t>
  </si>
  <si>
    <t>1602 Lawnview Avenue</t>
  </si>
  <si>
    <t>MCCUIN ODELL</t>
  </si>
  <si>
    <t>543 Maumee</t>
  </si>
  <si>
    <t>MCDOWELL WILLIAM</t>
  </si>
  <si>
    <t>5001 South Apt 174</t>
  </si>
  <si>
    <t>MCGOVERN DANIEL</t>
  </si>
  <si>
    <t>MCKENZIE A BLACK</t>
  </si>
  <si>
    <t>4545 Woodland Ln</t>
  </si>
  <si>
    <t>McKesson Medical-Surgical Government Solutions, LLC</t>
  </si>
  <si>
    <t>D.B.A. Mmsgs, P.O. Box 936279</t>
  </si>
  <si>
    <t>MCKINNEY WILLIAM</t>
  </si>
  <si>
    <t>4621 Clover</t>
  </si>
  <si>
    <t>MCKINNEY,JAMEIA</t>
  </si>
  <si>
    <t>1132 Brookview Dr Apt 14</t>
  </si>
  <si>
    <t>MCKNIGHT,PEGGY</t>
  </si>
  <si>
    <t>2815 Northwood Ave</t>
  </si>
  <si>
    <t>MCLENDON MITCHELL L</t>
  </si>
  <si>
    <t>238 East Pearl</t>
  </si>
  <si>
    <t>McMahon, Robert</t>
  </si>
  <si>
    <t>15 Bronson Pl</t>
  </si>
  <si>
    <t>MCMULLEN DANNY</t>
  </si>
  <si>
    <t>4012 Lewis</t>
  </si>
  <si>
    <t>MCNAMARA AND MCNAMARA CINCINNA</t>
  </si>
  <si>
    <t>88 East Broad Street</t>
  </si>
  <si>
    <t>MCNEAL DONALD</t>
  </si>
  <si>
    <t>4570 Grovewood</t>
  </si>
  <si>
    <t>MCPHERSON,JANET</t>
  </si>
  <si>
    <t>2357 Bahiamar Rd</t>
  </si>
  <si>
    <t>MEAD BRUCE R ETAL</t>
  </si>
  <si>
    <t>3738 Frampton</t>
  </si>
  <si>
    <t>MEADOWS DAVID</t>
  </si>
  <si>
    <t>2659 Marwood</t>
  </si>
  <si>
    <t>MEAGAN AVO SCHOEN SLAVIN</t>
  </si>
  <si>
    <t>4542 Ginger Trl</t>
  </si>
  <si>
    <t>MEAGAN BLASINGIM</t>
  </si>
  <si>
    <t>2257 Plum Leaf Lane</t>
  </si>
  <si>
    <t>MEAGAN DIANE BAKER</t>
  </si>
  <si>
    <t>1047 Wall St</t>
  </si>
  <si>
    <t>MECHELLE ROUNDTREE C/O ROHRBACHERS LIGHT CRON AND TRIMBLE</t>
  </si>
  <si>
    <t>405 Madison Ave 8Th Fl</t>
  </si>
  <si>
    <t>MEDICAL STAFFING NETWORK</t>
  </si>
  <si>
    <t>901 Yamato Road,     Ste 110</t>
  </si>
  <si>
    <t>Boca Raton</t>
  </si>
  <si>
    <t>MEGAN A LOSH</t>
  </si>
  <si>
    <t>4445 Grantley Rd</t>
  </si>
  <si>
    <t>MEGAN BAKER</t>
  </si>
  <si>
    <t>914 Ransom St</t>
  </si>
  <si>
    <t>MEGAN C LINDSEY</t>
  </si>
  <si>
    <t>6067 Elden Dr</t>
  </si>
  <si>
    <t>MEGAN COLLEEN FITZPATRICK</t>
  </si>
  <si>
    <t>2527 White Aspen Rd</t>
  </si>
  <si>
    <t>MEGAN F ROBSON</t>
  </si>
  <si>
    <t>4615 Brittany Rd</t>
  </si>
  <si>
    <t>MEGAN L CRANOR</t>
  </si>
  <si>
    <t>4251 Appomattox Dr</t>
  </si>
  <si>
    <t>MEGAN M CHILDERS</t>
  </si>
  <si>
    <t>3409 Anderson Pkwy</t>
  </si>
  <si>
    <t>MEGAN MENCHACA</t>
  </si>
  <si>
    <t>873 Cherry Ln</t>
  </si>
  <si>
    <t>MEGAN R RAHM</t>
  </si>
  <si>
    <t>4917 Brott Rd</t>
  </si>
  <si>
    <t>MEGAN WARD</t>
  </si>
  <si>
    <t>1709 Spielbusch Ave Suite 100</t>
  </si>
  <si>
    <t>MEGHAN E BURMEISTER</t>
  </si>
  <si>
    <t>5362 Monroe St Apt 6</t>
  </si>
  <si>
    <t>MEGHAN E SANGREGORY</t>
  </si>
  <si>
    <t>2927 Powhattan Pkwy</t>
  </si>
  <si>
    <t>MEGHAN RUNNELS</t>
  </si>
  <si>
    <t>1506 Chester St</t>
  </si>
  <si>
    <t>MEGHAN S CAMPBELL-JOHANNES</t>
  </si>
  <si>
    <t>4435 Fir Ln</t>
  </si>
  <si>
    <t>MEIER JOHN</t>
  </si>
  <si>
    <t>6035 Miakonda Trail</t>
  </si>
  <si>
    <t>MEIJER</t>
  </si>
  <si>
    <t>1725 S. Wheeling Road</t>
  </si>
  <si>
    <t>MEIJERS</t>
  </si>
  <si>
    <t>Po Box 2203</t>
  </si>
  <si>
    <t>MELANEY MARIE HARRIS</t>
  </si>
  <si>
    <t>3912 Torrance Dr</t>
  </si>
  <si>
    <t>MELANIE ANN REAMER</t>
  </si>
  <si>
    <t>3835 Grantley</t>
  </si>
  <si>
    <t>MELANIE ANN ROURKE</t>
  </si>
  <si>
    <t>7709 Shoemaker Dr</t>
  </si>
  <si>
    <t>Melanie Merced</t>
  </si>
  <si>
    <t>2233 Greenlawn Dr</t>
  </si>
  <si>
    <t>MELANIE PARKER</t>
  </si>
  <si>
    <t>1091 Westridge Dr</t>
  </si>
  <si>
    <t>MELANIE SHOOP</t>
  </si>
  <si>
    <t>2055 Cherrylawn Drive</t>
  </si>
  <si>
    <t>Melinda M Rapp</t>
  </si>
  <si>
    <t>935 Continential Blvd</t>
  </si>
  <si>
    <t>MELINDA OWENS</t>
  </si>
  <si>
    <t>3010 Middlesex Dr</t>
  </si>
  <si>
    <t>MELINDA RAE MANAGHAN</t>
  </si>
  <si>
    <t>6111 Meteor Ave</t>
  </si>
  <si>
    <t>MELINDA SIRIANNI</t>
  </si>
  <si>
    <t>414 Branbury Rd</t>
  </si>
  <si>
    <t>MELINDA SUE ANDERSON</t>
  </si>
  <si>
    <t>3158 Glanzman Rd</t>
  </si>
  <si>
    <t>MELISA ANN SHERMAN WECKERLIN</t>
  </si>
  <si>
    <t>3821 Orono Dr</t>
  </si>
  <si>
    <t>MELISSA DAWN STOTT</t>
  </si>
  <si>
    <t>817 Michigan Ave</t>
  </si>
  <si>
    <t>Melissa J. Box</t>
  </si>
  <si>
    <t>1809 Mansfield Rd.</t>
  </si>
  <si>
    <t>MELISSA JONES</t>
  </si>
  <si>
    <t>1614 Neveda</t>
  </si>
  <si>
    <t>MELISSA KENT</t>
  </si>
  <si>
    <t>4805 Montogomery Road Suite 32</t>
  </si>
  <si>
    <t>Norwood</t>
  </si>
  <si>
    <t>MELISSA LYNN GRIGGS</t>
  </si>
  <si>
    <t>531 Cambridge Park S</t>
  </si>
  <si>
    <t>MELISSA LYNN MCGEE</t>
  </si>
  <si>
    <t>1467 Sabra Rd</t>
  </si>
  <si>
    <t>MELISSA LYNN VAUGHAN</t>
  </si>
  <si>
    <t>533 S Berlin Ave</t>
  </si>
  <si>
    <t>MELISSA MARIE TEHAN</t>
  </si>
  <si>
    <t>1201 Bowlus Ave</t>
  </si>
  <si>
    <t>MELISSA MULINIX</t>
  </si>
  <si>
    <t>2824 Weckerly Rd</t>
  </si>
  <si>
    <t>Menards, Inc.</t>
  </si>
  <si>
    <t>7001 Orchard Centre Dr</t>
  </si>
  <si>
    <t>MENASIAN,EDWARD</t>
  </si>
  <si>
    <t>3016 117Th St</t>
  </si>
  <si>
    <t>MENDEZ AMBROSE</t>
  </si>
  <si>
    <t>2316 Castlewood</t>
  </si>
  <si>
    <t>MENDOZA LINO JR</t>
  </si>
  <si>
    <t>3230 Central Park West Ste 208</t>
  </si>
  <si>
    <t>MERCEDES BRIANA HOOVER</t>
  </si>
  <si>
    <t>2058 Arkansas St</t>
  </si>
  <si>
    <t>MERCER ANGELA</t>
  </si>
  <si>
    <t>646 Federal</t>
  </si>
  <si>
    <t>Mercy Health - Occupational  D.B.A.  Mercy St. Vincent Medical Center   Attn: Lindsay Brown</t>
  </si>
  <si>
    <t>2213 Cherry St. Acc Suite 307</t>
  </si>
  <si>
    <t>Mercy Health Physicians North LLC</t>
  </si>
  <si>
    <t>2200 Jefferson Ave.</t>
  </si>
  <si>
    <t>MEREDITH DIEHL</t>
  </si>
  <si>
    <t>3227 Stanhope Dr</t>
  </si>
  <si>
    <t>MEREDITH L YALUNG</t>
  </si>
  <si>
    <t>10412 Southfield Dr</t>
  </si>
  <si>
    <t>MERRELL KAREN</t>
  </si>
  <si>
    <t>739 Stillman</t>
  </si>
  <si>
    <t>MERRITT DOUG</t>
  </si>
  <si>
    <t>5441 Patriot</t>
  </si>
  <si>
    <t>MERRIWEATHER-JONES DARRYL</t>
  </si>
  <si>
    <t>815 N Ontario Unit 39</t>
  </si>
  <si>
    <t>MERSADIE BROADWAY</t>
  </si>
  <si>
    <t>613 W Crawford Ave</t>
  </si>
  <si>
    <t>MERSHON ANTHONY</t>
  </si>
  <si>
    <t>2227 Seaman Unit 1</t>
  </si>
  <si>
    <t>METROPOLITAN PARK DISTRICT OF TOLEDO, ATTN MATT CLELAND</t>
  </si>
  <si>
    <t>5100 W Central Ave</t>
  </si>
  <si>
    <t>MEYER &amp; KERSCHNER, LTD.</t>
  </si>
  <si>
    <t>P.O. Box 400</t>
  </si>
  <si>
    <t>MEYER,JOSHUA</t>
  </si>
  <si>
    <t>7205 Jamesford Dr</t>
  </si>
  <si>
    <t>MHC AFFORDABLE HOMES INC</t>
  </si>
  <si>
    <t>2107 S. Berkey Southern Rd.</t>
  </si>
  <si>
    <t>MHC Capital ML, LLC</t>
  </si>
  <si>
    <t>MICAELA HAYNES</t>
  </si>
  <si>
    <t>752 Northgate Parkway</t>
  </si>
  <si>
    <t>MICAELA M TAYLOR</t>
  </si>
  <si>
    <t>191 West Nationwide Blvd Ste 3</t>
  </si>
  <si>
    <t>Micah Phillip Butler</t>
  </si>
  <si>
    <t>MICAHEL G FRAZEE</t>
  </si>
  <si>
    <t>205 Crosspath Rd</t>
  </si>
  <si>
    <t>MICHAEL A BARCHICK</t>
  </si>
  <si>
    <t>7465 Peppergrass Crossing</t>
  </si>
  <si>
    <t>MICHAEL A BRUNO</t>
  </si>
  <si>
    <t>1500 Timberwolf Dr.</t>
  </si>
  <si>
    <t>MICHAEL A COX</t>
  </si>
  <si>
    <t>2610 Beaufort Ave</t>
  </si>
  <si>
    <t>MICHAEL A DZIENNY</t>
  </si>
  <si>
    <t>MICHAEL A RITNER</t>
  </si>
  <si>
    <t>2719 Gracewood Rd</t>
  </si>
  <si>
    <t>MICHAEL A WHITEMAN</t>
  </si>
  <si>
    <t>4517 Mckain Dr</t>
  </si>
  <si>
    <t>MICHAEL ALLEN GARNETT</t>
  </si>
  <si>
    <t>5541 Christopher Ct</t>
  </si>
  <si>
    <t>MICHAEL ALLEN NJAIM</t>
  </si>
  <si>
    <t>708 S River Rd</t>
  </si>
  <si>
    <t>MICHAEL ALLEN RICHARDSON</t>
  </si>
  <si>
    <t>568 Sugar Maple Ct</t>
  </si>
  <si>
    <t>MICHAEL ANDRES QUINTEROS</t>
  </si>
  <si>
    <t>513 Adams St Apt 914</t>
  </si>
  <si>
    <t>MICHAEL ANTHONY BRANCATTO</t>
  </si>
  <si>
    <t>2340 Manchester Blvd</t>
  </si>
  <si>
    <t>MICHAEL BAILEY</t>
  </si>
  <si>
    <t>4114 Varmaas</t>
  </si>
  <si>
    <t>MICHAEL BARKER</t>
  </si>
  <si>
    <t>4906 Cedarhurst Rd</t>
  </si>
  <si>
    <t>MICHAEL BASSETT</t>
  </si>
  <si>
    <t>Po Box 266 62 Grande Lake Drive</t>
  </si>
  <si>
    <t>Port Clinton</t>
  </si>
  <si>
    <t>MICHAEL BOOTH</t>
  </si>
  <si>
    <t>1828 Brussels St</t>
  </si>
  <si>
    <t>Michael Boswell</t>
  </si>
  <si>
    <t>MICHAEL CASSAVAR</t>
  </si>
  <si>
    <t>4456 286Th St</t>
  </si>
  <si>
    <t>MICHAEL CURTIS</t>
  </si>
  <si>
    <t>3436 Moffat Rd</t>
  </si>
  <si>
    <t>MICHAEL D BAKER</t>
  </si>
  <si>
    <t>4302 Monroe St Apt 2</t>
  </si>
  <si>
    <t>MICHAEL D BELL</t>
  </si>
  <si>
    <t>MICHAEL D HARLAN</t>
  </si>
  <si>
    <t>3790 Boardman Canfield Road</t>
  </si>
  <si>
    <t>MICHAEL D KIRBY</t>
  </si>
  <si>
    <t>MICHAEL D. HARLAN</t>
  </si>
  <si>
    <t>MICHAEL D. HARLEN</t>
  </si>
  <si>
    <t>5401 Secor Road Suite A</t>
  </si>
  <si>
    <t>MICHAEL DARNELL FRAMES</t>
  </si>
  <si>
    <t>2846 Airport Hwy Apt F</t>
  </si>
  <si>
    <t>MICHAEL DEAN LAFFERTY</t>
  </si>
  <si>
    <t>1964 Garner Ave Lowr</t>
  </si>
  <si>
    <t>MICHAEL DENNIS OSHEA</t>
  </si>
  <si>
    <t>4040 Pickle Rd</t>
  </si>
  <si>
    <t>MICHAEL EMANS</t>
  </si>
  <si>
    <t>2048 Sawyer Ct</t>
  </si>
  <si>
    <t>MICHAEL F NEELY</t>
  </si>
  <si>
    <t>1430 Addington Rd</t>
  </si>
  <si>
    <t>MICHAEL FIELD</t>
  </si>
  <si>
    <t>361 Plymouth St</t>
  </si>
  <si>
    <t>MICHAEL G WITCHER</t>
  </si>
  <si>
    <t>2918 Nebraska</t>
  </si>
  <si>
    <t>Michael G. Nicholson</t>
  </si>
  <si>
    <t>7427 Coder Rd.</t>
  </si>
  <si>
    <t>2016 Gdm 1683 - Guardianship Of Kadence Grace Nicholson</t>
  </si>
  <si>
    <t>MICHAEL GINTOLI</t>
  </si>
  <si>
    <t>8319 Angola Rd</t>
  </si>
  <si>
    <t>MICHAEL GRILL</t>
  </si>
  <si>
    <t>3137 Elmont Rd</t>
  </si>
  <si>
    <t>Michael H Sniadecki</t>
  </si>
  <si>
    <t>6810 Brint Rd</t>
  </si>
  <si>
    <t>Michael H. Stahl, Esq.</t>
  </si>
  <si>
    <t>D.B.A. Michael H. Stahl  Attorney At Law, 316 N. Michigan St., Suite 600</t>
  </si>
  <si>
    <t>MICHAEL J ANTONINI</t>
  </si>
  <si>
    <t>626 Madison Ave Ste 603</t>
  </si>
  <si>
    <t>MICHAEL J KITZ</t>
  </si>
  <si>
    <t>6402 N River Rd</t>
  </si>
  <si>
    <t>MICHAEL J MITCHELL</t>
  </si>
  <si>
    <t>3452 Mcgregor Ln</t>
  </si>
  <si>
    <t>MICHAEL J OWENS</t>
  </si>
  <si>
    <t>MICHAEL J SKINNER</t>
  </si>
  <si>
    <t>607 Park Way W</t>
  </si>
  <si>
    <t>MICHAEL J SMITH</t>
  </si>
  <si>
    <t>936 Atkins St</t>
  </si>
  <si>
    <t>MICHAEL J WORDEN</t>
  </si>
  <si>
    <t>5862 Red Leaf Ln</t>
  </si>
  <si>
    <t>MICHAEL JOHN BREWSTER</t>
  </si>
  <si>
    <t>11061 Prov Neap Swan Rd</t>
  </si>
  <si>
    <t>MICHAEL JURSKI</t>
  </si>
  <si>
    <t>755 Dearborn Avenue</t>
  </si>
  <si>
    <t>MICHAEL L BAILEY</t>
  </si>
  <si>
    <t>4702 Vallejo</t>
  </si>
  <si>
    <t>MICHAEL L HAMPTON</t>
  </si>
  <si>
    <t>420 Sycamore Lane</t>
  </si>
  <si>
    <t>MICHAEL L THANASIU</t>
  </si>
  <si>
    <t>96 Ponderosa Dr</t>
  </si>
  <si>
    <t>MICHAEL LANKEY</t>
  </si>
  <si>
    <t>1959 Richmond Rd</t>
  </si>
  <si>
    <t>MICHAEL MANGOTIC</t>
  </si>
  <si>
    <t>7712 Indian Springs Rd</t>
  </si>
  <si>
    <t>Michael Mumford</t>
  </si>
  <si>
    <t>5814 Lakeside Avenue</t>
  </si>
  <si>
    <t>MICHAEL NEUSCHWANGER</t>
  </si>
  <si>
    <t>4611 Willys Pkwy</t>
  </si>
  <si>
    <t>Michael P Dick</t>
  </si>
  <si>
    <t>1065 Equestrian Dr</t>
  </si>
  <si>
    <t>South Lyon</t>
  </si>
  <si>
    <t>MICHAEL P PRUSS</t>
  </si>
  <si>
    <t>39 Ponderosa Dr</t>
  </si>
  <si>
    <t>MICHAEL PHILLIPS</t>
  </si>
  <si>
    <t>740 W. Alexis Rd. Apt 1</t>
  </si>
  <si>
    <t>MICHAEL PINKAVA</t>
  </si>
  <si>
    <t>2426 Cherry Hill Rd</t>
  </si>
  <si>
    <t>MICHAEL R GSCHWIND</t>
  </si>
  <si>
    <t>6125 Harvest Lane</t>
  </si>
  <si>
    <t>MICHAEL R SADOWSKI</t>
  </si>
  <si>
    <t>335 E Park St</t>
  </si>
  <si>
    <t>MICHAEL RADFORD SMITH</t>
  </si>
  <si>
    <t>MICHAEL RICHARD KRUEGER</t>
  </si>
  <si>
    <t>3232 Bellevue Rd</t>
  </si>
  <si>
    <t>MICHAEL RUSSELL KRAMER</t>
  </si>
  <si>
    <t>5917 Pepperell Pl</t>
  </si>
  <si>
    <t>MICHAEL S MATRISCIANO</t>
  </si>
  <si>
    <t>7215 Oak Hill Dr</t>
  </si>
  <si>
    <t>MICHAEL S ROBINETTE</t>
  </si>
  <si>
    <t>1234 Crestwood Rd</t>
  </si>
  <si>
    <t>MICHAEL SAM SAWAYA</t>
  </si>
  <si>
    <t>757 Regina Pkwy</t>
  </si>
  <si>
    <t>MICHAEL SCOTT</t>
  </si>
  <si>
    <t>1801 Heatherdowns Blvd</t>
  </si>
  <si>
    <t>MICHAEL SCOTT WADDLE</t>
  </si>
  <si>
    <t>4432 283Rd St</t>
  </si>
  <si>
    <t>MICHAEL SKOLMOWSKI</t>
  </si>
  <si>
    <t>7749 Wellsbury Dr</t>
  </si>
  <si>
    <t>MICHAEL STAHL</t>
  </si>
  <si>
    <t>316 N Michigan St,   Ste 600</t>
  </si>
  <si>
    <t>MICHAEL STAHL LAW</t>
  </si>
  <si>
    <t>316 N Michigan Ste 600</t>
  </si>
  <si>
    <t>MICHAEL STEELE KELLEHER</t>
  </si>
  <si>
    <t>2319 Grantwood Dr</t>
  </si>
  <si>
    <t>Michael T. Ditzel</t>
  </si>
  <si>
    <t>2440 Chagrin Blvd., Ste. 300</t>
  </si>
  <si>
    <t>2020 Est 258 - Est. Of Linda L. Gibbs</t>
  </si>
  <si>
    <t>MICHAEL TAYLOR (PAYCO)</t>
  </si>
  <si>
    <t>3302 Radford</t>
  </si>
  <si>
    <t>MICHAEL TODD RIDGEWAY</t>
  </si>
  <si>
    <t>5945 Dixon Ave</t>
  </si>
  <si>
    <t>MICHAEL TROXELL</t>
  </si>
  <si>
    <t>7809 Greenville Xing</t>
  </si>
  <si>
    <t>MICHAEL WEATHERFORD</t>
  </si>
  <si>
    <t>8925 Sycamore Trl</t>
  </si>
  <si>
    <t>MICHAEL WILLIAM HILL</t>
  </si>
  <si>
    <t>4311 Clarewood Dr</t>
  </si>
  <si>
    <t>MICHAEL WILLIAM LAY</t>
  </si>
  <si>
    <t>4830 Village Ln</t>
  </si>
  <si>
    <t>MICHAEL Y OGAWA</t>
  </si>
  <si>
    <t>3458 Shakespeare Ln</t>
  </si>
  <si>
    <t>MICHAELA CRYSTAL JACKSON</t>
  </si>
  <si>
    <t>3855 Willys Pkwy</t>
  </si>
  <si>
    <t>MICHAL TERRELL HAMILTON</t>
  </si>
  <si>
    <t>2535 W Bancroft St Apt 4</t>
  </si>
  <si>
    <t>Michele Davis</t>
  </si>
  <si>
    <t>5416 Harschel</t>
  </si>
  <si>
    <t>MICHELE DUSZA</t>
  </si>
  <si>
    <t>1602 Glenross Blvd</t>
  </si>
  <si>
    <t>Michele Hoffman</t>
  </si>
  <si>
    <t>305 Union St.</t>
  </si>
  <si>
    <t>Cygnet</t>
  </si>
  <si>
    <t>MICHELE M PISCOPO</t>
  </si>
  <si>
    <t>4551 Brookhurst Rd</t>
  </si>
  <si>
    <t>MICHELE SUE JAGODZINSKI</t>
  </si>
  <si>
    <t>1862 Seaford Dr</t>
  </si>
  <si>
    <t>MICHELLE ANNE BALAS</t>
  </si>
  <si>
    <t>4656 288Th St</t>
  </si>
  <si>
    <t>MICHELLE BEAKASRUIZ</t>
  </si>
  <si>
    <t>1015 Craig Rd.</t>
  </si>
  <si>
    <t>MICHELLE C SCHERER</t>
  </si>
  <si>
    <t>2152 Thornapple Drive</t>
  </si>
  <si>
    <t>MICHELLE CALDWELL</t>
  </si>
  <si>
    <t>531 Independence Dr</t>
  </si>
  <si>
    <t>MICHELLE COUGHLIN</t>
  </si>
  <si>
    <t>414 Clyde St</t>
  </si>
  <si>
    <t>MICHELLE CULLUM</t>
  </si>
  <si>
    <t>6511 Derbyshire Court</t>
  </si>
  <si>
    <t>MICHELLE HEFFNER</t>
  </si>
  <si>
    <t>2165 Mansfield Rd</t>
  </si>
  <si>
    <t>Michelle Johnson</t>
  </si>
  <si>
    <t>855 E David Rd</t>
  </si>
  <si>
    <t>719 Shoshoni Way</t>
  </si>
  <si>
    <t>Tipp City</t>
  </si>
  <si>
    <t>MICHELLE JOHNSON</t>
  </si>
  <si>
    <t>MICHELLE JULIA MORRIS</t>
  </si>
  <si>
    <t>337 Sawgrass Ct</t>
  </si>
  <si>
    <t>MICHELLE L ELLIS</t>
  </si>
  <si>
    <t>4 Birckhead Pl</t>
  </si>
  <si>
    <t>MICHELLE LYNN GASSER</t>
  </si>
  <si>
    <t>862 Cherry Ln</t>
  </si>
  <si>
    <t>Michelle M Millsaps</t>
  </si>
  <si>
    <t>991 Dixie Hwy</t>
  </si>
  <si>
    <t>Michelle M Scott</t>
  </si>
  <si>
    <t>1511 Addington Rd</t>
  </si>
  <si>
    <t>MICHELLE MEFFERD</t>
  </si>
  <si>
    <t>22 S River Rd</t>
  </si>
  <si>
    <t>MICHELLE MULL</t>
  </si>
  <si>
    <t>5137 Adella St</t>
  </si>
  <si>
    <t>MICHELLE OLENDER</t>
  </si>
  <si>
    <t>5405 Hammond</t>
  </si>
  <si>
    <t>MICHELLE ROBERTS</t>
  </si>
  <si>
    <t>5122 Trimble Rd</t>
  </si>
  <si>
    <t>MICHELLE SHEPHARD</t>
  </si>
  <si>
    <t>3428 Country Farms Rd</t>
  </si>
  <si>
    <t>MICHELLE SHINGLE</t>
  </si>
  <si>
    <t>1416 Vinal St</t>
  </si>
  <si>
    <t>MICHELLE T MOHAMED</t>
  </si>
  <si>
    <t>7706 Hickory Grove Rd</t>
  </si>
  <si>
    <t>Michigan City KIA</t>
  </si>
  <si>
    <t>4411 E Michigan Hwy</t>
  </si>
  <si>
    <t>Michigan City</t>
  </si>
  <si>
    <t>MIDDLEBROOKS CHANELLE</t>
  </si>
  <si>
    <t>4412 Airport</t>
  </si>
  <si>
    <t>MIGLIORI FRANK</t>
  </si>
  <si>
    <t>2424 Woodville Rd.</t>
  </si>
  <si>
    <t>MIGUEL S OSUNA</t>
  </si>
  <si>
    <t>6010 Red Oak Dr</t>
  </si>
  <si>
    <t>MIHALIC JOSEPH</t>
  </si>
  <si>
    <t>9711 N New River Canal Road   Villa 214</t>
  </si>
  <si>
    <t>Plantation</t>
  </si>
  <si>
    <t>MIKAYLA JONES</t>
  </si>
  <si>
    <t>2120 N 12Th St</t>
  </si>
  <si>
    <t>MIKE DUBOSE</t>
  </si>
  <si>
    <t>1010 Richland St</t>
  </si>
  <si>
    <t>MIKONOWICZ DANA</t>
  </si>
  <si>
    <t>MILA MILLER</t>
  </si>
  <si>
    <t>2222 Portsmouth Ave</t>
  </si>
  <si>
    <t>MILENA MRDJENOVIC</t>
  </si>
  <si>
    <t>2570 Gardengate Pl</t>
  </si>
  <si>
    <t>MILES H DANIELS</t>
  </si>
  <si>
    <t>3455 Oak Alley Ct  Apt 502</t>
  </si>
  <si>
    <t>MILLER ALYXANDRIA</t>
  </si>
  <si>
    <t>5211 Patriot</t>
  </si>
  <si>
    <t>MILLER CODY</t>
  </si>
  <si>
    <t>2102 King</t>
  </si>
  <si>
    <t>MILLER JOANN</t>
  </si>
  <si>
    <t>523 Paine</t>
  </si>
  <si>
    <t>MILLER SCOTT</t>
  </si>
  <si>
    <t>406 S Mccord</t>
  </si>
  <si>
    <t>MILLER, ANGELA</t>
  </si>
  <si>
    <t>Comr/Jun 2019</t>
  </si>
  <si>
    <t>MILLER-SHORT SKYLER</t>
  </si>
  <si>
    <t>28925 Georgia Rd</t>
  </si>
  <si>
    <t>MINDY S FARMER</t>
  </si>
  <si>
    <t>5409 Florita Dr</t>
  </si>
  <si>
    <t>MINNIFIELD DAPRIES</t>
  </si>
  <si>
    <t>2275 Whitney Avenue</t>
  </si>
  <si>
    <t>MIOSHA LATRECE JONES</t>
  </si>
  <si>
    <t>6081 Manley Rd Apt C</t>
  </si>
  <si>
    <t>MIPE NICHOLAS</t>
  </si>
  <si>
    <t>3340 Wilson</t>
  </si>
  <si>
    <t>MIRANDA ALISSA</t>
  </si>
  <si>
    <t>2560 Lambert</t>
  </si>
  <si>
    <t>MIRANDA POLLAUF</t>
  </si>
  <si>
    <t>3216 Drummond Rd</t>
  </si>
  <si>
    <t>MIRANDA RAYBURN</t>
  </si>
  <si>
    <t>2258 108Th St</t>
  </si>
  <si>
    <t>Miss Tehreem Shahbaz</t>
  </si>
  <si>
    <t>MISTY L PENDERGRAFF</t>
  </si>
  <si>
    <t>225 S Wheeling St</t>
  </si>
  <si>
    <t>MITCHELL A STERN</t>
  </si>
  <si>
    <t>MITCHELL AIDEE</t>
  </si>
  <si>
    <t>715S Coy Road</t>
  </si>
  <si>
    <t>MITCHELL CHARLES SILVERNAIL</t>
  </si>
  <si>
    <t>5809 Glasgow Rd</t>
  </si>
  <si>
    <t>MITCHELL PENCHEFF</t>
  </si>
  <si>
    <t>580 South High Street</t>
  </si>
  <si>
    <t>Mitchell, DeMarshaun</t>
  </si>
  <si>
    <t>931 Carver Blvd</t>
  </si>
  <si>
    <t>MLR PROPERTIES INC</t>
  </si>
  <si>
    <t>5321 Fox Run</t>
  </si>
  <si>
    <t>MOCKENSTURM REBECCA</t>
  </si>
  <si>
    <t>6327 Dorr St</t>
  </si>
  <si>
    <t>MOHAMMED A WEHBI</t>
  </si>
  <si>
    <t>6425 South Ave</t>
  </si>
  <si>
    <t>Mohammed Doufash</t>
  </si>
  <si>
    <t>5859 Deane Dr.</t>
  </si>
  <si>
    <t>MOHKER CAITLIN</t>
  </si>
  <si>
    <t>500 South Front Street Suite 1</t>
  </si>
  <si>
    <t>MOLLIE MILLER</t>
  </si>
  <si>
    <t>1847 Cone St.</t>
  </si>
  <si>
    <t>MOLLY ANNE HAGGERTY</t>
  </si>
  <si>
    <t>6842 Erie St</t>
  </si>
  <si>
    <t>MOLLY BARRY</t>
  </si>
  <si>
    <t>2439 Orchard Rd</t>
  </si>
  <si>
    <t>MOLLY E ADKINS</t>
  </si>
  <si>
    <t>1131 Earlwood Ave</t>
  </si>
  <si>
    <t>MOLLY RAE J AMES</t>
  </si>
  <si>
    <t>3808 Torrance Dr Uppr</t>
  </si>
  <si>
    <t>MONICA ANN MASS</t>
  </si>
  <si>
    <t>218 Danesmoor Rd</t>
  </si>
  <si>
    <t>MONICA J DAVIS</t>
  </si>
  <si>
    <t>854 Continental Blvd</t>
  </si>
  <si>
    <t>MONICA JANES</t>
  </si>
  <si>
    <t>2005 Sandown Rd</t>
  </si>
  <si>
    <t>MONICA L BUMPUS WOLF</t>
  </si>
  <si>
    <t>2110 Glenwood Ave</t>
  </si>
  <si>
    <t>MONICA THERESE LY LABEAU</t>
  </si>
  <si>
    <t>1428 South Ave</t>
  </si>
  <si>
    <t>MONIQUE L LANG</t>
  </si>
  <si>
    <t>3430 Polk Pl</t>
  </si>
  <si>
    <t>MONIQUE LOVETTE PRICE</t>
  </si>
  <si>
    <t>7231 Wembley Ter W</t>
  </si>
  <si>
    <t>MONIQUE PRICE</t>
  </si>
  <si>
    <t>MONJARAZ ARTURO</t>
  </si>
  <si>
    <t>344 Burger</t>
  </si>
  <si>
    <t>Monroe County Community Credit Union</t>
  </si>
  <si>
    <t>715 N Telegraph Rd</t>
  </si>
  <si>
    <t>MONTANA THOMPSON</t>
  </si>
  <si>
    <t>3422 Lynnbrooke Ln</t>
  </si>
  <si>
    <t>MONTEZ LARON JONES</t>
  </si>
  <si>
    <t>4604 Nantuckett Dr Apt 46</t>
  </si>
  <si>
    <t>MONTEZ MATHAN C/O BRAD HUBBELL</t>
  </si>
  <si>
    <t>411 N Michigan Street</t>
  </si>
  <si>
    <t>MONTGOMERY KASHMERE</t>
  </si>
  <si>
    <t>1131 N Ontario Unit A</t>
  </si>
  <si>
    <t>Montrese Gaston</t>
  </si>
  <si>
    <t>308 E. Park</t>
  </si>
  <si>
    <t>MOORE LEE</t>
  </si>
  <si>
    <t>29 E Oakland</t>
  </si>
  <si>
    <t>MOORE SIERRA</t>
  </si>
  <si>
    <t>5131 Secor Unit 11</t>
  </si>
  <si>
    <t>MOORE,YASMEEN</t>
  </si>
  <si>
    <t>22 Exmoor</t>
  </si>
  <si>
    <t>MOORE,ZONTA</t>
  </si>
  <si>
    <t>3005 Northwood Ave</t>
  </si>
  <si>
    <t>MOORES,SONIA</t>
  </si>
  <si>
    <t>6761 Cloister Ct</t>
  </si>
  <si>
    <t>MORA RAQUEL</t>
  </si>
  <si>
    <t>MORENO ADRIANA</t>
  </si>
  <si>
    <t>MORGAN ELIZABETH TATE</t>
  </si>
  <si>
    <t>2058 Mayport Dr</t>
  </si>
  <si>
    <t>MORGAN LAW</t>
  </si>
  <si>
    <t>326 Plymouth St</t>
  </si>
  <si>
    <t>MORGAN MARKYVIA</t>
  </si>
  <si>
    <t>3901 Airport Highway,  Apt 8</t>
  </si>
  <si>
    <t>MORRIS FAYE</t>
  </si>
  <si>
    <t>1135 N Erie</t>
  </si>
  <si>
    <t>MORRISON JAMAL</t>
  </si>
  <si>
    <t>840 Continental</t>
  </si>
  <si>
    <t>MOYA RUDY</t>
  </si>
  <si>
    <t>828 Utica</t>
  </si>
  <si>
    <t>Mr Owens</t>
  </si>
  <si>
    <t>1010 S Crissey Rd</t>
  </si>
  <si>
    <t>Mr Owens Car Sales N More LLC</t>
  </si>
  <si>
    <t>Ms. Susan Yeager</t>
  </si>
  <si>
    <t>8911 Dutch Rd</t>
  </si>
  <si>
    <t>Ms. Yoana Almanza</t>
  </si>
  <si>
    <t>111 Clark St</t>
  </si>
  <si>
    <t>MUELLER ETHAN</t>
  </si>
  <si>
    <t>One Maritime Plaza 6Th Fl</t>
  </si>
  <si>
    <t>MUENZER NATHAN J</t>
  </si>
  <si>
    <t>Muhammad Abushaban</t>
  </si>
  <si>
    <t>1122 N Byrne Rd Unit 12</t>
  </si>
  <si>
    <t>Muhsin Ozbay</t>
  </si>
  <si>
    <t>26800 Woodmont Dr Apt 21</t>
  </si>
  <si>
    <t>MULLINS FRANK CAROL</t>
  </si>
  <si>
    <t>11021 Shepler Avenue</t>
  </si>
  <si>
    <t>MULROY TIM</t>
  </si>
  <si>
    <t>21010 Delaware</t>
  </si>
  <si>
    <t>MUMFORD,WAYNE</t>
  </si>
  <si>
    <t>1800 N Mccord Rd, Apt 63</t>
  </si>
  <si>
    <t>MUNGER ROBERT</t>
  </si>
  <si>
    <t>7519 Dorr</t>
  </si>
  <si>
    <t>MUNINU LLC</t>
  </si>
  <si>
    <t>Po Box 2724</t>
  </si>
  <si>
    <t>MUNIZ SALOMON</t>
  </si>
  <si>
    <t>2058 Berdan</t>
  </si>
  <si>
    <t>MUNN JOE</t>
  </si>
  <si>
    <t>4306 River Rd</t>
  </si>
  <si>
    <t>MUNN TIMOTHY</t>
  </si>
  <si>
    <t>1515 South Toledo</t>
  </si>
  <si>
    <t>MURPHY CRYSTAL</t>
  </si>
  <si>
    <t>1757 Way Side</t>
  </si>
  <si>
    <t>MURPHY DONALD</t>
  </si>
  <si>
    <t>1021 Rochelle</t>
  </si>
  <si>
    <t>MURPHY NICKHOLAS</t>
  </si>
  <si>
    <t>12739 Manor</t>
  </si>
  <si>
    <t>MURREY SHAWN</t>
  </si>
  <si>
    <t>3502 Leybourn</t>
  </si>
  <si>
    <t>MUSARRAT JEHAN</t>
  </si>
  <si>
    <t>3230 Stonegate Dr</t>
  </si>
  <si>
    <t>MYEASHA HAYES</t>
  </si>
  <si>
    <t>530 Acklin Ave</t>
  </si>
  <si>
    <t>27 Brownstone Cove</t>
  </si>
  <si>
    <t>Jackson</t>
  </si>
  <si>
    <t>MYERS,MICHAEL</t>
  </si>
  <si>
    <t>1758 Finefrock Rd</t>
  </si>
  <si>
    <t>MYRICE GEORGE</t>
  </si>
  <si>
    <t>1632 Pool</t>
  </si>
  <si>
    <t>NACHTRAB JACK</t>
  </si>
  <si>
    <t>1028 South Holland-Sylvania Ro</t>
  </si>
  <si>
    <t>NAGARA</t>
  </si>
  <si>
    <t>1400 L St Nw  #34375, Lbby 2</t>
  </si>
  <si>
    <t>NAGHMOUCHI SABER</t>
  </si>
  <si>
    <t>1827 Eastgate Road</t>
  </si>
  <si>
    <t>NAILS ROBERT</t>
  </si>
  <si>
    <t>1049 Pinewood Avenue</t>
  </si>
  <si>
    <t>NANCY MICHELLE BROWN</t>
  </si>
  <si>
    <t>4860 Olde Meadow Ln</t>
  </si>
  <si>
    <t>NANCY P MAGGINIS</t>
  </si>
  <si>
    <t>555 N Erie Street  Suite 248</t>
  </si>
  <si>
    <t>NANETTE M FETTER</t>
  </si>
  <si>
    <t>7803 Shaftesbury Dr</t>
  </si>
  <si>
    <t>Nasir Islam</t>
  </si>
  <si>
    <t>723 City Park</t>
  </si>
  <si>
    <t>NATALEE M SWARTZ</t>
  </si>
  <si>
    <t>5713 Mallard Pointe Ln</t>
  </si>
  <si>
    <t>NATALIE APRIL OLEARY</t>
  </si>
  <si>
    <t>3744 Fairwood Dr</t>
  </si>
  <si>
    <t>NATALIE D COOK</t>
  </si>
  <si>
    <t>NATASHA ANN CLARK</t>
  </si>
  <si>
    <t>4237 Fairview Dr</t>
  </si>
  <si>
    <t>Natasha Dunne</t>
  </si>
  <si>
    <t>4249 Woodmont Rd.</t>
  </si>
  <si>
    <t>2016 Nch 671 - Name Change Of Natasha Lynn Dunne</t>
  </si>
  <si>
    <t>NATHAN A RAMSEY</t>
  </si>
  <si>
    <t>2624 Parkwood Ave</t>
  </si>
  <si>
    <t>NATHAN BLODGETT</t>
  </si>
  <si>
    <t>4527 Blystone Valley Dr</t>
  </si>
  <si>
    <t>NATHAN DAVENPORT</t>
  </si>
  <si>
    <t>6937 Blossman Rd</t>
  </si>
  <si>
    <t>Nathan Horstman</t>
  </si>
  <si>
    <t>1701 Sun Star Dr</t>
  </si>
  <si>
    <t>Raleigh</t>
  </si>
  <si>
    <t>Nathan J. Daniels, Esq.</t>
  </si>
  <si>
    <t>6410 Old Stone Trl.</t>
  </si>
  <si>
    <t>NATHAN JASKO</t>
  </si>
  <si>
    <t>641 Dussel Dr</t>
  </si>
  <si>
    <t>NATHAN N DEAKIN</t>
  </si>
  <si>
    <t>753 Colima Dr</t>
  </si>
  <si>
    <t>NATHAN O WILLIAMS</t>
  </si>
  <si>
    <t>7128 Westmeadow Rd</t>
  </si>
  <si>
    <t>NATHAN R BOYER</t>
  </si>
  <si>
    <t>2106 Wyndhurst Rd</t>
  </si>
  <si>
    <t>NATHAN ROSS</t>
  </si>
  <si>
    <t>1860 Connecticut Blvd</t>
  </si>
  <si>
    <t>NATHANIEL DUCAT</t>
  </si>
  <si>
    <t>NATHIN JAMES KLEPAREK</t>
  </si>
  <si>
    <t>928 Pierce St</t>
  </si>
  <si>
    <t>National Association of County Veterans</t>
  </si>
  <si>
    <t>P.O. Box 878</t>
  </si>
  <si>
    <t>Brunswick</t>
  </si>
  <si>
    <t>NATIONAL REGISTERED AGENTS</t>
  </si>
  <si>
    <t>4400 Easton Commons Way Ste 12</t>
  </si>
  <si>
    <t>NATIONSTAR  MORTGAGE LLC</t>
  </si>
  <si>
    <t>NATIONSTAR MORTGAGE</t>
  </si>
  <si>
    <t>NATIONSTAR MORTGAGE LLC</t>
  </si>
  <si>
    <t>NATIONWIDE MUTUAL INSURANCE CO C/O LAW OFFICE OF PAUL BONFIGLIO</t>
  </si>
  <si>
    <t>420 Madison Avenue</t>
  </si>
  <si>
    <t>NaturePlay Art Company</t>
  </si>
  <si>
    <t>30700 Russell Ranch Rd  Suite 250</t>
  </si>
  <si>
    <t>Westlake Village</t>
  </si>
  <si>
    <t>NEAL A APPLIN</t>
  </si>
  <si>
    <t>6764 Hampsford Cir</t>
  </si>
  <si>
    <t>NEAL KEVIN</t>
  </si>
  <si>
    <t>2271 Rosewood Unit 3</t>
  </si>
  <si>
    <t>NEARY KRISTI DAWN</t>
  </si>
  <si>
    <t>625 Alpha Dr Box 011 B</t>
  </si>
  <si>
    <t>Highlands Heights</t>
  </si>
  <si>
    <t>NEENA GOEL</t>
  </si>
  <si>
    <t>8241 Bucks Run Ct</t>
  </si>
  <si>
    <t>NEIDT,JACOB</t>
  </si>
  <si>
    <t>2423 S Holland Sylvania Rd, Apt 146</t>
  </si>
  <si>
    <t>NEIL BLAKEMAN</t>
  </si>
  <si>
    <t>3336 Maplewood Ave</t>
  </si>
  <si>
    <t>NELSON IZELL</t>
  </si>
  <si>
    <t>1110 Montrose</t>
  </si>
  <si>
    <t>NETWORTH REALTY LLC</t>
  </si>
  <si>
    <t>1924 Brussels St</t>
  </si>
  <si>
    <t>Nevaeh McGary-Jones</t>
  </si>
  <si>
    <t>1133 Woodland Ave</t>
  </si>
  <si>
    <t>NEVER ASHLEE</t>
  </si>
  <si>
    <t>116 W William Street</t>
  </si>
  <si>
    <t>NEVIN SCHUPP</t>
  </si>
  <si>
    <t>4832 Woodland Ln</t>
  </si>
  <si>
    <t>NEW DAY FINANCIAL LLC</t>
  </si>
  <si>
    <t>NEW REZ LLC</t>
  </si>
  <si>
    <t>NEWMAN BRITTAN</t>
  </si>
  <si>
    <t>1211 W Ninth St Suite 105</t>
  </si>
  <si>
    <t>NEWREZ LLC</t>
  </si>
  <si>
    <t>NEWTON PATRICK</t>
  </si>
  <si>
    <t>104 17Th</t>
  </si>
  <si>
    <t>NICHOLAS A TUCHOLSKI</t>
  </si>
  <si>
    <t>2632 Wesleyan Dr</t>
  </si>
  <si>
    <t>NICHOLAS ALAN FLAHIE</t>
  </si>
  <si>
    <t>2120 Woodbridge Rd</t>
  </si>
  <si>
    <t>NICHOLAS ARREDONDO</t>
  </si>
  <si>
    <t>NICHOLAS CERON DEAN</t>
  </si>
  <si>
    <t>Nicholas Clark</t>
  </si>
  <si>
    <t>949 Morningside Dr</t>
  </si>
  <si>
    <t>Xenia</t>
  </si>
  <si>
    <t>NICHOLAS D DUNCAN</t>
  </si>
  <si>
    <t>1534 Freedom St</t>
  </si>
  <si>
    <t>NICHOLAS ERIC MCCLELLAN</t>
  </si>
  <si>
    <t>4534 Harbord Dr</t>
  </si>
  <si>
    <t>Nicholas Financial Inc</t>
  </si>
  <si>
    <t>2454 Mcmullen Booth Rd</t>
  </si>
  <si>
    <t>NICHOLAS GREGORY BONFIGLIO</t>
  </si>
  <si>
    <t>3906 Woodmont Rd</t>
  </si>
  <si>
    <t>NICHOLAS HARBAUGH</t>
  </si>
  <si>
    <t>5531 Harris Hawk Ln</t>
  </si>
  <si>
    <t>NICHOLAS HILLMAN</t>
  </si>
  <si>
    <t>865 Kingston Ave</t>
  </si>
  <si>
    <t>NICHOLAS J ANDERSON</t>
  </si>
  <si>
    <t>3846 Doty Dr</t>
  </si>
  <si>
    <t>NICHOLAS JOHN YOUNGBLOOD</t>
  </si>
  <si>
    <t>6300 Weckerly Rd</t>
  </si>
  <si>
    <t>NICHOLAS JOSEPH CURTIS</t>
  </si>
  <si>
    <t>2209 Terramar Rd</t>
  </si>
  <si>
    <t>NICHOLAS JOSEPH MONDELLI</t>
  </si>
  <si>
    <t>3220 Raleigh Dr</t>
  </si>
  <si>
    <t>Nicholas Kaufman</t>
  </si>
  <si>
    <t>5960 Walnut Circle #A</t>
  </si>
  <si>
    <t>NICHOLAS LAY</t>
  </si>
  <si>
    <t>5841 Comet Ave</t>
  </si>
  <si>
    <t>NICHOLAS MATHEW</t>
  </si>
  <si>
    <t>426 Waggoner</t>
  </si>
  <si>
    <t>Nicholas R. Galloway</t>
  </si>
  <si>
    <t>2114 Chase St.</t>
  </si>
  <si>
    <t>2022 Est 000046 - Est. Of William D. Galloway, Jr.</t>
  </si>
  <si>
    <t>NICHOLAS ROBER BRUSHABER</t>
  </si>
  <si>
    <t>1564 Bradmore Dr</t>
  </si>
  <si>
    <t>NICHOLAS RYAN MUSSER</t>
  </si>
  <si>
    <t>3911 Bridge Creek Blvd</t>
  </si>
  <si>
    <t>NICHOLAS RYAN TUSSING</t>
  </si>
  <si>
    <t>2910 Seaman Rd</t>
  </si>
  <si>
    <t>NICHOLAS SCOTT LEWANDOWSKI</t>
  </si>
  <si>
    <t>3844 Branch Dr</t>
  </si>
  <si>
    <t>NICHOLAS WOLKE</t>
  </si>
  <si>
    <t>1245 Parkglen Ct</t>
  </si>
  <si>
    <t>Nicholas Woods</t>
  </si>
  <si>
    <t>25879 W. River Rd.</t>
  </si>
  <si>
    <t>25879 W River Rd</t>
  </si>
  <si>
    <t>NICHOLE A CASSIDY</t>
  </si>
  <si>
    <t>2216 Georgetown Ave</t>
  </si>
  <si>
    <t>NICHOLE HAIRABEDIAN</t>
  </si>
  <si>
    <t>1610 Western Ave</t>
  </si>
  <si>
    <t>NICHOLE LAUREN PURCEL</t>
  </si>
  <si>
    <t>5750 Cushman Rd</t>
  </si>
  <si>
    <t>NICHOLE MARIE FIFER</t>
  </si>
  <si>
    <t>626 Virginia St</t>
  </si>
  <si>
    <t>NICHOLE OTTERSON</t>
  </si>
  <si>
    <t>7360 Nightingale Dr Apt 10</t>
  </si>
  <si>
    <t>NICK DEGENNARO</t>
  </si>
  <si>
    <t>430 White Pond Dr Dte 300</t>
  </si>
  <si>
    <t>Nicklas Norvell</t>
  </si>
  <si>
    <t>2644 Lambert</t>
  </si>
  <si>
    <t>2020 Est 2389 - Est. Of Cheryl L. Adamski</t>
  </si>
  <si>
    <t>NICKOLAS DAVID WHITEMAN</t>
  </si>
  <si>
    <t>1237 Kirk St</t>
  </si>
  <si>
    <t>NICOLE A FORRESTER</t>
  </si>
  <si>
    <t>3835 Rushland Ave</t>
  </si>
  <si>
    <t>NICOLE CHERRY</t>
  </si>
  <si>
    <t>2776 Hemlock Dr</t>
  </si>
  <si>
    <t>NICOLE D CRAMPTON</t>
  </si>
  <si>
    <t>629 Walbridge Ave</t>
  </si>
  <si>
    <t>NICOLE D FRANKS</t>
  </si>
  <si>
    <t>507 Continental Blvd</t>
  </si>
  <si>
    <t>NICOLE DANIELLE BOCK</t>
  </si>
  <si>
    <t>6542 Field Ave</t>
  </si>
  <si>
    <t>NICOLE JACOBS</t>
  </si>
  <si>
    <t>NICOLE L LOPEZ</t>
  </si>
  <si>
    <t>7731 Sioux Ridge Dr</t>
  </si>
  <si>
    <t>NICOLE LYNN ROBBINS</t>
  </si>
  <si>
    <t>24 Longmeadow Dr</t>
  </si>
  <si>
    <t>NICOLE N WHITE</t>
  </si>
  <si>
    <t>2222 Heatherlawn Dr</t>
  </si>
  <si>
    <t>NICOLE RAE GILLESPIE</t>
  </si>
  <si>
    <t>5730 Dellbrook Dr</t>
  </si>
  <si>
    <t>Nicole Slovacek</t>
  </si>
  <si>
    <t>1626 East Highway 71</t>
  </si>
  <si>
    <t>La Grange</t>
  </si>
  <si>
    <t>1626 East Highway 71 Business</t>
  </si>
  <si>
    <t>NICOLE SMITH</t>
  </si>
  <si>
    <t>5862 Firethorne Dr Apt K</t>
  </si>
  <si>
    <t>Nicole Watkins</t>
  </si>
  <si>
    <t>2245 Ottello Ave</t>
  </si>
  <si>
    <t>NICOLE WATKINS</t>
  </si>
  <si>
    <t>NICOLLE PLONTZ</t>
  </si>
  <si>
    <t>7521 Scandinavia Dr</t>
  </si>
  <si>
    <t>NIEHAUS KALAS HINSHAW LTD</t>
  </si>
  <si>
    <t>7150 Granite Circle Suite 203</t>
  </si>
  <si>
    <t>NIKKI DEE PARISH</t>
  </si>
  <si>
    <t>1034 Martin Ave</t>
  </si>
  <si>
    <t>NIKKI J TURNER</t>
  </si>
  <si>
    <t>108 Clifton Rd</t>
  </si>
  <si>
    <t>Nikki Kolasinski</t>
  </si>
  <si>
    <t>15257 County Road 12</t>
  </si>
  <si>
    <t>NIKKI PENN</t>
  </si>
  <si>
    <t>642 S Hill Park Dr</t>
  </si>
  <si>
    <t>NIKKI WASHINGTON</t>
  </si>
  <si>
    <t>2544 Briar Lane Apt C</t>
  </si>
  <si>
    <t>NILES BRANDON</t>
  </si>
  <si>
    <t>1600 Valley</t>
  </si>
  <si>
    <t>Marysville</t>
  </si>
  <si>
    <t>NINA LAIPPLY</t>
  </si>
  <si>
    <t>2551 Marlboro St</t>
  </si>
  <si>
    <t>NINER JACOB</t>
  </si>
  <si>
    <t>72 Geneva</t>
  </si>
  <si>
    <t>NINO JOHN</t>
  </si>
  <si>
    <t>1352 Oak</t>
  </si>
  <si>
    <t>NINO LARRY</t>
  </si>
  <si>
    <t>NIRKULJEET KAUR</t>
  </si>
  <si>
    <t>2432 Old Stone Court        Apt 7</t>
  </si>
  <si>
    <t>NISTASHA BRADFIELD</t>
  </si>
  <si>
    <t>3358 N Eastmoreland Dr</t>
  </si>
  <si>
    <t>NITTYS BARBER SHOP</t>
  </si>
  <si>
    <t>C/O Frank Jacobs Iii 1685 W Bancroft Street</t>
  </si>
  <si>
    <t>NITZ CHRISTOPHER</t>
  </si>
  <si>
    <t>225 E Northgate</t>
  </si>
  <si>
    <t>Noah Anthony Kraus</t>
  </si>
  <si>
    <t>NOAH BROADWAY</t>
  </si>
  <si>
    <t>1401 N Stadium Rd</t>
  </si>
  <si>
    <t>NOAH CHRISTOPHER LIGHTNER</t>
  </si>
  <si>
    <t>6119 Harvest Ln</t>
  </si>
  <si>
    <t>NOAH J AMES INTAGLIATA</t>
  </si>
  <si>
    <t>520 Cambridge Park N</t>
  </si>
  <si>
    <t>NOAH MILLER</t>
  </si>
  <si>
    <t>7421 Epaulet Ln</t>
  </si>
  <si>
    <t>NOBLES JERROD</t>
  </si>
  <si>
    <t>1312 Walbridge</t>
  </si>
  <si>
    <t>NOE GARZA</t>
  </si>
  <si>
    <t>2659 Norwalk St</t>
  </si>
  <si>
    <t>NOEL EARL GRAHAM</t>
  </si>
  <si>
    <t>109 Pineview Dr</t>
  </si>
  <si>
    <t>NOLAN D BATTLE</t>
  </si>
  <si>
    <t>3823 S Beverly Hills Dr</t>
  </si>
  <si>
    <t>NOLSW, UAW Local 2320</t>
  </si>
  <si>
    <t>256 West 38Th St Ste 705</t>
  </si>
  <si>
    <t>256 West 38Th St. , Ste 705</t>
  </si>
  <si>
    <t>NORMA J SNYDER</t>
  </si>
  <si>
    <t>523 White St</t>
  </si>
  <si>
    <t>NORMA LEE HENNING</t>
  </si>
  <si>
    <t>2055 Navarre Ave</t>
  </si>
  <si>
    <t>NORMAN TODD</t>
  </si>
  <si>
    <t>1929 Fernwood Ave</t>
  </si>
  <si>
    <t>NORRINGTON CORIE</t>
  </si>
  <si>
    <t>826 Mason</t>
  </si>
  <si>
    <t>NORRIS FINLEY JR.</t>
  </si>
  <si>
    <t>338 N Erie</t>
  </si>
  <si>
    <t>NORTHERN LIGHT LODGE NO 040</t>
  </si>
  <si>
    <t>119 W Wayne Po Box 452</t>
  </si>
  <si>
    <t>Northpoint Auto Sales LLC</t>
  </si>
  <si>
    <t>5505 N Summit St</t>
  </si>
  <si>
    <t>5505 N Summit</t>
  </si>
  <si>
    <t>NORTON RAY</t>
  </si>
  <si>
    <t>12435 Rodesiler Hwy</t>
  </si>
  <si>
    <t>NORWOOD HENRY</t>
  </si>
  <si>
    <t>4154 Emmajean</t>
  </si>
  <si>
    <t>NOVAK,ALEX</t>
  </si>
  <si>
    <t>7023 Secluded Pines Dr</t>
  </si>
  <si>
    <t>NTL</t>
  </si>
  <si>
    <t>NUNEMAKER DOROTHY</t>
  </si>
  <si>
    <t>NUNEMAKER ROBERT</t>
  </si>
  <si>
    <t>2409 Lambert Drive</t>
  </si>
  <si>
    <t>NUNEMAKER WILLIAM</t>
  </si>
  <si>
    <t>NUNN CATHY</t>
  </si>
  <si>
    <t>1285 Parree</t>
  </si>
  <si>
    <t>Newport</t>
  </si>
  <si>
    <t>NYE,HEATHER</t>
  </si>
  <si>
    <t>1608 Charmaine Dr</t>
  </si>
  <si>
    <t>NYE,KRISTEN</t>
  </si>
  <si>
    <t>2846 Gracewood Rd</t>
  </si>
  <si>
    <t>Nzambi F. Huntley</t>
  </si>
  <si>
    <t>1127 Buckingham St</t>
  </si>
  <si>
    <t>Oak Auto Sales LLC</t>
  </si>
  <si>
    <t>12545 Airport Hwy</t>
  </si>
  <si>
    <t>OAKLEY EARL</t>
  </si>
  <si>
    <t>717 Madison Avenue</t>
  </si>
  <si>
    <t>OAKLEY GONZALEZ</t>
  </si>
  <si>
    <t>5863 Sims Dr</t>
  </si>
  <si>
    <t>OBENLAND MARK C</t>
  </si>
  <si>
    <t>309 Alzale</t>
  </si>
  <si>
    <t>OCTAVIA BOLES</t>
  </si>
  <si>
    <t>1003 Woodward Ave</t>
  </si>
  <si>
    <t>OCWEN LOAN SERVICING LLC</t>
  </si>
  <si>
    <t>ODJFS</t>
  </si>
  <si>
    <t>P.O. Box 1298</t>
  </si>
  <si>
    <t>ODJFS BENEFIT PYMT CONTROL</t>
  </si>
  <si>
    <t>One Govt Ctr 12Th Floor</t>
  </si>
  <si>
    <t>ODOM JOHN AND PATRICIA</t>
  </si>
  <si>
    <t>5836 Jeffrey Lane</t>
  </si>
  <si>
    <t>OFFICE MAX</t>
  </si>
  <si>
    <t>3605 Warrensville Center Road</t>
  </si>
  <si>
    <t>Shaker Heights</t>
  </si>
  <si>
    <t>OH DEPT OF TAXATION</t>
  </si>
  <si>
    <t>4485 Northland Ridge Blvd.</t>
  </si>
  <si>
    <t>OHANA SUPPORT SERVICES LLC</t>
  </si>
  <si>
    <t>19 Ottawa Landings Dr  #102</t>
  </si>
  <si>
    <t>OHENRY JOHN</t>
  </si>
  <si>
    <t>6243 Bonsels</t>
  </si>
  <si>
    <t>Ohio Association of Domestic Relations      C/O Ohio Judicial Conference</t>
  </si>
  <si>
    <t>65 South Front St 4Th Floor</t>
  </si>
  <si>
    <t>Ohio Association of Magistrates</t>
  </si>
  <si>
    <t>4620 Euclid Blvd.</t>
  </si>
  <si>
    <t>Youngstown</t>
  </si>
  <si>
    <t>4620 Euclid Blvd</t>
  </si>
  <si>
    <t>Ohio Community Corrections Association</t>
  </si>
  <si>
    <t>2100 Stella Ct.</t>
  </si>
  <si>
    <t>OHIO DEPARTMENT OF TAXATION</t>
  </si>
  <si>
    <t>81 South 4Th Street  Suite 300</t>
  </si>
  <si>
    <t>Ohio Department of Taxation</t>
  </si>
  <si>
    <t>P.O. Box 530</t>
  </si>
  <si>
    <t>4485 Northland Ridge Blvd</t>
  </si>
  <si>
    <t>Ohio Economic Development Assoc.</t>
  </si>
  <si>
    <t>17 S. High St  Ste 200</t>
  </si>
  <si>
    <t>Ohio Gas Company</t>
  </si>
  <si>
    <t>P.O. Box 4937</t>
  </si>
  <si>
    <t>San Jose</t>
  </si>
  <si>
    <t>OHIO HEART AND VASCULAR CONSUL</t>
  </si>
  <si>
    <t>50 Main Avenue Suite 1100</t>
  </si>
  <si>
    <t>OHIO JOB &amp; FAMILY SERVICES</t>
  </si>
  <si>
    <t>OHIO JOB &amp; FAMILY SERVIES</t>
  </si>
  <si>
    <t>P.O. Box 954</t>
  </si>
  <si>
    <t>Ohio Nurses Association</t>
  </si>
  <si>
    <t>3760 Ridge Mill Dr</t>
  </si>
  <si>
    <t>Hilliard</t>
  </si>
  <si>
    <t>3760 Ridge Mill Dr.</t>
  </si>
  <si>
    <t>Ohio Tactical Officers Association</t>
  </si>
  <si>
    <t>17000 Saint Clair Ave Ste 108</t>
  </si>
  <si>
    <t>OHIO TITLE CORP</t>
  </si>
  <si>
    <t>7085 Pearl Road</t>
  </si>
  <si>
    <t>Middleburg</t>
  </si>
  <si>
    <t>OHMS TIMOTHY &amp; SUSAN</t>
  </si>
  <si>
    <t>6044 Atwell Rd</t>
  </si>
  <si>
    <t>OJAY EDWARD JASON BUTTS</t>
  </si>
  <si>
    <t>441Temple Rd</t>
  </si>
  <si>
    <t>OLAH COURTNEY</t>
  </si>
  <si>
    <t>1923 Roselawn Drive</t>
  </si>
  <si>
    <t>OLCZAK RAYMOND</t>
  </si>
  <si>
    <t>4818 High Oaks Blvd.</t>
  </si>
  <si>
    <t>OLDS BROTHERS LLC</t>
  </si>
  <si>
    <t>5318 Patriot Ave</t>
  </si>
  <si>
    <t>OLIVE WU</t>
  </si>
  <si>
    <t>2650 Persimmon Dr</t>
  </si>
  <si>
    <t>OLIVER MIKEN L</t>
  </si>
  <si>
    <t>OLIVIA CASSIDY SCHALOW</t>
  </si>
  <si>
    <t>7640 Shadywood Ln</t>
  </si>
  <si>
    <t>Olivia Foster</t>
  </si>
  <si>
    <t>1104 Rockcress Dr.</t>
  </si>
  <si>
    <t>Gd91-0302 - Guardianship Of Nerita N. Foster</t>
  </si>
  <si>
    <t>OLIVIA HEIDEBRINK</t>
  </si>
  <si>
    <t>14277 W Elmore Eastern Rd</t>
  </si>
  <si>
    <t>Oak Harbor</t>
  </si>
  <si>
    <t>OLIVIA MARIE BRYANT</t>
  </si>
  <si>
    <t>6800 Encore Cir Unit 17</t>
  </si>
  <si>
    <t>OLIVIA MARKLEY</t>
  </si>
  <si>
    <t>2714 Bleeker St</t>
  </si>
  <si>
    <t>OLUMIDE OSHODI</t>
  </si>
  <si>
    <t>1338 Brookview Dr Apt 32</t>
  </si>
  <si>
    <t>Oluwafeyikemi, Adeyemo</t>
  </si>
  <si>
    <t>OMAR F SHAABAN</t>
  </si>
  <si>
    <t>1709 Spielbusch   #106</t>
  </si>
  <si>
    <t>1709 Spielbusch #106</t>
  </si>
  <si>
    <t>1709 Spielbusch Ave Suite 106</t>
  </si>
  <si>
    <t>Omar Shaaban</t>
  </si>
  <si>
    <t>1709 Spielbusch, Ste. 106</t>
  </si>
  <si>
    <t>2014 Est 2176 - Est. Of Mustafa Nasirdeen</t>
  </si>
  <si>
    <t>OMAR SHAABAN</t>
  </si>
  <si>
    <t>1709 Spielbusch Ave Ste 106</t>
  </si>
  <si>
    <t>Ondrus True Value Hardware</t>
  </si>
  <si>
    <t>515 Oak St</t>
  </si>
  <si>
    <t>One Main Financial Services Inc</t>
  </si>
  <si>
    <t>3401 Woodville Rd Ste G</t>
  </si>
  <si>
    <t>ONE WHEEL EQUITIES LLC</t>
  </si>
  <si>
    <t>6359 Harrison Avenue Ste 1084</t>
  </si>
  <si>
    <t>ONEIL BROWN</t>
  </si>
  <si>
    <t>2838 Gunkel Blvd</t>
  </si>
  <si>
    <t>OREGON ON THE BAY REGIONAL ECONOMIC DEV</t>
  </si>
  <si>
    <t>C/O Alec Thompson, 4350 Navarre Ave</t>
  </si>
  <si>
    <t>ORR CRYSTAL</t>
  </si>
  <si>
    <t>2325 Havencrest</t>
  </si>
  <si>
    <t>OSBOURNE ERIC</t>
  </si>
  <si>
    <t>644 St Route 99</t>
  </si>
  <si>
    <t>Monroeville</t>
  </si>
  <si>
    <t>OSCAR A GARCIA</t>
  </si>
  <si>
    <t>2712 102Nd</t>
  </si>
  <si>
    <t>OSCAR ABITUA</t>
  </si>
  <si>
    <t>5247 Fortune Dr</t>
  </si>
  <si>
    <t>Ourisman Ford Lincoln of Alexandria</t>
  </si>
  <si>
    <t>6129 Richmond Hwy</t>
  </si>
  <si>
    <t>Alexandria</t>
  </si>
  <si>
    <t>OVA TATE</t>
  </si>
  <si>
    <t>4298 Monroe Street Apt 1</t>
  </si>
  <si>
    <t>OVERLOCK TYLER</t>
  </si>
  <si>
    <t>1500 Holland</t>
  </si>
  <si>
    <t>OVERMYER JONATHAN</t>
  </si>
  <si>
    <t>10653 Rd 192</t>
  </si>
  <si>
    <t>Cecil</t>
  </si>
  <si>
    <t>OWCZARZAK,ERIN</t>
  </si>
  <si>
    <t>OWENS JAMES</t>
  </si>
  <si>
    <t>854 Willow</t>
  </si>
  <si>
    <t>OWENS SEAN</t>
  </si>
  <si>
    <t>805 Broer</t>
  </si>
  <si>
    <t>P AMERICAS LLC</t>
  </si>
  <si>
    <t>One Seagate Ste 1600</t>
  </si>
  <si>
    <t>PACK ERICSON</t>
  </si>
  <si>
    <t>852 Vance</t>
  </si>
  <si>
    <t>PADGETT LAW GROUP</t>
  </si>
  <si>
    <t>8087 Washington Village Drive, Ste 220</t>
  </si>
  <si>
    <t>PADILLA ROJELIO</t>
  </si>
  <si>
    <t>25 Lemon Creek</t>
  </si>
  <si>
    <t>PAFFORD JENNIFER</t>
  </si>
  <si>
    <t>173 Cypress Lane</t>
  </si>
  <si>
    <t>PAIGE M JOHNSON</t>
  </si>
  <si>
    <t>9639 Rolexia Ct</t>
  </si>
  <si>
    <t>PALMER JVEYON L</t>
  </si>
  <si>
    <t>6926 Oakfiled Dr</t>
  </si>
  <si>
    <t>PAM AND BILL RAHM</t>
  </si>
  <si>
    <t>840 Fairfield Avenue</t>
  </si>
  <si>
    <t>Pamela A. Dillard</t>
  </si>
  <si>
    <t>7823 Edge View Way  Apt A</t>
  </si>
  <si>
    <t>Pamela Anderson</t>
  </si>
  <si>
    <t>715 Holland Sylvania Rd Lot 26</t>
  </si>
  <si>
    <t>PAMELA BABUDER</t>
  </si>
  <si>
    <t>5134 Jolly Road</t>
  </si>
  <si>
    <t>PAMELA GIVENS</t>
  </si>
  <si>
    <t>2636 Glenwood Ave</t>
  </si>
  <si>
    <t>PAMELA L GREEN JONES</t>
  </si>
  <si>
    <t>4258 Hunters Trail Dr</t>
  </si>
  <si>
    <t>PAMELA MOORE</t>
  </si>
  <si>
    <t>822 Tappan St</t>
  </si>
  <si>
    <t>PAMELA MORRISON</t>
  </si>
  <si>
    <t>2917 Cheltenham Rd</t>
  </si>
  <si>
    <t>PAMELA NOBLE</t>
  </si>
  <si>
    <t>3160 Stickney Ave</t>
  </si>
  <si>
    <t>PAMELA PAREDES</t>
  </si>
  <si>
    <t>1307 Craigwood Rd</t>
  </si>
  <si>
    <t>PAMELA RICHMOND</t>
  </si>
  <si>
    <t>5839 Smith Farm Rd</t>
  </si>
  <si>
    <t>PAMELA S NEWTON</t>
  </si>
  <si>
    <t>2623 Eastmoreland Dr</t>
  </si>
  <si>
    <t>PAMELA S ROBERTS</t>
  </si>
  <si>
    <t>2011 N Erie St</t>
  </si>
  <si>
    <t>PAMELA SUE WISE</t>
  </si>
  <si>
    <t>6440 Saddle Bridge Dr E</t>
  </si>
  <si>
    <t>PANCONE,GIANNA</t>
  </si>
  <si>
    <t>5055 Jamieson Dr Apt O11</t>
  </si>
  <si>
    <t>PANKEY WILLIAMS,GLORIA</t>
  </si>
  <si>
    <t>2010 Wellesley Dr</t>
  </si>
  <si>
    <t>Paramount</t>
  </si>
  <si>
    <t>1901 Indian Wood Cir</t>
  </si>
  <si>
    <t>1901 Indian Wood Cir.</t>
  </si>
  <si>
    <t>Paramount Care Ia</t>
  </si>
  <si>
    <t>1901 Indian Wood Circle</t>
  </si>
  <si>
    <t>Paramount Motors</t>
  </si>
  <si>
    <t>815 South Byrne Rd</t>
  </si>
  <si>
    <t>PARAMOUNT MOTORS SALES AND SER</t>
  </si>
  <si>
    <t>PARIS LAZO DINIS</t>
  </si>
  <si>
    <t>4235 Belmar Ave</t>
  </si>
  <si>
    <t>PARKE,NATHAN</t>
  </si>
  <si>
    <t>8710 Birch Bark Dr</t>
  </si>
  <si>
    <t>PARKER BROOKLYN</t>
  </si>
  <si>
    <t>4152 Hill Ave</t>
  </si>
  <si>
    <t>PARKER JOSEPH RIEPENHOFF</t>
  </si>
  <si>
    <t>1 S Erie St Apt 518</t>
  </si>
  <si>
    <t>PARKER JOY</t>
  </si>
  <si>
    <t>3450 Seaman Road</t>
  </si>
  <si>
    <t>PARKER MICHAEL</t>
  </si>
  <si>
    <t>4537 282Nd</t>
  </si>
  <si>
    <t>PARKER RARMON</t>
  </si>
  <si>
    <t>2150 N Mccord Unit 65</t>
  </si>
  <si>
    <t>Parks Chevrolet</t>
  </si>
  <si>
    <t>8530 Ikea Blvd</t>
  </si>
  <si>
    <t>Charlotte</t>
  </si>
  <si>
    <t>PARRA ESTELLA</t>
  </si>
  <si>
    <t>16486 County Road L</t>
  </si>
  <si>
    <t>Part Time Towing</t>
  </si>
  <si>
    <t>140 Oak St</t>
  </si>
  <si>
    <t>PASCHALL MICHAEL</t>
  </si>
  <si>
    <t>5650 W. Central  Apt E-4</t>
  </si>
  <si>
    <t>PATRICA GADDY</t>
  </si>
  <si>
    <t>8527 Central Ave.</t>
  </si>
  <si>
    <t>PATRICE A HUTT</t>
  </si>
  <si>
    <t>3627 Anderson Pkwy</t>
  </si>
  <si>
    <t>PATRICIA A DUNN</t>
  </si>
  <si>
    <t>3502 Woodmont Rd Apt 5</t>
  </si>
  <si>
    <t>PATRICIA A KOVACS</t>
  </si>
  <si>
    <t>P.O. Box 257</t>
  </si>
  <si>
    <t>PATRICIA A MOMENEE</t>
  </si>
  <si>
    <t>430 W Crawford</t>
  </si>
  <si>
    <t>PATRICIA A WHALEY</t>
  </si>
  <si>
    <t>1950 W Bancroft St Apt 206</t>
  </si>
  <si>
    <t>Patricia A. Kovacs</t>
  </si>
  <si>
    <t>P.O.Box 257, 23138 W. Deep Valley</t>
  </si>
  <si>
    <t>2022 Adp 90 - Adp. (Spence)</t>
  </si>
  <si>
    <t>PATRICIA ANN KIRK</t>
  </si>
  <si>
    <t>50 Karyl St</t>
  </si>
  <si>
    <t>Patricia Bonkowski</t>
  </si>
  <si>
    <t>2808 Cranford Dr</t>
  </si>
  <si>
    <t>PATRICIA ELLIS</t>
  </si>
  <si>
    <t>1412 Pinewood Ave</t>
  </si>
  <si>
    <t>PATRICIA GADDY</t>
  </si>
  <si>
    <t>PATRICIA GARCIA</t>
  </si>
  <si>
    <t>420 Yondota St</t>
  </si>
  <si>
    <t>PATRICIA HUGHES</t>
  </si>
  <si>
    <t>4633 Merry Lane</t>
  </si>
  <si>
    <t>PATRICIA M STOECKLEY</t>
  </si>
  <si>
    <t>2849 Elsie Ave</t>
  </si>
  <si>
    <t>PATRICIA MARIE CURRIER</t>
  </si>
  <si>
    <t>4709 W Bancroft St</t>
  </si>
  <si>
    <t>Patricia Moses</t>
  </si>
  <si>
    <t>15120 W Mercer Ln, Apt 212</t>
  </si>
  <si>
    <t>Surprise</t>
  </si>
  <si>
    <t>PATRICIA ROBERTA ALLEN</t>
  </si>
  <si>
    <t>4316 Bowen Rd</t>
  </si>
  <si>
    <t>PATRICK ADELSTEIN</t>
  </si>
  <si>
    <t>4205 Westway St</t>
  </si>
  <si>
    <t>PATRICK E OSHEA</t>
  </si>
  <si>
    <t>318 South Ave</t>
  </si>
  <si>
    <t>PATRICK G WARNER</t>
  </si>
  <si>
    <t>513 E Rch St Ste 201</t>
  </si>
  <si>
    <t>PATRICK JEROME HOLZEMER</t>
  </si>
  <si>
    <t>11131 West St</t>
  </si>
  <si>
    <t>PATRICK JOSEPH HARRISON</t>
  </si>
  <si>
    <t>3945 Turnbrook Dr</t>
  </si>
  <si>
    <t>PATRICK M CODDEN</t>
  </si>
  <si>
    <t>705 Leonard St</t>
  </si>
  <si>
    <t>PATRICK MICHAEL SULLIVAN</t>
  </si>
  <si>
    <t>5532 Weckerly Rd</t>
  </si>
  <si>
    <t>PATRICK O MAHORNEY</t>
  </si>
  <si>
    <t>9545 Frankfort Rd</t>
  </si>
  <si>
    <t>PATRICK RABIDEAU</t>
  </si>
  <si>
    <t>3902 Elmhurst Rd</t>
  </si>
  <si>
    <t>PATRICK RAYSHEONA QUANIECE</t>
  </si>
  <si>
    <t>804 Richards</t>
  </si>
  <si>
    <t>2602 Cherry St Apt E</t>
  </si>
  <si>
    <t>PATRICK YANNARELLI</t>
  </si>
  <si>
    <t>4902 Wickford Dr E Apt 6</t>
  </si>
  <si>
    <t>Patsy A Geiger</t>
  </si>
  <si>
    <t>212 Rockingham</t>
  </si>
  <si>
    <t>PATTERSON SAMUEL</t>
  </si>
  <si>
    <t>PAUL &amp; MARTHA STEFAS</t>
  </si>
  <si>
    <t>3739 Varnell</t>
  </si>
  <si>
    <t>PAUL BENNETT</t>
  </si>
  <si>
    <t>184 Osborne St</t>
  </si>
  <si>
    <t>PAUL CORDELL</t>
  </si>
  <si>
    <t>6440 Brown Road</t>
  </si>
  <si>
    <t>Paul Cousino</t>
  </si>
  <si>
    <t>13045 Box Road</t>
  </si>
  <si>
    <t>PAUL D COUSINO</t>
  </si>
  <si>
    <t>807 Sandralee Dr</t>
  </si>
  <si>
    <t>PAUL E DICKENDASHER</t>
  </si>
  <si>
    <t>5778 Summit St</t>
  </si>
  <si>
    <t>Paul E. Croy</t>
  </si>
  <si>
    <t>204 Farnsworth Rd.</t>
  </si>
  <si>
    <t>2023 Est 1025 - Est. Of Ruthann Ortner</t>
  </si>
  <si>
    <t>PAUL G STRZESYNSKI</t>
  </si>
  <si>
    <t>6108 Benalex Dr</t>
  </si>
  <si>
    <t>PAUL HAMAKER</t>
  </si>
  <si>
    <t>7827 Pilliod Rd</t>
  </si>
  <si>
    <t>PAUL HARDISON</t>
  </si>
  <si>
    <t>842 Prouty</t>
  </si>
  <si>
    <t>PAUL HENRY FOX</t>
  </si>
  <si>
    <t>2117 Mansfield Rd</t>
  </si>
  <si>
    <t>PAUL J MARTIN</t>
  </si>
  <si>
    <t>4917 Elmhurst Rd</t>
  </si>
  <si>
    <t>PAUL K WOLF</t>
  </si>
  <si>
    <t>6006 Bryan Rd</t>
  </si>
  <si>
    <t>PAUL L GELLER</t>
  </si>
  <si>
    <t>620 Madison Ave.  Suite 600</t>
  </si>
  <si>
    <t>620 Madison Avenue Suite 600</t>
  </si>
  <si>
    <t>PAUL LINDSEY</t>
  </si>
  <si>
    <t>4808 Weldwood Ln</t>
  </si>
  <si>
    <t>PAUL MILLER</t>
  </si>
  <si>
    <t>4407 Foxglove Rd</t>
  </si>
  <si>
    <t>PAUL PUNCHES</t>
  </si>
  <si>
    <t>12901 Angola Rd</t>
  </si>
  <si>
    <t>PAUL R MOUCH</t>
  </si>
  <si>
    <t>2601 104Th St</t>
  </si>
  <si>
    <t>Paul Richard</t>
  </si>
  <si>
    <t>8040 Cleveland Ave.,N.W.,Ste.400</t>
  </si>
  <si>
    <t>2023 Msc 002659 - Settlement Of Tina Singleton &amp;</t>
  </si>
  <si>
    <t>2017 Msc 000912 - Settlement Of Jeffrey Eiben</t>
  </si>
  <si>
    <t>PAUL SIMON BUTLER</t>
  </si>
  <si>
    <t>2340 Shetland Rd</t>
  </si>
  <si>
    <t>PAUL SYRING</t>
  </si>
  <si>
    <t>3452 Kenwood Blvd</t>
  </si>
  <si>
    <t>PAULA M MAUK</t>
  </si>
  <si>
    <t>1230 S Stadium Rd</t>
  </si>
  <si>
    <t>PAULA MARIE WILLIAMS</t>
  </si>
  <si>
    <t>943 National Ave</t>
  </si>
  <si>
    <t>Paula Scoggins, aka Paula Bailey (surviving spouse)</t>
  </si>
  <si>
    <t>410 Fasset Street</t>
  </si>
  <si>
    <t>2022 Gdn 1241 Guardianship Of Roger Bailey Sr.</t>
  </si>
  <si>
    <t>PAULA WUNSCHEL</t>
  </si>
  <si>
    <t>343 Sawgrass Ct</t>
  </si>
  <si>
    <t>PAULUS KEITH S</t>
  </si>
  <si>
    <t>5904 Carnation Dr</t>
  </si>
  <si>
    <t>PAVEL AKHTAR</t>
  </si>
  <si>
    <t>3768 Hill Ave Apt 148</t>
  </si>
  <si>
    <t>PAYTON CARMELLA</t>
  </si>
  <si>
    <t>905 Cherry</t>
  </si>
  <si>
    <t>Peak KIA</t>
  </si>
  <si>
    <t>5077 S Wadsworth Blvd</t>
  </si>
  <si>
    <t>Littleton</t>
  </si>
  <si>
    <t>PEARSON ERIN</t>
  </si>
  <si>
    <t>306 Lagunaria Lane</t>
  </si>
  <si>
    <t>Alameda</t>
  </si>
  <si>
    <t>PECK ROBERT</t>
  </si>
  <si>
    <t>30288 Astur</t>
  </si>
  <si>
    <t>PEDIGO ADAM</t>
  </si>
  <si>
    <t>543 Prouty</t>
  </si>
  <si>
    <t>PEDRO MARRERO</t>
  </si>
  <si>
    <t>2033 W Alexis Rd</t>
  </si>
  <si>
    <t>PEEK JACQUELINE</t>
  </si>
  <si>
    <t>1314 Nebraska Ave</t>
  </si>
  <si>
    <t>PEES,MELODY</t>
  </si>
  <si>
    <t>8825 Oak Valley Rd</t>
  </si>
  <si>
    <t>PEGGY A ARNOLD</t>
  </si>
  <si>
    <t>PEGGY G AUTRY</t>
  </si>
  <si>
    <t>849 Independence Rd</t>
  </si>
  <si>
    <t>Peggy Hanes</t>
  </si>
  <si>
    <t>2987 S Dixie Hwy</t>
  </si>
  <si>
    <t>PEGGY J MONROE</t>
  </si>
  <si>
    <t>3103 Parkwood Ave Lowr</t>
  </si>
  <si>
    <t>PEGGY SUE FLETCHER</t>
  </si>
  <si>
    <t>4343 Imperial Dr</t>
  </si>
  <si>
    <t>PEGORSCH JEFFERY S</t>
  </si>
  <si>
    <t>5646 Adella Street</t>
  </si>
  <si>
    <t>PELINI</t>
  </si>
  <si>
    <t>8040 Cleveland Avenue</t>
  </si>
  <si>
    <t>PELUSO DINO</t>
  </si>
  <si>
    <t>815 Thornwood      Apt 10</t>
  </si>
  <si>
    <t>815 Thornwood  Apt 10</t>
  </si>
  <si>
    <t>PEMCO LIMITED</t>
  </si>
  <si>
    <t>3131 South Vaughn Way Ste</t>
  </si>
  <si>
    <t>PENNEY JC</t>
  </si>
  <si>
    <t>PENNYMAC LOAN SERVICING LLC</t>
  </si>
  <si>
    <t>30455 Solon Road Po Box 39696</t>
  </si>
  <si>
    <t>PERCY DUKES</t>
  </si>
  <si>
    <t>616 N University Ave</t>
  </si>
  <si>
    <t>PEREZ ANGELA</t>
  </si>
  <si>
    <t>1543 Oak</t>
  </si>
  <si>
    <t>PERFECT SWEEP INC</t>
  </si>
  <si>
    <t>Performant Recovery, Inc.</t>
  </si>
  <si>
    <t>P.O. Box 9063</t>
  </si>
  <si>
    <t>Pleasanton</t>
  </si>
  <si>
    <t>PerkinElmer Genetics, Inc.</t>
  </si>
  <si>
    <t>P.O. Box 405819</t>
  </si>
  <si>
    <t>PERRIN TONY</t>
  </si>
  <si>
    <t>1232 Buckingham</t>
  </si>
  <si>
    <t>Perry, Katrice D</t>
  </si>
  <si>
    <t>812 Hilltop Lane</t>
  </si>
  <si>
    <t>PERSON LATONYA</t>
  </si>
  <si>
    <t>1069 Norwood</t>
  </si>
  <si>
    <t>PERZ TIMOTHY</t>
  </si>
  <si>
    <t>19579 Cross Creek</t>
  </si>
  <si>
    <t>Peter Alex Wilson</t>
  </si>
  <si>
    <t>1920 Idaho</t>
  </si>
  <si>
    <t>PETER AVENELLE</t>
  </si>
  <si>
    <t>5223 Rowland Rd</t>
  </si>
  <si>
    <t>PETER COZMYK</t>
  </si>
  <si>
    <t>6100 Oak Tree Blvd Suite 200</t>
  </si>
  <si>
    <t>PETER J WAGNER</t>
  </si>
  <si>
    <t>405 Madison Ste 1000</t>
  </si>
  <si>
    <t>Peter J. Millon</t>
  </si>
  <si>
    <t>900 Adams St.</t>
  </si>
  <si>
    <t>2019 Gdn 1798 - Guardianship Of Thomas Roman Klonowski</t>
  </si>
  <si>
    <t>2022 Est 327 - Est. Of Kenneth Klonowski</t>
  </si>
  <si>
    <t>PETER L MEHLER</t>
  </si>
  <si>
    <t>PETER LYNN MCGAREY</t>
  </si>
  <si>
    <t>4850 295Th St</t>
  </si>
  <si>
    <t>PETER MEHLER</t>
  </si>
  <si>
    <t>PETER RODRIGUEZ</t>
  </si>
  <si>
    <t>4120 Lyn Dr</t>
  </si>
  <si>
    <t>PETERSON SAMUEL</t>
  </si>
  <si>
    <t>1756 Wellesley</t>
  </si>
  <si>
    <t>PETRAK-FENNELL BRIAN</t>
  </si>
  <si>
    <t>419 White</t>
  </si>
  <si>
    <t>PFAFF LANCE EDWARD</t>
  </si>
  <si>
    <t>1907 Connecticut Blvd</t>
  </si>
  <si>
    <t>Phil Smith KIA</t>
  </si>
  <si>
    <t>4250 N Federal Hwy</t>
  </si>
  <si>
    <t>Lighthouse Point</t>
  </si>
  <si>
    <t>Philip Darrington</t>
  </si>
  <si>
    <t>2209 Chestnut</t>
  </si>
  <si>
    <t>PHILLIP HENDERSON</t>
  </si>
  <si>
    <t>2031 Willowhill Ln</t>
  </si>
  <si>
    <t>PHILLIP KRAUS</t>
  </si>
  <si>
    <t>3463 Beverly Drive</t>
  </si>
  <si>
    <t>PHILLIP M CORKRAN</t>
  </si>
  <si>
    <t>9909 Charles Glen Ln</t>
  </si>
  <si>
    <t>PHILLIPS RONALD</t>
  </si>
  <si>
    <t>6325 Garden Unit 22</t>
  </si>
  <si>
    <t>PHILLIPS WALTER</t>
  </si>
  <si>
    <t>1933 Rhode Island</t>
  </si>
  <si>
    <t>PHYLLIS JEAN HINKLE</t>
  </si>
  <si>
    <t>2350 Bucklew Dr</t>
  </si>
  <si>
    <t>PICCININNI JUDY ETAL</t>
  </si>
  <si>
    <t>5401 306Th</t>
  </si>
  <si>
    <t>PICKETT TERRILL</t>
  </si>
  <si>
    <t>6200 Rockside Woods Blvd Ste 2</t>
  </si>
  <si>
    <t>PIETRAS KEVIN L</t>
  </si>
  <si>
    <t>170 Lexington Ave</t>
  </si>
  <si>
    <t>PIN YI</t>
  </si>
  <si>
    <t>5311 Tulane Ave</t>
  </si>
  <si>
    <t>PINO CLAUDIO</t>
  </si>
  <si>
    <t>2823 Albion St</t>
  </si>
  <si>
    <t>PINTACURA JAYSON</t>
  </si>
  <si>
    <t>2720 Gibson</t>
  </si>
  <si>
    <t>PIRKLE TRISHA</t>
  </si>
  <si>
    <t>PISTON AUTOMOBILE</t>
  </si>
  <si>
    <t>32255 Northwestern Hwy Suite 2</t>
  </si>
  <si>
    <t>PITZEN KIMBERLY C</t>
  </si>
  <si>
    <t>1408 Laurel Ave</t>
  </si>
  <si>
    <t>Planet Headset, Inc.</t>
  </si>
  <si>
    <t>P.O. Box 499  811 Enati Way</t>
  </si>
  <si>
    <t>Fox Island</t>
  </si>
  <si>
    <t>PLANSINIS HEATHER L</t>
  </si>
  <si>
    <t>1512 Crystal Ave</t>
  </si>
  <si>
    <t>PNC BANK</t>
  </si>
  <si>
    <t>831 W Laskey Road</t>
  </si>
  <si>
    <t>PNC BANK NATIONAL ASSOCIATION</t>
  </si>
  <si>
    <t>3232 Newmark Dr</t>
  </si>
  <si>
    <t>Miamisburg</t>
  </si>
  <si>
    <t>POINDEXTER MAYME</t>
  </si>
  <si>
    <t>905 City Park</t>
  </si>
  <si>
    <t>POINT PLACE DENTAL CARE</t>
  </si>
  <si>
    <t>4611 Summit St</t>
  </si>
  <si>
    <t>POLLOCK,JUDITH</t>
  </si>
  <si>
    <t>5914 Georgedale Rd</t>
  </si>
  <si>
    <t>POOLE DANIEL</t>
  </si>
  <si>
    <t>1101 Sherman</t>
  </si>
  <si>
    <t>POOLE EMILY</t>
  </si>
  <si>
    <t>3315 Elm</t>
  </si>
  <si>
    <t>POOLE JOSHUA</t>
  </si>
  <si>
    <t>3551 E Mantthan</t>
  </si>
  <si>
    <t>Porsha Wilson</t>
  </si>
  <si>
    <t>3414 Cheltenham Rd</t>
  </si>
  <si>
    <t>Port Lawrence Title</t>
  </si>
  <si>
    <t>3234 Executive Parkway, Suite 107</t>
  </si>
  <si>
    <t>PORTER DONNELL</t>
  </si>
  <si>
    <t>434 W Alexis Unit 12</t>
  </si>
  <si>
    <t>PORTFOLIO RECOVERY</t>
  </si>
  <si>
    <t>5425 Robin Hood</t>
  </si>
  <si>
    <t>Norfolk</t>
  </si>
  <si>
    <t>PORTFOLIO RECOVERY ASSOCIATES</t>
  </si>
  <si>
    <t>5425 Robin Hood Rd Suite 201</t>
  </si>
  <si>
    <t>PRATER ALESIA</t>
  </si>
  <si>
    <t>2105 Stirrup Lane   Apt 10</t>
  </si>
  <si>
    <t>2105 Stirrup Lane       Apt 10</t>
  </si>
  <si>
    <t>PRATT DONALD</t>
  </si>
  <si>
    <t>PRECIOUS ANN GIBSON</t>
  </si>
  <si>
    <t>1016 Campbell St</t>
  </si>
  <si>
    <t>Precious Jewel Tate</t>
  </si>
  <si>
    <t>3315 Arlington Ave Apt 69</t>
  </si>
  <si>
    <t>PRESSLEY KEITH</t>
  </si>
  <si>
    <t>4656 David's Creek Unit B</t>
  </si>
  <si>
    <t>PRESTWICH ERIN G</t>
  </si>
  <si>
    <t>2830 Cheltenham Rd</t>
  </si>
  <si>
    <t>PRIBE SANDRA S</t>
  </si>
  <si>
    <t>615 S Westwood Ave</t>
  </si>
  <si>
    <t>PRICE GLORIA</t>
  </si>
  <si>
    <t>7367 Eaglestone Blvd,          #54</t>
  </si>
  <si>
    <t>7367 Eaglestone Blvd   #54</t>
  </si>
  <si>
    <t>PRICE KYLOH</t>
  </si>
  <si>
    <t>1250 Palmwood Avenue</t>
  </si>
  <si>
    <t>Pricepro Co, LLC</t>
  </si>
  <si>
    <t>1671 Tollgate</t>
  </si>
  <si>
    <t>Pride Truck Sales</t>
  </si>
  <si>
    <t>1125 E Alexis Rd</t>
  </si>
  <si>
    <t>PROGRESSIVE DIRECT INSURANCE C</t>
  </si>
  <si>
    <t>127 Public Square</t>
  </si>
  <si>
    <t>ProMedica Federal Credit Union</t>
  </si>
  <si>
    <t>2301 W Central Ave</t>
  </si>
  <si>
    <t>Proper Living Management, LLC</t>
  </si>
  <si>
    <t>112 Bloomfield Ave.</t>
  </si>
  <si>
    <t>112 Bloomfield Ave</t>
  </si>
  <si>
    <t>Properties of the South, LLC</t>
  </si>
  <si>
    <t>Po Box 793</t>
  </si>
  <si>
    <t>PROVIDENT TRUST GROUP</t>
  </si>
  <si>
    <t>600 Vine St Ste 2500</t>
  </si>
  <si>
    <t>PYLES LINDSEY</t>
  </si>
  <si>
    <t>284 S Central</t>
  </si>
  <si>
    <t>QUANEESHA JANAY STRAND</t>
  </si>
  <si>
    <t>3410 Gibralter Heights Dr  Apt T9</t>
  </si>
  <si>
    <t>QUEEN E DONALDSON</t>
  </si>
  <si>
    <t>Quentin Burnett II</t>
  </si>
  <si>
    <t>1837 N Erie St</t>
  </si>
  <si>
    <t>QUERINO M ESPINO</t>
  </si>
  <si>
    <t>1129 E Bancroft St</t>
  </si>
  <si>
    <t>QUICKEN LOANS INC</t>
  </si>
  <si>
    <t>QUINN COOK</t>
  </si>
  <si>
    <t>2118 Rood St</t>
  </si>
  <si>
    <t>QUINNEY,MONICA</t>
  </si>
  <si>
    <t>350 Conrad Ave</t>
  </si>
  <si>
    <t>RABY DANA B</t>
  </si>
  <si>
    <t>4025 Bowen Rd</t>
  </si>
  <si>
    <t>RACHAEL ANN ANZALDUA</t>
  </si>
  <si>
    <t>2305 Locust St</t>
  </si>
  <si>
    <t>RACHAEL BRITTINGHAM</t>
  </si>
  <si>
    <t>4808 Leamington Ave</t>
  </si>
  <si>
    <t>RACHAEL GOETZ</t>
  </si>
  <si>
    <t>4683 S Park Ln</t>
  </si>
  <si>
    <t>RACHAEL K CUNNINGHAM</t>
  </si>
  <si>
    <t>2921 Rocksberry Ave</t>
  </si>
  <si>
    <t>RACHAEL KIRKENDALL</t>
  </si>
  <si>
    <t>5915 Suzanne Dr</t>
  </si>
  <si>
    <t>RACHEAL KRUGH</t>
  </si>
  <si>
    <t>8218 Deerpointe Dr</t>
  </si>
  <si>
    <t>RACHEAL R LOSIE</t>
  </si>
  <si>
    <t>11544 Van Dyke Ave</t>
  </si>
  <si>
    <t>RACHEL EDWARTOSKI</t>
  </si>
  <si>
    <t>3442 Oakway Dr</t>
  </si>
  <si>
    <t>RACHEL ELVEY</t>
  </si>
  <si>
    <t>3716 Hampstead Dr</t>
  </si>
  <si>
    <t>Rachel Freeman</t>
  </si>
  <si>
    <t>2128 Richmond Rd</t>
  </si>
  <si>
    <t>RACHEL FREEMAN</t>
  </si>
  <si>
    <t>2504 River Rd</t>
  </si>
  <si>
    <t>RACHEL HICKS</t>
  </si>
  <si>
    <t>13640 Bancroft St</t>
  </si>
  <si>
    <t>Rachel Hurd</t>
  </si>
  <si>
    <t>2437 Brookridge Dr</t>
  </si>
  <si>
    <t>RACHEL JOY LAZEAR</t>
  </si>
  <si>
    <t>4739 Charlesgate Rd</t>
  </si>
  <si>
    <t>Rachel Kohlhofer</t>
  </si>
  <si>
    <t>637 Geneva Ave</t>
  </si>
  <si>
    <t>RACHEL L JAMES</t>
  </si>
  <si>
    <t>2607 York St</t>
  </si>
  <si>
    <t>RACHEL MARIE JOHNSON</t>
  </si>
  <si>
    <t>931 Mackow Dr</t>
  </si>
  <si>
    <t>Rachel Neff</t>
  </si>
  <si>
    <t>333 W 3Rd St</t>
  </si>
  <si>
    <t>RACHEL SIMON</t>
  </si>
  <si>
    <t>2564 Koehler Ave</t>
  </si>
  <si>
    <t>RACHEL WARNER</t>
  </si>
  <si>
    <t>2540 N Holland Sylvania Rd</t>
  </si>
  <si>
    <t>RACHEL WARREN</t>
  </si>
  <si>
    <t>4415 Cape Lane</t>
  </si>
  <si>
    <t>RAE MYERS</t>
  </si>
  <si>
    <t>5001 South Ave, Lot 180</t>
  </si>
  <si>
    <t>RAGANS,DEBORAH</t>
  </si>
  <si>
    <t>5001 South Ave Lot 203</t>
  </si>
  <si>
    <t>RAHMEL ROBINSON</t>
  </si>
  <si>
    <t>2538 Oakwood Ave</t>
  </si>
  <si>
    <t>RAINES NANCY J TRUSTEE</t>
  </si>
  <si>
    <t>5916 Rudyard Rd</t>
  </si>
  <si>
    <t>Raker, David</t>
  </si>
  <si>
    <t>916 1/2 Harding Dr</t>
  </si>
  <si>
    <t>RALPH LEWIS OBENOUR</t>
  </si>
  <si>
    <t>2845 Moffat Rd</t>
  </si>
  <si>
    <t>RAMEEZ MAHMOOD</t>
  </si>
  <si>
    <t>2625 Underhill Rd</t>
  </si>
  <si>
    <t>RAMIREZ BONNER MICHAEL</t>
  </si>
  <si>
    <t>4053 Walker</t>
  </si>
  <si>
    <t>RAMIREZ REBECCA</t>
  </si>
  <si>
    <t>1024 Woodward</t>
  </si>
  <si>
    <t>RAMON GUADALUPE CORDERO</t>
  </si>
  <si>
    <t>1840 Atwood Rd</t>
  </si>
  <si>
    <t>RAMONA SMITH</t>
  </si>
  <si>
    <t>2945 Torrance Dr, Apt 2</t>
  </si>
  <si>
    <t>RAMSEY VICTOR</t>
  </si>
  <si>
    <t>596 Leach</t>
  </si>
  <si>
    <t>RANDALL OTHA</t>
  </si>
  <si>
    <t>3513 Hazelhurst</t>
  </si>
  <si>
    <t>8581 Crail Court</t>
  </si>
  <si>
    <t>Dublin</t>
  </si>
  <si>
    <t>RANDALL,LAURA</t>
  </si>
  <si>
    <t>3324 Darlington Rd</t>
  </si>
  <si>
    <t>RANDI HAGER</t>
  </si>
  <si>
    <t>1012 Front St</t>
  </si>
  <si>
    <t>RANDI JO HAGER</t>
  </si>
  <si>
    <t>RANDLES PERRY</t>
  </si>
  <si>
    <t>1 Refused</t>
  </si>
  <si>
    <t>RANDOLPH HENRY</t>
  </si>
  <si>
    <t>911 Walnut</t>
  </si>
  <si>
    <t>RANDOLPH RYAN HALL</t>
  </si>
  <si>
    <t>3932 Donegal Dr</t>
  </si>
  <si>
    <t>Randy Hauser Jr.</t>
  </si>
  <si>
    <t>2830 Piddock Rd.</t>
  </si>
  <si>
    <t>2021 Est 649 - Est. Of Richard W. Huffer</t>
  </si>
  <si>
    <t>RANDY HENNESSEY</t>
  </si>
  <si>
    <t>623 Brighton Ave</t>
  </si>
  <si>
    <t>RANDY JAY REHKLAU</t>
  </si>
  <si>
    <t>12415 Angola Rd</t>
  </si>
  <si>
    <t>RANDY JOHNSON</t>
  </si>
  <si>
    <t>2423 108Th St</t>
  </si>
  <si>
    <t>RANDY LEE KAUFMAN</t>
  </si>
  <si>
    <t>4518 Eastway St</t>
  </si>
  <si>
    <t>Randy Marion Subaru LLC</t>
  </si>
  <si>
    <t>301 W Plaza Dr.  Po Box 1559</t>
  </si>
  <si>
    <t>Mooresville</t>
  </si>
  <si>
    <t>RANDY MIDCALF</t>
  </si>
  <si>
    <t>6924 Oakfield Drive</t>
  </si>
  <si>
    <t>RANDY R TIMES</t>
  </si>
  <si>
    <t>2034 Loxley Rd</t>
  </si>
  <si>
    <t>Randy R Times</t>
  </si>
  <si>
    <t>Randy Shirks Northpointe Auto Sales</t>
  </si>
  <si>
    <t>Randy's Auto Service</t>
  </si>
  <si>
    <t>1901 Jefferson Ave</t>
  </si>
  <si>
    <t>Randy's Auto Service LLC</t>
  </si>
  <si>
    <t>RAPID ROOF AND RESTORATION LLC</t>
  </si>
  <si>
    <t>1331 Conant Street Suite 201</t>
  </si>
  <si>
    <t>RASHAD DENOTE SMITH</t>
  </si>
  <si>
    <t>1409 Noble St</t>
  </si>
  <si>
    <t>RASMUS MORELOCK</t>
  </si>
  <si>
    <t>636 Carlton St</t>
  </si>
  <si>
    <t>RATHBONE GROUP, LLC</t>
  </si>
  <si>
    <t>1100 Superior Avenue, Suite 1850</t>
  </si>
  <si>
    <t>RAVEN L COPELAND</t>
  </si>
  <si>
    <t>471 Southgate Circle Dr</t>
  </si>
  <si>
    <t>RAYFORD ANTHONY</t>
  </si>
  <si>
    <t>634 N Detroit</t>
  </si>
  <si>
    <t>RAYFORD FRANK</t>
  </si>
  <si>
    <t>606 Colburn</t>
  </si>
  <si>
    <t>RAYMOND C WOLFE</t>
  </si>
  <si>
    <t>5406 Pageland Dr</t>
  </si>
  <si>
    <t>Raymond D. Arrington II</t>
  </si>
  <si>
    <t>6325 Garden Rd., #23</t>
  </si>
  <si>
    <t>2020 Est 2130 - Est. Of Raymond D. Arrington I</t>
  </si>
  <si>
    <t>RAYMOND DUSLAK</t>
  </si>
  <si>
    <t>6068 323Rd St</t>
  </si>
  <si>
    <t>RAYMOND F JEZIOROWSKI</t>
  </si>
  <si>
    <t>3756 Elmhurst Rd</t>
  </si>
  <si>
    <t>RAYMOND GENTILE</t>
  </si>
  <si>
    <t>118 East Third St Suite J</t>
  </si>
  <si>
    <t>RAYMOND GLENN CORGGENS</t>
  </si>
  <si>
    <t>1053 Atlantic Ave</t>
  </si>
  <si>
    <t>RAYMOND L JOHNSON SR</t>
  </si>
  <si>
    <t>9731 Jerusalem Rd</t>
  </si>
  <si>
    <t>Raymond L Smith</t>
  </si>
  <si>
    <t>1652 Pool St</t>
  </si>
  <si>
    <t>Raymond McGowan</t>
  </si>
  <si>
    <t>5464 Dorr St. Apt. A-4</t>
  </si>
  <si>
    <t>2015 Est 2134 - Est. Of Ray Arthur Mcgowan</t>
  </si>
  <si>
    <t>RAYONA DANIELLE HINES</t>
  </si>
  <si>
    <t>1142 Four Seasons Dr Apt 2</t>
  </si>
  <si>
    <t>RAYVON BRAZIEL</t>
  </si>
  <si>
    <t>1712 Macomber St</t>
  </si>
  <si>
    <t>REAS,PAUL</t>
  </si>
  <si>
    <t>1353 Oak Hill Ct Apt 76</t>
  </si>
  <si>
    <t>REBBECCA MARRUQUIN</t>
  </si>
  <si>
    <t>5337 Patriot Dr</t>
  </si>
  <si>
    <t>REBECCA A DUGAN</t>
  </si>
  <si>
    <t>3330 Orchard Trail Dr</t>
  </si>
  <si>
    <t>REBECCA A HETZEL</t>
  </si>
  <si>
    <t>5264 Springdale Ave</t>
  </si>
  <si>
    <t>REBECCA BUCKMAN</t>
  </si>
  <si>
    <t>1712 Norcross Dr</t>
  </si>
  <si>
    <t>REBECCA BURGOON</t>
  </si>
  <si>
    <t>4579 Kimball Crk S</t>
  </si>
  <si>
    <t>REBECCA E ABITUA</t>
  </si>
  <si>
    <t>REBECCA HAUCK</t>
  </si>
  <si>
    <t>4318 Brookside Rd</t>
  </si>
  <si>
    <t>REBECCA HAYES</t>
  </si>
  <si>
    <t>1033 Nela Pkwy</t>
  </si>
  <si>
    <t>REBECCA J OANNA BEVIER</t>
  </si>
  <si>
    <t>3748 Rose Glenn Dr</t>
  </si>
  <si>
    <t>REBECCA JEANNE BAUER</t>
  </si>
  <si>
    <t>3011 Dorian Dr</t>
  </si>
  <si>
    <t>REBECCA KAY COLEMAN</t>
  </si>
  <si>
    <t>5029 Bennett Rd</t>
  </si>
  <si>
    <t>REBECCA KNOTT</t>
  </si>
  <si>
    <t>REBECCA KNUTSON</t>
  </si>
  <si>
    <t>3349 Fairbanks Ave</t>
  </si>
  <si>
    <t>REBECCA LYNN ACHENBACH</t>
  </si>
  <si>
    <t>6660 Oak Crossing Ln</t>
  </si>
  <si>
    <t>REBECCA LYNN MINTON</t>
  </si>
  <si>
    <t>8530 Nebraska Ave</t>
  </si>
  <si>
    <t>REBECCA LYNN SWISHER</t>
  </si>
  <si>
    <t>4834 Fairway Ln</t>
  </si>
  <si>
    <t>REBECCA LYNN VANDYKE</t>
  </si>
  <si>
    <t>625 W Bancroft St</t>
  </si>
  <si>
    <t>REBECCA ML VASCIK</t>
  </si>
  <si>
    <t>8174 Dorr St</t>
  </si>
  <si>
    <t>REBECCA MORSE</t>
  </si>
  <si>
    <t>5909 Summit St</t>
  </si>
  <si>
    <t>REBECCA SHOPE</t>
  </si>
  <si>
    <t>REBECCA WEST ESTELL</t>
  </si>
  <si>
    <t>2125 Parkdale Ave</t>
  </si>
  <si>
    <t>REBEKAH LYNN MCCOLLUM</t>
  </si>
  <si>
    <t>1124 Plumcreek Rd</t>
  </si>
  <si>
    <t>REBEKAH YENRICK</t>
  </si>
  <si>
    <t>REDDY BRIAN</t>
  </si>
  <si>
    <t>427 West Dussel Drive</t>
  </si>
  <si>
    <t>REECE KUCHCINSKI</t>
  </si>
  <si>
    <t>3361 Marchester Dr</t>
  </si>
  <si>
    <t>REED RUTH</t>
  </si>
  <si>
    <t>341 Independence Road</t>
  </si>
  <si>
    <t>REEDER LAWSON</t>
  </si>
  <si>
    <t>160 Van Buren Ave</t>
  </si>
  <si>
    <t>REEVES JERRY JR &amp; RENAE</t>
  </si>
  <si>
    <t>500 Orchard View Dr</t>
  </si>
  <si>
    <t>REGINA S EICH</t>
  </si>
  <si>
    <t>9723 Cedarburg Dr</t>
  </si>
  <si>
    <t>REGINALD MCCLELLAN</t>
  </si>
  <si>
    <t>1807 Brownstone Blvd Apt 411</t>
  </si>
  <si>
    <t>Rehab Dynamics Inc</t>
  </si>
  <si>
    <t>3160 Central Park W</t>
  </si>
  <si>
    <t>REID C MCGOWAN</t>
  </si>
  <si>
    <t>4922 Highpoint Dr</t>
  </si>
  <si>
    <t>REIDLING RAYMOND H</t>
  </si>
  <si>
    <t>533 W Crawford Ave</t>
  </si>
  <si>
    <t>REIGLE,MATTHEW</t>
  </si>
  <si>
    <t>4439 Jackman Rd</t>
  </si>
  <si>
    <t>REIMER LAW</t>
  </si>
  <si>
    <t>REIMER LAW CO</t>
  </si>
  <si>
    <t>Po Bxo 39696</t>
  </si>
  <si>
    <t>P.O. Box 39696</t>
  </si>
  <si>
    <t>Remi Hampton</t>
  </si>
  <si>
    <t>2415 Cheyenne Blvd, Apt 61</t>
  </si>
  <si>
    <t>REMINGER CO LPA</t>
  </si>
  <si>
    <t>237 W Washington Row 2Nd Fl</t>
  </si>
  <si>
    <t>RENDA,JAMIE</t>
  </si>
  <si>
    <t>34 Mattatuck Way</t>
  </si>
  <si>
    <t>Rene Flores</t>
  </si>
  <si>
    <t>3769 Agosto St</t>
  </si>
  <si>
    <t>San Diego</t>
  </si>
  <si>
    <t>RENE M YUHAS-SCHMIDBAUER</t>
  </si>
  <si>
    <t>10632 Shayni Ln</t>
  </si>
  <si>
    <t>RENEE LYNN WEBER</t>
  </si>
  <si>
    <t>1035 Country View Ln Apt 5F</t>
  </si>
  <si>
    <t>RENEE ULRICH</t>
  </si>
  <si>
    <t>2545 Cawdor Rd</t>
  </si>
  <si>
    <t>REPUBLIC FINANCE</t>
  </si>
  <si>
    <t>1568 Spring Meadows Dr.</t>
  </si>
  <si>
    <t>Reservoir Consulting Group</t>
  </si>
  <si>
    <t>12 Summer St</t>
  </si>
  <si>
    <t>Stoneham</t>
  </si>
  <si>
    <t>MA</t>
  </si>
  <si>
    <t>Reshima Jefferson</t>
  </si>
  <si>
    <t>2848 Nebraska Ave</t>
  </si>
  <si>
    <t>RESHONDA LAWSON</t>
  </si>
  <si>
    <t>1212 Collingwood  #101</t>
  </si>
  <si>
    <t>Resolute Interpreting, LLC</t>
  </si>
  <si>
    <t>3550 Executive Pkwy., Suite 7-255</t>
  </si>
  <si>
    <t>REYOME TRACEY</t>
  </si>
  <si>
    <t>Reyven Lewis</t>
  </si>
  <si>
    <t>2635 Merrimac Blvd</t>
  </si>
  <si>
    <t>P.O. Box 352341</t>
  </si>
  <si>
    <t>RHONDA AMSPAUGH</t>
  </si>
  <si>
    <t>842 Maple Ln</t>
  </si>
  <si>
    <t>RHONDA E ZMUDZINSKI</t>
  </si>
  <si>
    <t>5854 Everwood Rd</t>
  </si>
  <si>
    <t>RHONDA FAYE HICKS</t>
  </si>
  <si>
    <t>3380 Elm St</t>
  </si>
  <si>
    <t>RHONDA M STEWART</t>
  </si>
  <si>
    <t>608 Tall Pines Dr</t>
  </si>
  <si>
    <t>RHONDA SUE LAZETTE</t>
  </si>
  <si>
    <t>3318 Astor Ave</t>
  </si>
  <si>
    <t>Rhonda Vandenberg</t>
  </si>
  <si>
    <t>3718 Shelbourne</t>
  </si>
  <si>
    <t>RICARD TYLER</t>
  </si>
  <si>
    <t>5401 Dry Creek</t>
  </si>
  <si>
    <t>RICARDO ANTONIO ROESCH</t>
  </si>
  <si>
    <t>435 Chapin St</t>
  </si>
  <si>
    <t>RICARDO RANGEL</t>
  </si>
  <si>
    <t>4245 Albar Dr</t>
  </si>
  <si>
    <t>RICH FAULKNER CO</t>
  </si>
  <si>
    <t>405 Madison Avenue</t>
  </si>
  <si>
    <t>RICH ROBERT</t>
  </si>
  <si>
    <t>3940 Jackman Road Apt 22</t>
  </si>
  <si>
    <t>RICHARD A MITCHELL</t>
  </si>
  <si>
    <t>1709 Speilbusch Ave Ste 101</t>
  </si>
  <si>
    <t>Richard A. Karcher</t>
  </si>
  <si>
    <t>421 N. Michigan St., Ste. D</t>
  </si>
  <si>
    <t>2022 Adp 18 (Lawrence)</t>
  </si>
  <si>
    <t>2022 Adp 19 (Lawrence)</t>
  </si>
  <si>
    <t>Richard A. Mitchell</t>
  </si>
  <si>
    <t>1709 Spielbusch, Ste. 101</t>
  </si>
  <si>
    <t>2020 Est 2028 - Est. Of Theodore Roosevelt Patton</t>
  </si>
  <si>
    <t>RICHARD ALLEN</t>
  </si>
  <si>
    <t>2720 Inwood Dr</t>
  </si>
  <si>
    <t>RICHARD ALLEN MILLER JR</t>
  </si>
  <si>
    <t>843 Indiana Avenue</t>
  </si>
  <si>
    <t>RICHARD ANGUILM</t>
  </si>
  <si>
    <t>2104 Eastgate Rd</t>
  </si>
  <si>
    <t>RICHARD BUNDREN</t>
  </si>
  <si>
    <t>4914 Cedarhurst Rd</t>
  </si>
  <si>
    <t>RICHARD C YOKUM</t>
  </si>
  <si>
    <t>1107 Springcrest Dr</t>
  </si>
  <si>
    <t>RICHARD COBURN</t>
  </si>
  <si>
    <t>9020 Frankfort Rd</t>
  </si>
  <si>
    <t>RICHARD DICKENS</t>
  </si>
  <si>
    <t>2902 Northwood Ave</t>
  </si>
  <si>
    <t>Richard E Ellett Jr</t>
  </si>
  <si>
    <t>2013 East Crest Dr</t>
  </si>
  <si>
    <t>RICHARD FLICK</t>
  </si>
  <si>
    <t>171 Dale St</t>
  </si>
  <si>
    <t>RICHARD G MCCRANEY</t>
  </si>
  <si>
    <t>5938 Winslow Rd</t>
  </si>
  <si>
    <t>RICHARD HEALTH SYSTEM</t>
  </si>
  <si>
    <t>5237 Renwyck Dr Ste A</t>
  </si>
  <si>
    <t>Richard Health Systems</t>
  </si>
  <si>
    <t>5237 Renwyck Dr</t>
  </si>
  <si>
    <t>RICHARD HINE</t>
  </si>
  <si>
    <t>665 Midfield Dr</t>
  </si>
  <si>
    <t>RICHARD J HAVENS</t>
  </si>
  <si>
    <t>915 Nela Pkwy</t>
  </si>
  <si>
    <t>RICHARD KIGGINS</t>
  </si>
  <si>
    <t>1156 Shelly Ave</t>
  </si>
  <si>
    <t>RICHARD LEE</t>
  </si>
  <si>
    <t>812 Ransom St</t>
  </si>
  <si>
    <t>RICHARD MORROW</t>
  </si>
  <si>
    <t>3414 Barstow Ave</t>
  </si>
  <si>
    <t>RICHARD RICE</t>
  </si>
  <si>
    <t>1710 Longwood Dr</t>
  </si>
  <si>
    <t>RICHARD ROBERT BOLMAN</t>
  </si>
  <si>
    <t>4623 Lakeside Dr Unit 2207</t>
  </si>
  <si>
    <t>RICHARD SHERMAN HUTCHINSON</t>
  </si>
  <si>
    <t>2618 E Dauber Dr</t>
  </si>
  <si>
    <t>Richard Solomon, MD PLC</t>
  </si>
  <si>
    <t>3031 Miller Rd.</t>
  </si>
  <si>
    <t>RICHARD W WEAVER</t>
  </si>
  <si>
    <t>961 S Reynolds Rd Lot 25</t>
  </si>
  <si>
    <t>RICHARDSON GLEN</t>
  </si>
  <si>
    <t>112 Islington</t>
  </si>
  <si>
    <t>RICK GINGRICH</t>
  </si>
  <si>
    <t>1114 Utah St</t>
  </si>
  <si>
    <t>RICK MIRICK</t>
  </si>
  <si>
    <t>2801 W Bancroft St., M.S. 115</t>
  </si>
  <si>
    <t>RICKEY W PALOMIN</t>
  </si>
  <si>
    <t>5224 Suder Ave</t>
  </si>
  <si>
    <t>RICKY JOE STEPHENSON</t>
  </si>
  <si>
    <t>4337 N Lockwood Ave</t>
  </si>
  <si>
    <t>RICO KYLE</t>
  </si>
  <si>
    <t>112 Bromwich Ln</t>
  </si>
  <si>
    <t>RIDGE CURTIS BANSTON</t>
  </si>
  <si>
    <t>130 Westrock Farm Dr</t>
  </si>
  <si>
    <t>Union</t>
  </si>
  <si>
    <t>RIDI STORES</t>
  </si>
  <si>
    <t>24 South Mccord Road</t>
  </si>
  <si>
    <t>RIDLEY BIANCA</t>
  </si>
  <si>
    <t>501 Geneva</t>
  </si>
  <si>
    <t>RIEBESEHL MARK</t>
  </si>
  <si>
    <t>6909 State Route 66</t>
  </si>
  <si>
    <t>RIESEN KENT D</t>
  </si>
  <si>
    <t>28366 Kensington Lane Suite 1</t>
  </si>
  <si>
    <t>RILEY TRAVELLE D</t>
  </si>
  <si>
    <t>1411 Addington Rd</t>
  </si>
  <si>
    <t>RILEY WAYTON</t>
  </si>
  <si>
    <t>6017 Davida Dr</t>
  </si>
  <si>
    <t>RITA F WILSON</t>
  </si>
  <si>
    <t>1420 Tecumseh St</t>
  </si>
  <si>
    <t>RITA NELSON</t>
  </si>
  <si>
    <t>RITZ GERALD ROMONA</t>
  </si>
  <si>
    <t>5845 San Reno Drive</t>
  </si>
  <si>
    <t>RITZLER COUGHLIN</t>
  </si>
  <si>
    <t>1360 E 9Th Street Suite 1000</t>
  </si>
  <si>
    <t>RITZLER, COUGHLIN &amp; PAGLIA, LTD</t>
  </si>
  <si>
    <t>1360 E 8Th St 1000</t>
  </si>
  <si>
    <t>1360 E 9Th St Ste 500</t>
  </si>
  <si>
    <t>1360 East Ninth Street 500 Img</t>
  </si>
  <si>
    <t>RIVERA MARIA</t>
  </si>
  <si>
    <t>552 Plymouth</t>
  </si>
  <si>
    <t>RIVERA-LOPEZ MARITZA</t>
  </si>
  <si>
    <t>1005 Francis</t>
  </si>
  <si>
    <t>RIVERS PANELLA M</t>
  </si>
  <si>
    <t>ROB JANKOWSKI</t>
  </si>
  <si>
    <t>8528 Glencreek</t>
  </si>
  <si>
    <t>ROBBIE ABDELHOQ</t>
  </si>
  <si>
    <t>3930 Eisenhower Drive</t>
  </si>
  <si>
    <t>ROBBINS ANDRE</t>
  </si>
  <si>
    <t>ROBBINS,JUDY</t>
  </si>
  <si>
    <t>706 Pine Valley Ln Apt 101</t>
  </si>
  <si>
    <t>ROBERT A BELTRAN</t>
  </si>
  <si>
    <t>5413 Larchwood Ln</t>
  </si>
  <si>
    <t>ROBERT A EDWARDS</t>
  </si>
  <si>
    <t>4212 Douglas Rd Uppr</t>
  </si>
  <si>
    <t>ROBERT A WITTE</t>
  </si>
  <si>
    <t>9504 Stallion Cir</t>
  </si>
  <si>
    <t>ROBERT ALFRED GAERTNER</t>
  </si>
  <si>
    <t>2637 Middlesex Dr</t>
  </si>
  <si>
    <t>ROBERT B DRAEGER</t>
  </si>
  <si>
    <t>3459 Mary Allen Dr</t>
  </si>
  <si>
    <t>ROBERT BARBER</t>
  </si>
  <si>
    <t>5143 Merlot Drive</t>
  </si>
  <si>
    <t>ROBERT BLAIR DORRELL</t>
  </si>
  <si>
    <t>6035 320Th St</t>
  </si>
  <si>
    <t>ROBERT C JEFFRIES</t>
  </si>
  <si>
    <t>6200 Rockside Woods</t>
  </si>
  <si>
    <t>Robert Carl Stasa</t>
  </si>
  <si>
    <t>4214 Kilburn Rd</t>
  </si>
  <si>
    <t>ROBERT CHARLES ATHERTON</t>
  </si>
  <si>
    <t>1960 S Holland Sylvania Rd</t>
  </si>
  <si>
    <t>ROBERT CHARLES CARMONY</t>
  </si>
  <si>
    <t>2762 Long View Dr</t>
  </si>
  <si>
    <t>ROBERT D LEWIS</t>
  </si>
  <si>
    <t>1324 Eastland Dr</t>
  </si>
  <si>
    <t>Robert D Mister</t>
  </si>
  <si>
    <t>3002 Powhattan Pkwy.</t>
  </si>
  <si>
    <t>ROBERT D STAMPER</t>
  </si>
  <si>
    <t>5432 Fern Dr</t>
  </si>
  <si>
    <t>ROBERT D STRAUSS</t>
  </si>
  <si>
    <t>3230 Central Park West</t>
  </si>
  <si>
    <t>3230 Central Park West Suite 2</t>
  </si>
  <si>
    <t>ROBERT DONALD PAUL BRENNER</t>
  </si>
  <si>
    <t>3063 Edgebrook Dr</t>
  </si>
  <si>
    <t>ROBERT E KEELER</t>
  </si>
  <si>
    <t>6040 Clover Ln</t>
  </si>
  <si>
    <t>ROBERT E MAGNER</t>
  </si>
  <si>
    <t>2917 113Th St</t>
  </si>
  <si>
    <t>ROBERT E PRIEBE</t>
  </si>
  <si>
    <t>2677 Shoreland Ave Apt B9</t>
  </si>
  <si>
    <t>ROBERT EDWARD EUG MALTBY</t>
  </si>
  <si>
    <t>4416 N Haven Ave</t>
  </si>
  <si>
    <t>ROBERT G JOHNSON</t>
  </si>
  <si>
    <t>3349 Executive Pkwy                  Suite D</t>
  </si>
  <si>
    <t>ROBERT G ZINK</t>
  </si>
  <si>
    <t>4967 Starboard Dr</t>
  </si>
  <si>
    <t>Robert G. Johnson</t>
  </si>
  <si>
    <t>3815 Kimberly Oaks</t>
  </si>
  <si>
    <t>2020 Est 1843 - Est. Of Alice Elizabeth Johnson</t>
  </si>
  <si>
    <t>Robert G. Johnson, Esq.</t>
  </si>
  <si>
    <t>3349 Executive Pkwy, Ste. D</t>
  </si>
  <si>
    <t>2018 Est 1856 - Est. Of Larry Elton Schultz</t>
  </si>
  <si>
    <t>Robert G. Johnston</t>
  </si>
  <si>
    <t>2021 Est 001782 - Est. Of Derek J. Romay</t>
  </si>
  <si>
    <t>Robert Haggard</t>
  </si>
  <si>
    <t>2523 Bayview Ct.</t>
  </si>
  <si>
    <t>ROBERT HENNING</t>
  </si>
  <si>
    <t>6019 Luddington Dr</t>
  </si>
  <si>
    <t>ROBERT HOLLMAN</t>
  </si>
  <si>
    <t>1364 N.Cove Blvd Apt 6</t>
  </si>
  <si>
    <t>ROBERT J DODD</t>
  </si>
  <si>
    <t>4955 Summerfield Rd</t>
  </si>
  <si>
    <t>ROBERT J EROME SULEWSKI</t>
  </si>
  <si>
    <t>547 W Capistrano Ave</t>
  </si>
  <si>
    <t>ROBERT J FISHER</t>
  </si>
  <si>
    <t>4326 Harvest Ln</t>
  </si>
  <si>
    <t>ROBERT J OHN BABKA</t>
  </si>
  <si>
    <t>4482 285Th St</t>
  </si>
  <si>
    <t>ROBERT J SCHOEN</t>
  </si>
  <si>
    <t>4155 Commonwealth Ave</t>
  </si>
  <si>
    <t>ROBERT J SMITH</t>
  </si>
  <si>
    <t>3309 Cherry St Apt 5</t>
  </si>
  <si>
    <t>Robert J. Anderson</t>
  </si>
  <si>
    <t>4601 Brown Rd</t>
  </si>
  <si>
    <t>ROBERT JACOBSEN</t>
  </si>
  <si>
    <t>3038 Glenn St</t>
  </si>
  <si>
    <t>ROBERT JEFFREY PARKER</t>
  </si>
  <si>
    <t>2852 Persimmon Dr</t>
  </si>
  <si>
    <t>ROBERT JEFFRIES</t>
  </si>
  <si>
    <t>6200 Rockside Ste 215</t>
  </si>
  <si>
    <t>ROBERT JOHN VETTER</t>
  </si>
  <si>
    <t>5318 Rowland Rd</t>
  </si>
  <si>
    <t>ROBERT JOSEPH CHANDLER</t>
  </si>
  <si>
    <t>330 Hayes Rd</t>
  </si>
  <si>
    <t>ROBERT KLIPPSTEIN</t>
  </si>
  <si>
    <t>5050 Hallgate Ave</t>
  </si>
  <si>
    <t>ROBERT KRIST</t>
  </si>
  <si>
    <t>552 Mcintyre Ln</t>
  </si>
  <si>
    <t>ROBERT L AVERY</t>
  </si>
  <si>
    <t>7740 Manore Rd</t>
  </si>
  <si>
    <t>ROBERT L HIGHTOWER</t>
  </si>
  <si>
    <t>1767 Wilton St</t>
  </si>
  <si>
    <t>ROBERT LAWRENCE JONES</t>
  </si>
  <si>
    <t>904 Woodville Road</t>
  </si>
  <si>
    <t>ROBERT M MANDERS</t>
  </si>
  <si>
    <t>3271 Raleigh Dr Apt B</t>
  </si>
  <si>
    <t>ROBERT M SUTTON</t>
  </si>
  <si>
    <t>9818 Talonswood Rd</t>
  </si>
  <si>
    <t>ROBERT MCCLELLAN</t>
  </si>
  <si>
    <t>ROBERT MICHAEL WISE</t>
  </si>
  <si>
    <t>ROBERT MILLER</t>
  </si>
  <si>
    <t>7813 Harvestgold Dr</t>
  </si>
  <si>
    <t>1673 Avondale Avenue</t>
  </si>
  <si>
    <t>ROBERT RACHKO</t>
  </si>
  <si>
    <t>5554 Maple Creek Blvd</t>
  </si>
  <si>
    <t>Robert Retske</t>
  </si>
  <si>
    <t>7524 Kings Hollow Ct.</t>
  </si>
  <si>
    <t>2019 Est 000880 - Est. Of Roger Mcfarland</t>
  </si>
  <si>
    <t>ROBERT RIDDLE</t>
  </si>
  <si>
    <t>507-1/2 E Dudley St Uppr</t>
  </si>
  <si>
    <t>ROBERT S MAWER</t>
  </si>
  <si>
    <t>4411 Holly Hill Dr</t>
  </si>
  <si>
    <t>ROBERT SERWIN</t>
  </si>
  <si>
    <t>423 Cottage Street</t>
  </si>
  <si>
    <t>ROBERT SHAFFER</t>
  </si>
  <si>
    <t>5552 Yarmouth</t>
  </si>
  <si>
    <t>ROBERT THURMAN</t>
  </si>
  <si>
    <t>5950 Harvest Lane</t>
  </si>
  <si>
    <t>Robert W Flick</t>
  </si>
  <si>
    <t>5664 Adelaide Dr</t>
  </si>
  <si>
    <t>Robert Whitcomb</t>
  </si>
  <si>
    <t>509 Buckeye St</t>
  </si>
  <si>
    <t>ROBERT ZETZER</t>
  </si>
  <si>
    <t>2520 Aldringham Rd</t>
  </si>
  <si>
    <t>ROBERTA DURHAM</t>
  </si>
  <si>
    <t>3336 Indian Rd</t>
  </si>
  <si>
    <t>ROBERTA LYNN CAMARA</t>
  </si>
  <si>
    <t>820 Wright Ave</t>
  </si>
  <si>
    <t>ROBERTO HERNANDEZ</t>
  </si>
  <si>
    <t>518 Cincinnati St</t>
  </si>
  <si>
    <t>ROBERTSON ANTHONY</t>
  </si>
  <si>
    <t>5408 306Th</t>
  </si>
  <si>
    <t>ROBIN . MCNEELY</t>
  </si>
  <si>
    <t>3551 Brant Ct</t>
  </si>
  <si>
    <t>ROBIN ANN WORLINE</t>
  </si>
  <si>
    <t>1634 Deer Trail Dr</t>
  </si>
  <si>
    <t>ROBIN G WATSON</t>
  </si>
  <si>
    <t>824 N Superior St Apt F</t>
  </si>
  <si>
    <t>ROBIN HAYWARD STONE</t>
  </si>
  <si>
    <t>5679 Monroe St Unit 203</t>
  </si>
  <si>
    <t>Robin Love</t>
  </si>
  <si>
    <t>1660 Eaglecrest Rd.</t>
  </si>
  <si>
    <t>ROBIN LYNN HOSLER</t>
  </si>
  <si>
    <t>8023 Indian Creek Ln</t>
  </si>
  <si>
    <t>ROBIN METZLER, AMY POSTON, PATRICK FILAS &amp; THERESA LUDWIKOWSKI</t>
  </si>
  <si>
    <t>1903 Birkdale Rd</t>
  </si>
  <si>
    <t>Robin Reese</t>
  </si>
  <si>
    <t>538 Nesslewood</t>
  </si>
  <si>
    <t>Robin Shcmidbauer</t>
  </si>
  <si>
    <t>3261 Sprintime Dr</t>
  </si>
  <si>
    <t>Robin Wilson</t>
  </si>
  <si>
    <t>418 Machen St</t>
  </si>
  <si>
    <t>ROBINSON II,JEFFREY</t>
  </si>
  <si>
    <t>3427 Middlesex Dr, Apt A</t>
  </si>
  <si>
    <t>ROBINSON MARQUAVIOUS</t>
  </si>
  <si>
    <t>819 Strotz</t>
  </si>
  <si>
    <t>ROBINSON NICOLE</t>
  </si>
  <si>
    <t>ROBYN OLIVER</t>
  </si>
  <si>
    <t>6220 Applegate Dr</t>
  </si>
  <si>
    <t>ROCHELLE A NEILL</t>
  </si>
  <si>
    <t>4603 Sheringham Ln</t>
  </si>
  <si>
    <t>Rock Solid Funding LLC</t>
  </si>
  <si>
    <t>1706 Tennison Pkwy Suite 160</t>
  </si>
  <si>
    <t>Colleyville</t>
  </si>
  <si>
    <t>ROCKET CAFE</t>
  </si>
  <si>
    <t>2023 N Reynolds Road</t>
  </si>
  <si>
    <t>ROCKET MORTGAG LLC</t>
  </si>
  <si>
    <t>ROCKET MORTGAGE LLC</t>
  </si>
  <si>
    <t>Madeira</t>
  </si>
  <si>
    <t>ROCKET MORTGAGE LLC FKA QUICKE</t>
  </si>
  <si>
    <t>ROCKY SPAIN</t>
  </si>
  <si>
    <t>769 W. Pershing St.</t>
  </si>
  <si>
    <t>Salem</t>
  </si>
  <si>
    <t>ROD RICHARDSON</t>
  </si>
  <si>
    <t>1350 Melvin Dr</t>
  </si>
  <si>
    <t>Roderick A. Standiford</t>
  </si>
  <si>
    <t>5645 Elliot</t>
  </si>
  <si>
    <t>Roderick Martin</t>
  </si>
  <si>
    <t>828 National</t>
  </si>
  <si>
    <t>RODGERS WILLIAM</t>
  </si>
  <si>
    <t>1122 E Bancroft</t>
  </si>
  <si>
    <t>RODNEY D DAVIDSON</t>
  </si>
  <si>
    <t>5153 Davewood Dr</t>
  </si>
  <si>
    <t>Rodneys Towing</t>
  </si>
  <si>
    <t>216 Oakdale Ave</t>
  </si>
  <si>
    <t>RODRIGO MARTINEZ</t>
  </si>
  <si>
    <t>657 Brahier Ln</t>
  </si>
  <si>
    <t>RODRIGUEZ EMILIO</t>
  </si>
  <si>
    <t>133 Western</t>
  </si>
  <si>
    <t>RODRIGUEZ GIANNA</t>
  </si>
  <si>
    <t>4615 N Holland Sylvania</t>
  </si>
  <si>
    <t>RODRIGUEZ THERESA</t>
  </si>
  <si>
    <t>2301 Cincinnati</t>
  </si>
  <si>
    <t>ROGALSKI LEOKADIA</t>
  </si>
  <si>
    <t>2058 Mayport Drive</t>
  </si>
  <si>
    <t>Roger A Brown Jr.</t>
  </si>
  <si>
    <t>2186 Mccutchenville Rd</t>
  </si>
  <si>
    <t>ROGER ALAN RICHEY</t>
  </si>
  <si>
    <t>6865 Wharton Rd</t>
  </si>
  <si>
    <t>ROGER DALE COMPTON</t>
  </si>
  <si>
    <t>3005 Brock Dr</t>
  </si>
  <si>
    <t>Roger I. Perry</t>
  </si>
  <si>
    <t>3940 S. Detroit Ave</t>
  </si>
  <si>
    <t>ROGERS,MIRANDA</t>
  </si>
  <si>
    <t>7032 Altonbrough Dr</t>
  </si>
  <si>
    <t>ROHAN HAMILTON</t>
  </si>
  <si>
    <t>24 Bettys Pound Road  Apt E</t>
  </si>
  <si>
    <t>Hyannis</t>
  </si>
  <si>
    <t>Rohrman Automotive Group</t>
  </si>
  <si>
    <t>4909 Lima Rd</t>
  </si>
  <si>
    <t>ROLAND D FRISCH</t>
  </si>
  <si>
    <t>3359 Beaumont Dr</t>
  </si>
  <si>
    <t>ROLAND IRA HANSEN</t>
  </si>
  <si>
    <t>605 Midfield Dr</t>
  </si>
  <si>
    <t>ROLIZIA SUTHERLAND</t>
  </si>
  <si>
    <t>324 Somerset</t>
  </si>
  <si>
    <t>ROLLINS JUSTIN</t>
  </si>
  <si>
    <t>1504 Oakmont</t>
  </si>
  <si>
    <t>ROMAN,JANE</t>
  </si>
  <si>
    <t>3237 Deep Water Ln</t>
  </si>
  <si>
    <t>ROMARIO MITCHELL</t>
  </si>
  <si>
    <t>244 Jervis Street</t>
  </si>
  <si>
    <t>ROMSTADT,SUSAN</t>
  </si>
  <si>
    <t>9608 Jerusalem Rd</t>
  </si>
  <si>
    <t>RONALD A WATKINS</t>
  </si>
  <si>
    <t>5521 Yermo Dr</t>
  </si>
  <si>
    <t>RONALD ARTHUR MILLER</t>
  </si>
  <si>
    <t>RONALD C CROLEY</t>
  </si>
  <si>
    <t>620 Starr Ave Apt 6A</t>
  </si>
  <si>
    <t>RONALD C DUGAN</t>
  </si>
  <si>
    <t>108 N Masters Ct</t>
  </si>
  <si>
    <t>RONALD COLEMAN</t>
  </si>
  <si>
    <t>2295 Ashland Ave Rear 6</t>
  </si>
  <si>
    <t>RONALD EUGENE SHULL</t>
  </si>
  <si>
    <t>5057 Merlot Dr</t>
  </si>
  <si>
    <t>RONALD HOUSTON</t>
  </si>
  <si>
    <t>3753 Lockwood Ave</t>
  </si>
  <si>
    <t>RONALD J FUELLING</t>
  </si>
  <si>
    <t>3523 Westchester Rd</t>
  </si>
  <si>
    <t>RONALD JAMES STAUDINGER</t>
  </si>
  <si>
    <t>10041 Sacks Rd</t>
  </si>
  <si>
    <t>RONALD JOHNSON</t>
  </si>
  <si>
    <t>RONALD L SHREWSBERY</t>
  </si>
  <si>
    <t>1425 Remington St</t>
  </si>
  <si>
    <t>RONALD L WELLS</t>
  </si>
  <si>
    <t>3979 Airport Hwy Apt 28</t>
  </si>
  <si>
    <t>RONALD MCCOURT</t>
  </si>
  <si>
    <t>2960 Long View Dr</t>
  </si>
  <si>
    <t>RONALD MCKINZIE</t>
  </si>
  <si>
    <t>1343 Scott Rd</t>
  </si>
  <si>
    <t>RONALD MEISNER</t>
  </si>
  <si>
    <t>801 Brighton Ave</t>
  </si>
  <si>
    <t>RONALD ORTH</t>
  </si>
  <si>
    <t>1950 Ashcroft Dr</t>
  </si>
  <si>
    <t>RONALD R BROOKS</t>
  </si>
  <si>
    <t>1489 Schuyler Rd</t>
  </si>
  <si>
    <t>Ronald Spencer</t>
  </si>
  <si>
    <t>2022Est783 Estate Of Eleanor J Spencer</t>
  </si>
  <si>
    <t>RONALD W HOTTMANN</t>
  </si>
  <si>
    <t>5609 Camberley Dr</t>
  </si>
  <si>
    <t>RONALD WEDGE</t>
  </si>
  <si>
    <t>4544 Thackeray Rd</t>
  </si>
  <si>
    <t>RONALD WILLIAMS</t>
  </si>
  <si>
    <t>10430 Airport Highway, Lot 24</t>
  </si>
  <si>
    <t>RONNIE J FARRIS</t>
  </si>
  <si>
    <t>3808 Torrance Dr</t>
  </si>
  <si>
    <t>RORY REAGAN</t>
  </si>
  <si>
    <t>3048 Schneider Rd</t>
  </si>
  <si>
    <t>ROSCOE GARY WAYNE JR</t>
  </si>
  <si>
    <t>1376 W Woodruff Ave</t>
  </si>
  <si>
    <t>Rose M. Bryce</t>
  </si>
  <si>
    <t>2510 S. Berkey Southern</t>
  </si>
  <si>
    <t>2020 Est 1956 - Est. Of Mary A Fry</t>
  </si>
  <si>
    <t>ROSE MOCK</t>
  </si>
  <si>
    <t>4334 W Central Ave            Ste 230</t>
  </si>
  <si>
    <t>ROSE OTTINGER</t>
  </si>
  <si>
    <t>401 Burbank Dr</t>
  </si>
  <si>
    <t>ROSE ROBERTS</t>
  </si>
  <si>
    <t>705 Clifton Blvd</t>
  </si>
  <si>
    <t>ROSELAND,JAMES</t>
  </si>
  <si>
    <t>2110 Scottwood Ave</t>
  </si>
  <si>
    <t>ROSELYN RENEE RAYFORD</t>
  </si>
  <si>
    <t>335 Rockingham St</t>
  </si>
  <si>
    <t>ROSEMARY GARCIA</t>
  </si>
  <si>
    <t>356 Sheldon St</t>
  </si>
  <si>
    <t>ROSS A HANELY</t>
  </si>
  <si>
    <t>4567 Torquay Ave</t>
  </si>
  <si>
    <t>ROSS DELORES</t>
  </si>
  <si>
    <t>414 N Erie St 2Nd Fl</t>
  </si>
  <si>
    <t>ROSS TODD WATSON</t>
  </si>
  <si>
    <t>5950 Cedar Point Rd</t>
  </si>
  <si>
    <t>ROSS VASBINDER</t>
  </si>
  <si>
    <t>2706 Alisdale Dr Apt 204</t>
  </si>
  <si>
    <t>ROSSI AND ASSOCIATES</t>
  </si>
  <si>
    <t>970 South Byrne No 4</t>
  </si>
  <si>
    <t>ROSSI ASSUNTA</t>
  </si>
  <si>
    <t>2707 Arthur Street</t>
  </si>
  <si>
    <t>Rosunde Robinson</t>
  </si>
  <si>
    <t>5718 Ryewyck Dr Apt 1</t>
  </si>
  <si>
    <t>ROVENA BARNES</t>
  </si>
  <si>
    <t>5941 Meade Rd</t>
  </si>
  <si>
    <t>ROWLETT OWEN</t>
  </si>
  <si>
    <t>2539 Ayers</t>
  </si>
  <si>
    <t>ROXANNE QUINN</t>
  </si>
  <si>
    <t>1189 Greystone Pkwy</t>
  </si>
  <si>
    <t>ROY GENE PALMER</t>
  </si>
  <si>
    <t>1901 Grand Ave</t>
  </si>
  <si>
    <t>ROY LAQUISE</t>
  </si>
  <si>
    <t>435 East Hudson</t>
  </si>
  <si>
    <t>ROY MCDUFFIE</t>
  </si>
  <si>
    <t>3925 Harrowsfield Rd</t>
  </si>
  <si>
    <t>Roy Richardson, III</t>
  </si>
  <si>
    <t>702 Longleaf Ave.</t>
  </si>
  <si>
    <t>Goldsboro</t>
  </si>
  <si>
    <t>2015 Est 1741 - Estate Of Shirley Richardson</t>
  </si>
  <si>
    <t>Royal 1 Auto Finance LLC</t>
  </si>
  <si>
    <t>5004 Lewis Ave</t>
  </si>
  <si>
    <t>5004 Lewis Avenue</t>
  </si>
  <si>
    <t>ROYCE REALITY LLC</t>
  </si>
  <si>
    <t>1836 Strathmoor Ave</t>
  </si>
  <si>
    <t>ROZIER MYKIA</t>
  </si>
  <si>
    <t>818 Woodstock</t>
  </si>
  <si>
    <t>RUBIN JOHNSON JR</t>
  </si>
  <si>
    <t>510 E Lake St</t>
  </si>
  <si>
    <t>RUBY,PAULLA</t>
  </si>
  <si>
    <t>2446 Lambert Dr</t>
  </si>
  <si>
    <t>RUCK AND WRIGHT LAW</t>
  </si>
  <si>
    <t>427 W College Ave #412</t>
  </si>
  <si>
    <t>RUHE,ALEXANDER</t>
  </si>
  <si>
    <t>1035 N Holland Sylvania Rd Apt 1J</t>
  </si>
  <si>
    <t>RUIZ DANNY</t>
  </si>
  <si>
    <t>4607 Manorwood</t>
  </si>
  <si>
    <t>RUIZ JUAN</t>
  </si>
  <si>
    <t>781 Buckeye</t>
  </si>
  <si>
    <t>RUIZ STEPHEN</t>
  </si>
  <si>
    <t>2520 Oakwood Avenue</t>
  </si>
  <si>
    <t>RUOFF MORTGAGE COMPANY INC</t>
  </si>
  <si>
    <t>RUSSEL J WALTERS</t>
  </si>
  <si>
    <t>1147 Michigan Ave</t>
  </si>
  <si>
    <t>RUSSELL ARVAN</t>
  </si>
  <si>
    <t>5319 Edgewater Drive</t>
  </si>
  <si>
    <t>RUSSELL HUMMEL</t>
  </si>
  <si>
    <t>5856 Midwest Ave</t>
  </si>
  <si>
    <t>Russell Johnson</t>
  </si>
  <si>
    <t>20854 Cross Creek Rd</t>
  </si>
  <si>
    <t>RUSSELL S KING</t>
  </si>
  <si>
    <t>514 Richards Rd</t>
  </si>
  <si>
    <t>RUSSELL SHANE L &amp; DEBRA</t>
  </si>
  <si>
    <t>2238 Putnam St</t>
  </si>
  <si>
    <t>RUSSELL SHIRLEY</t>
  </si>
  <si>
    <t>5401 Secor Rd Ste A</t>
  </si>
  <si>
    <t>RUTH E ZASADA</t>
  </si>
  <si>
    <t>4039 Starr Ave</t>
  </si>
  <si>
    <t>RUTH JACOBS</t>
  </si>
  <si>
    <t>760 Bronx Dr</t>
  </si>
  <si>
    <t>RUTH WILSON</t>
  </si>
  <si>
    <t>1750 Brownstone Blvd Apt E</t>
  </si>
  <si>
    <t>RYALL JENNIFER &amp; AARON</t>
  </si>
  <si>
    <t>3138 Mona Ln</t>
  </si>
  <si>
    <t>RYAN A ROSENCRANTZ</t>
  </si>
  <si>
    <t>10909 Bunting Rd</t>
  </si>
  <si>
    <t>RYAN BANCOFT SCHUELER</t>
  </si>
  <si>
    <t>3334 Gallatin Rd</t>
  </si>
  <si>
    <t>RYAN BONDS</t>
  </si>
  <si>
    <t>221 Danesmoor Rd</t>
  </si>
  <si>
    <t>RYAN DANIELAK</t>
  </si>
  <si>
    <t>5507 Yermo Dr</t>
  </si>
  <si>
    <t>RYAN DELINE</t>
  </si>
  <si>
    <t>4343 W Bancroft St Apt 3F</t>
  </si>
  <si>
    <t>RYAN JOSEPH SPENCER</t>
  </si>
  <si>
    <t>3843 Woodmont Rd</t>
  </si>
  <si>
    <t>RYAN KELLY</t>
  </si>
  <si>
    <t>4439 Merriweather Rd</t>
  </si>
  <si>
    <t>RYAN KOESTERS</t>
  </si>
  <si>
    <t>5303 Bristol Ct</t>
  </si>
  <si>
    <t>RYAN L HILT</t>
  </si>
  <si>
    <t>2617 Elsie Ave</t>
  </si>
  <si>
    <t>RYAN M MULLINS</t>
  </si>
  <si>
    <t>1933 Woodlore Dr</t>
  </si>
  <si>
    <t>RYAN MICHAEL BIRD</t>
  </si>
  <si>
    <t>8034 Maumee Western Rd</t>
  </si>
  <si>
    <t>RYAN MICHAEL PILLEN</t>
  </si>
  <si>
    <t>3158 Springtime Dr</t>
  </si>
  <si>
    <t>RYAN MITCHELL LAMB</t>
  </si>
  <si>
    <t>6854 Erie St</t>
  </si>
  <si>
    <t>RYAN P LAPOINTE</t>
  </si>
  <si>
    <t>1642 Sarasota Dr</t>
  </si>
  <si>
    <t>RYAN R OKULSKI</t>
  </si>
  <si>
    <t>6140 Everwood Rd</t>
  </si>
  <si>
    <t>RYAN THOMAS KAM</t>
  </si>
  <si>
    <t>5318 Elaine Dr</t>
  </si>
  <si>
    <t>RYAN THORNBERG</t>
  </si>
  <si>
    <t>740 Raymer Blvd</t>
  </si>
  <si>
    <t>RYAN TIMOTHY TIERNEY</t>
  </si>
  <si>
    <t>3911 Barleyton Cir</t>
  </si>
  <si>
    <t>Ryan Troutman</t>
  </si>
  <si>
    <t>2152 Dundee</t>
  </si>
  <si>
    <t>S THOMAS MEGEATH</t>
  </si>
  <si>
    <t>6959 Williamsburg Dr</t>
  </si>
  <si>
    <t>SABRINA GLOVER</t>
  </si>
  <si>
    <t>5135 Burlingame Drive</t>
  </si>
  <si>
    <t>SABRINA MARIE CREMEAN</t>
  </si>
  <si>
    <t>4253 Elmhurst Rd</t>
  </si>
  <si>
    <t>SAEEDA RASHIDA WALKER</t>
  </si>
  <si>
    <t>1956 W. Alexis Rd #504</t>
  </si>
  <si>
    <t>SAFI ASEM</t>
  </si>
  <si>
    <t>3833 Airport</t>
  </si>
  <si>
    <t>SAFONA C HARRIS</t>
  </si>
  <si>
    <t>1800 N Mccord Rd Apt 33</t>
  </si>
  <si>
    <t>SAHARA LOUNGE LLC</t>
  </si>
  <si>
    <t>SAI BHARGAV GANGA VUPPALA</t>
  </si>
  <si>
    <t>606 W Woodruff Ave</t>
  </si>
  <si>
    <t>SAINT A CRAWFORD III</t>
  </si>
  <si>
    <t>3636 White Gate Dr</t>
  </si>
  <si>
    <t>SAINT CRAWFORD III</t>
  </si>
  <si>
    <t>3636 Whitegate Dr</t>
  </si>
  <si>
    <t>3636 Whitegate St</t>
  </si>
  <si>
    <t>Sakiah Stewart</t>
  </si>
  <si>
    <t>101 Hargrave Rd.</t>
  </si>
  <si>
    <t>SALAHUDDIN HUSSAIN</t>
  </si>
  <si>
    <t>1001 N Byrne Apt 307</t>
  </si>
  <si>
    <t>SALAZAR,MARIA</t>
  </si>
  <si>
    <t>2846 N Detroit Ave</t>
  </si>
  <si>
    <t>SALEH MOHAMED</t>
  </si>
  <si>
    <t>812 E Sandalwood</t>
  </si>
  <si>
    <t>SALLIE WOLFE</t>
  </si>
  <si>
    <t>2021 Blanche Dr</t>
  </si>
  <si>
    <t>SALLY BLEVINS</t>
  </si>
  <si>
    <t>35 Perrine St</t>
  </si>
  <si>
    <t>SAM &amp; SARAH SIMPSON</t>
  </si>
  <si>
    <t>626 E Pearl St</t>
  </si>
  <si>
    <t>SAMANTHA ARIEL CAMPBELL</t>
  </si>
  <si>
    <t>911 Michigan Ave</t>
  </si>
  <si>
    <t>SAMANTHA DEE OLEARY</t>
  </si>
  <si>
    <t>3722 Sherbrooke Rd</t>
  </si>
  <si>
    <t>SAMANTHA GOOD</t>
  </si>
  <si>
    <t>5165 Brint Crossing Blvd</t>
  </si>
  <si>
    <t>Samantha J Matesick</t>
  </si>
  <si>
    <t>14528 Bragg St.</t>
  </si>
  <si>
    <t>Dover</t>
  </si>
  <si>
    <t>SAMANTHA J SPENCER</t>
  </si>
  <si>
    <t>SAMANTHA JO PIPER</t>
  </si>
  <si>
    <t>226 Licking St</t>
  </si>
  <si>
    <t>SAMANTHA JOYCE</t>
  </si>
  <si>
    <t>5029 Kellogg Rd</t>
  </si>
  <si>
    <t>SAMANTHA KATHLEEN HABUSTA</t>
  </si>
  <si>
    <t>3940 S Detroit Ave</t>
  </si>
  <si>
    <t>SAMANTHA MACKENZIE KORSOG</t>
  </si>
  <si>
    <t>524 Centerfield Dr</t>
  </si>
  <si>
    <t>SAMANTHA MAE RIGG</t>
  </si>
  <si>
    <t>1714 North Wynn Road</t>
  </si>
  <si>
    <t>SAMANTHA RENEE RUDES</t>
  </si>
  <si>
    <t>3205 Beaumont Dr</t>
  </si>
  <si>
    <t>SAMANTHA T SPENCER</t>
  </si>
  <si>
    <t>SAMAR NICHOLAS AND MARY</t>
  </si>
  <si>
    <t>621 N Jade Drive</t>
  </si>
  <si>
    <t>Key Largo</t>
  </si>
  <si>
    <t>SAMIRA LAZREQ</t>
  </si>
  <si>
    <t>4344 Sadalia Rd</t>
  </si>
  <si>
    <t>SAMS JOSHUA</t>
  </si>
  <si>
    <t>20685 Us Rt 6</t>
  </si>
  <si>
    <t>SAMUEL ERIC GUILE</t>
  </si>
  <si>
    <t>4102 Dorchester Dr</t>
  </si>
  <si>
    <t>SAMUEL GOLDSTONE</t>
  </si>
  <si>
    <t>1519 Vinal St</t>
  </si>
  <si>
    <t>SAMUEL HARGROVE</t>
  </si>
  <si>
    <t>505 Jefferson Ave Apt 708</t>
  </si>
  <si>
    <t>Samuel Jennings</t>
  </si>
  <si>
    <t>610 Wyman</t>
  </si>
  <si>
    <t>SAMUEL KERN ABBOTT</t>
  </si>
  <si>
    <t>3102 Carskaddon Ave Apt 106</t>
  </si>
  <si>
    <t>SAMUEL R STICKELS</t>
  </si>
  <si>
    <t>2423 Densmore Dr</t>
  </si>
  <si>
    <t>San Juanita Rocha</t>
  </si>
  <si>
    <t>1618 Wayne St.</t>
  </si>
  <si>
    <t>SANA AMARI SHARPER</t>
  </si>
  <si>
    <t>5525 Cresthaven Ln Apt 3C</t>
  </si>
  <si>
    <t>SANCHEZ MELINDA A</t>
  </si>
  <si>
    <t>20 Bronson Pl</t>
  </si>
  <si>
    <t>SANDERS PARISS</t>
  </si>
  <si>
    <t>815 N Ontario</t>
  </si>
  <si>
    <t>SANDERS PATRICIA</t>
  </si>
  <si>
    <t>6591 West Central Avenue Suite</t>
  </si>
  <si>
    <t>Sanders, Ryan A.</t>
  </si>
  <si>
    <t>2434 Lawton Ave</t>
  </si>
  <si>
    <t>SANDHU LAW GROUP</t>
  </si>
  <si>
    <t>1213 Prospect Avenue Suite 300</t>
  </si>
  <si>
    <t>SANDOVA SUSAN LEIGH</t>
  </si>
  <si>
    <t>6204 Sugarberry Lane</t>
  </si>
  <si>
    <t>SANDOVAL JESUS ET AL</t>
  </si>
  <si>
    <t>239 Longdale</t>
  </si>
  <si>
    <t>SANDRA &amp; CHARLES L KASTEN III</t>
  </si>
  <si>
    <t>911 Pierce St</t>
  </si>
  <si>
    <t>SANDRA A GOLDBERG</t>
  </si>
  <si>
    <t>4725 Maryhill Rd</t>
  </si>
  <si>
    <t>Sandra C Bush</t>
  </si>
  <si>
    <t>934 Evesham Ave</t>
  </si>
  <si>
    <t>SANDRA CORVANULES</t>
  </si>
  <si>
    <t>2514 108Th</t>
  </si>
  <si>
    <t>SANDRA DONI MILLER</t>
  </si>
  <si>
    <t>62 Birckhead Pl</t>
  </si>
  <si>
    <t>SANDRA K PULLEN</t>
  </si>
  <si>
    <t>518 Waterway Rd</t>
  </si>
  <si>
    <t>SANDRA KAY SUGGS</t>
  </si>
  <si>
    <t>9030 Whispering Pine Curv</t>
  </si>
  <si>
    <t>SANDRA L SPANG</t>
  </si>
  <si>
    <t>2055 Wildwood Blvd</t>
  </si>
  <si>
    <t>SANDRA LYTTEN</t>
  </si>
  <si>
    <t>418 Club House Blvd</t>
  </si>
  <si>
    <t>SANDRA MARIE SPINO</t>
  </si>
  <si>
    <t>1968 Princeton Dr</t>
  </si>
  <si>
    <t>SANDRA MURRAY</t>
  </si>
  <si>
    <t>6207 Douglas Rd</t>
  </si>
  <si>
    <t>SANDRA NONPRASIT ADMINISTRATION</t>
  </si>
  <si>
    <t>SANDRA STORER</t>
  </si>
  <si>
    <t>3920 Bowen Rd</t>
  </si>
  <si>
    <t>SANKIEWICZ,JOSEPH</t>
  </si>
  <si>
    <t>2913 Coffeetree Ln</t>
  </si>
  <si>
    <t>SANTANDER CONSUMER USA</t>
  </si>
  <si>
    <t>2 Morrissey Blvd.</t>
  </si>
  <si>
    <t>Dorchester</t>
  </si>
  <si>
    <t>SANTIAGO LOPEZ</t>
  </si>
  <si>
    <t>4453 Carl Dr</t>
  </si>
  <si>
    <t>SANTIBANEZ ASHLEY</t>
  </si>
  <si>
    <t>SAPANI PRISCILLA</t>
  </si>
  <si>
    <t>3835 Maxwell</t>
  </si>
  <si>
    <t>SARA AL SORGHALI</t>
  </si>
  <si>
    <t>2429 Goddard Rd</t>
  </si>
  <si>
    <t>SARA ALICIA STEARNS</t>
  </si>
  <si>
    <t>3415 Island Ave</t>
  </si>
  <si>
    <t>SARA BADIUK</t>
  </si>
  <si>
    <t>3816 Hampstead Dr</t>
  </si>
  <si>
    <t>SARA BARNETT HAMEN</t>
  </si>
  <si>
    <t>2647 Gray Fox Curv</t>
  </si>
  <si>
    <t>SARA KAYLIN MCGIMPSEY</t>
  </si>
  <si>
    <t>419 Sunset Blvd</t>
  </si>
  <si>
    <t>SARA LYN PODGORSKI</t>
  </si>
  <si>
    <t>6316 W Bancroft St Apt 10</t>
  </si>
  <si>
    <t>SARA VANDENEYNAE</t>
  </si>
  <si>
    <t>117 Oak Street</t>
  </si>
  <si>
    <t>SARAH ANN KREINBRINK</t>
  </si>
  <si>
    <t>612 Arlene Dr</t>
  </si>
  <si>
    <t>SARAH BYCYNSKI</t>
  </si>
  <si>
    <t>825 N Schwamberger Rd</t>
  </si>
  <si>
    <t>Sarah Davis</t>
  </si>
  <si>
    <t>1248 Creighton Ave</t>
  </si>
  <si>
    <t>SARAH DUNBAR</t>
  </si>
  <si>
    <t>2441 South Ave</t>
  </si>
  <si>
    <t>SARAH E ADAMS</t>
  </si>
  <si>
    <t>2243 Linden Ct</t>
  </si>
  <si>
    <t>SARAH ELIZABETH FAVATA</t>
  </si>
  <si>
    <t>3523 Glynn Dr</t>
  </si>
  <si>
    <t>SARAH ELIZABETH SOLORIO</t>
  </si>
  <si>
    <t>2211 Parkwood Ave Apt 1S</t>
  </si>
  <si>
    <t>SARAH J JOHNSON</t>
  </si>
  <si>
    <t>8301 Hidden Forest Dr</t>
  </si>
  <si>
    <t>SARAH J YANEZ</t>
  </si>
  <si>
    <t>133 Waterfox Dr</t>
  </si>
  <si>
    <t>SARAH JEAN WACK</t>
  </si>
  <si>
    <t>3449 Pineway Dr</t>
  </si>
  <si>
    <t>SARAH JOHNSON</t>
  </si>
  <si>
    <t>SARAH L SAYRE</t>
  </si>
  <si>
    <t>5916 Rock Hill Ln</t>
  </si>
  <si>
    <t>SARAH MARIE WAXLER</t>
  </si>
  <si>
    <t>2259 Marengo St</t>
  </si>
  <si>
    <t>SARAH MONROE</t>
  </si>
  <si>
    <t>6046 Merle St</t>
  </si>
  <si>
    <t>SARAH NYE</t>
  </si>
  <si>
    <t>5928 Little Turtle Trl</t>
  </si>
  <si>
    <t>SARAH PLATZ</t>
  </si>
  <si>
    <t>6117 Welsford Ct</t>
  </si>
  <si>
    <t>SARAH RAE BREWIS</t>
  </si>
  <si>
    <t>1664 Copley Dr</t>
  </si>
  <si>
    <t>SARAH RANKINS</t>
  </si>
  <si>
    <t>219 Wilber St</t>
  </si>
  <si>
    <t>SARAH RENEE WOLLSTONECRAFT</t>
  </si>
  <si>
    <t>3160 Matson St Apt 27</t>
  </si>
  <si>
    <t>SARAH STEPHENS</t>
  </si>
  <si>
    <t>3227 Drummond Rd</t>
  </si>
  <si>
    <t>SARAH WILK</t>
  </si>
  <si>
    <t>1640 Bond St</t>
  </si>
  <si>
    <t>SARALYNNE PELC</t>
  </si>
  <si>
    <t>7641 Berridge Rd</t>
  </si>
  <si>
    <t>SARENA KINNEBREW</t>
  </si>
  <si>
    <t>1111 Gordon Street</t>
  </si>
  <si>
    <t>SARINA MULLINS</t>
  </si>
  <si>
    <t>1841 Eastgate Rd</t>
  </si>
  <si>
    <t>Sauvignon Harris</t>
  </si>
  <si>
    <t>521 E. Hudson</t>
  </si>
  <si>
    <t>SAVAGE RYAN</t>
  </si>
  <si>
    <t>2136 Broadway</t>
  </si>
  <si>
    <t>SAVANNAH HARRIS</t>
  </si>
  <si>
    <t>1232 Hillcrest Ave</t>
  </si>
  <si>
    <t>SAVANNAH JANE MORGAN</t>
  </si>
  <si>
    <t>4940 Burkewood Ct Apt 203</t>
  </si>
  <si>
    <t>SAVANNAH LYNN DAVIS</t>
  </si>
  <si>
    <t>6413 Glenhurst Dr Apt 1</t>
  </si>
  <si>
    <t>SAVANNAH LYNN HINDE</t>
  </si>
  <si>
    <t>1434 Wilderness Dr</t>
  </si>
  <si>
    <t>Savannah R. Salazar Holmes</t>
  </si>
  <si>
    <t>1216 Camden St</t>
  </si>
  <si>
    <t>SCHAFFER GREGORY</t>
  </si>
  <si>
    <t>549 Oakdale</t>
  </si>
  <si>
    <t>SCHAVE,BRENDA</t>
  </si>
  <si>
    <t>2045 Ketner Ave</t>
  </si>
  <si>
    <t>Scherting, David</t>
  </si>
  <si>
    <t>Po Box 262</t>
  </si>
  <si>
    <t>SCHIMMEL FRED</t>
  </si>
  <si>
    <t>239 Maryland</t>
  </si>
  <si>
    <t>SCHLAGETER THOMAS G</t>
  </si>
  <si>
    <t>Schmidlin, Inc.</t>
  </si>
  <si>
    <t>6810 Dorr St.</t>
  </si>
  <si>
    <t>Schmidlin, Tamara Ann</t>
  </si>
  <si>
    <t>Dd/Sep 2019</t>
  </si>
  <si>
    <t>SCHNELL PAULINE M</t>
  </si>
  <si>
    <t>1449 Pieper Dr</t>
  </si>
  <si>
    <t>SCHOCH FEBE   JAMES H ELLIS III</t>
  </si>
  <si>
    <t>212 S Park Avenue</t>
  </si>
  <si>
    <t>SCHOEWE DAVID</t>
  </si>
  <si>
    <t>2864 Wyndale</t>
  </si>
  <si>
    <t>SCHOUTEN FAMILY</t>
  </si>
  <si>
    <t>11956 North 63Rd Place</t>
  </si>
  <si>
    <t>Scottsdale</t>
  </si>
  <si>
    <t>SCHRECONGOST GREGORY</t>
  </si>
  <si>
    <t>2126 Champlain</t>
  </si>
  <si>
    <t>SCHULTZ VINSON</t>
  </si>
  <si>
    <t>5722 Telegraph</t>
  </si>
  <si>
    <t>SCHUYLER L KNACKSTEDT</t>
  </si>
  <si>
    <t>4612 Weldwood Ln</t>
  </si>
  <si>
    <t>SCICERE CHRISTINA</t>
  </si>
  <si>
    <t>448 E Hudson</t>
  </si>
  <si>
    <t>SCOTT A CRIPPS</t>
  </si>
  <si>
    <t>3426 Nordic Way Dr</t>
  </si>
  <si>
    <t>SCOTT A PIERCE</t>
  </si>
  <si>
    <t>4832 Westcliffe Ct</t>
  </si>
  <si>
    <t>SCOTT A TUCKER</t>
  </si>
  <si>
    <t>2139 Evergreen Rd Apt 3</t>
  </si>
  <si>
    <t>SCOTT ALLAN SELLERS</t>
  </si>
  <si>
    <t>SCOTT ALLEN WEBER</t>
  </si>
  <si>
    <t>410 Elm St</t>
  </si>
  <si>
    <t>SCOTT BALLARD</t>
  </si>
  <si>
    <t>2226 Meadowwood Dr</t>
  </si>
  <si>
    <t>SCOTT C RICHARDSON</t>
  </si>
  <si>
    <t>2623 Barrington Drive</t>
  </si>
  <si>
    <t>SCOTT DAVID TUCKER</t>
  </si>
  <si>
    <t>132 Pineview Dr</t>
  </si>
  <si>
    <t>SCOTT DENNIS NEWSOM</t>
  </si>
  <si>
    <t>7537 Rymoor Ct</t>
  </si>
  <si>
    <t>SCOTT DIEFENBACH</t>
  </si>
  <si>
    <t>1938 Bucklew Dr</t>
  </si>
  <si>
    <t>SCOTT E SPENCER</t>
  </si>
  <si>
    <t>241 N Superior Street Suite 20</t>
  </si>
  <si>
    <t>SCOTT EBEL</t>
  </si>
  <si>
    <t>SCOTT EDDIE</t>
  </si>
  <si>
    <t>737 Woodstock Avenue</t>
  </si>
  <si>
    <t>SCOTT F LIGHT</t>
  </si>
  <si>
    <t>4048 Stock Ave</t>
  </si>
  <si>
    <t>SCOTT FELZER</t>
  </si>
  <si>
    <t>12107 Sylvania Ave</t>
  </si>
  <si>
    <t>SCOTT FLATHERS</t>
  </si>
  <si>
    <t>7434 Addler St</t>
  </si>
  <si>
    <t>SCOTT J SEHLHORST</t>
  </si>
  <si>
    <t>7502 Hickory Valley Dr</t>
  </si>
  <si>
    <t>Scott J. Saum</t>
  </si>
  <si>
    <t>320 N. Michigan, 2Nd Fl.</t>
  </si>
  <si>
    <t>2023 Est 000799 - Est. Of Michele Lee Keener</t>
  </si>
  <si>
    <t>SCOTT KAUFMAN</t>
  </si>
  <si>
    <t>640 Coeli Dr</t>
  </si>
  <si>
    <t>SCOTT KERSCHNER</t>
  </si>
  <si>
    <t>7540 Royal Timbers Ln</t>
  </si>
  <si>
    <t>SCOTT LIGHT</t>
  </si>
  <si>
    <t>3251 138Th St</t>
  </si>
  <si>
    <t>SCOTT OERTHER</t>
  </si>
  <si>
    <t>6537 Cornwall Ct</t>
  </si>
  <si>
    <t>SCOTT PERROTTE</t>
  </si>
  <si>
    <t>5625 Olde Post Rd</t>
  </si>
  <si>
    <t>SCOTT RICHARD PEARSON</t>
  </si>
  <si>
    <t>402 Harris Ct</t>
  </si>
  <si>
    <t>SCOTT ROBB</t>
  </si>
  <si>
    <t>3656 Sylvanwood Dr</t>
  </si>
  <si>
    <t>Scott Saum</t>
  </si>
  <si>
    <t>320 N. Michigan St. 2Nd Floor</t>
  </si>
  <si>
    <t>SCOTT SHULTZ</t>
  </si>
  <si>
    <t>346 Ivanhill Rd</t>
  </si>
  <si>
    <t>SCOTT THOMAS WALLERS</t>
  </si>
  <si>
    <t>2550 Luddington Dr</t>
  </si>
  <si>
    <t>Scott Uveges</t>
  </si>
  <si>
    <t>27 Moorish Ave.</t>
  </si>
  <si>
    <t>Scott Valare</t>
  </si>
  <si>
    <t>8101 Fulton Lucas Rd</t>
  </si>
  <si>
    <t>Liberty Center</t>
  </si>
  <si>
    <t>SCOTT VINCENT HALBUR</t>
  </si>
  <si>
    <t>1525 Turnau Rd</t>
  </si>
  <si>
    <t>SCOTT WESTHOVEN</t>
  </si>
  <si>
    <t>3928 Harrowsfield Rd</t>
  </si>
  <si>
    <t>SCRUGGS BRAYLIN</t>
  </si>
  <si>
    <t>901 Vance</t>
  </si>
  <si>
    <t>Sean Christopher Boswell</t>
  </si>
  <si>
    <t>SEAN D JAMES</t>
  </si>
  <si>
    <t>5547 Olde Post Rd</t>
  </si>
  <si>
    <t>SEAN DAY</t>
  </si>
  <si>
    <t>590 Sylvandale Ave</t>
  </si>
  <si>
    <t>SEAN EAST</t>
  </si>
  <si>
    <t>5043 Trellis Way</t>
  </si>
  <si>
    <t>SEAN G MELVIN</t>
  </si>
  <si>
    <t>4723 Skelly Rd</t>
  </si>
  <si>
    <t>SEAN HAMILTON</t>
  </si>
  <si>
    <t>6119 Seaman Rd</t>
  </si>
  <si>
    <t>SEAN KOERBER</t>
  </si>
  <si>
    <t>7436 Winterberry Ct</t>
  </si>
  <si>
    <t>SEAN M LYONS</t>
  </si>
  <si>
    <t>3934 Drummond Rd</t>
  </si>
  <si>
    <t>SEAN M MACDERMID</t>
  </si>
  <si>
    <t>5602 304Th St</t>
  </si>
  <si>
    <t>SEAN MCDONAGH</t>
  </si>
  <si>
    <t>2415 Shoreland Ave</t>
  </si>
  <si>
    <t>SEAN MCLAUGHLIN</t>
  </si>
  <si>
    <t>2717 Emmick Dr</t>
  </si>
  <si>
    <t>SEAN MORRIS</t>
  </si>
  <si>
    <t>2462 Old Stone Ct Apt 6</t>
  </si>
  <si>
    <t>SEAN SCHERMER</t>
  </si>
  <si>
    <t>2352 Torgler Ave</t>
  </si>
  <si>
    <t>SEATREON BROWN</t>
  </si>
  <si>
    <t>5050 Kitchener Dr</t>
  </si>
  <si>
    <t>SEC HOUSING &amp; URBAN DEV</t>
  </si>
  <si>
    <t>451 7Th Street S W</t>
  </si>
  <si>
    <t>SEIF NOEL</t>
  </si>
  <si>
    <t>5800 Monreo St Blvd H</t>
  </si>
  <si>
    <t>SELECT PORTFOLIO SERVICING</t>
  </si>
  <si>
    <t>P.O. Box 9202</t>
  </si>
  <si>
    <t>SELF HELP VENTURES FUND</t>
  </si>
  <si>
    <t>SEN ZOLNAI</t>
  </si>
  <si>
    <t>2016 Lehman Ave</t>
  </si>
  <si>
    <t>SENECA HARDEN</t>
  </si>
  <si>
    <t>1709 Spielbusch Ave Ste 100</t>
  </si>
  <si>
    <t>4303 Talmadge Rd                     Ste 201</t>
  </si>
  <si>
    <t>SENECA WEIRICH</t>
  </si>
  <si>
    <t>1709 Spielbusch Avenue Suite 100</t>
  </si>
  <si>
    <t>SENG O BROWN</t>
  </si>
  <si>
    <t>6549 Abbey Run</t>
  </si>
  <si>
    <t>SENSABAUGH STORM L</t>
  </si>
  <si>
    <t>5724 Gay St Apt E3</t>
  </si>
  <si>
    <t>SERGIO ACOSTA</t>
  </si>
  <si>
    <t>6530 Danny Ln</t>
  </si>
  <si>
    <t>SERRANO ANIBAL</t>
  </si>
  <si>
    <t>230 13Th</t>
  </si>
  <si>
    <t>SERRES-BRONSON TRA</t>
  </si>
  <si>
    <t>1 Unknown</t>
  </si>
  <si>
    <t>SERVICELINK</t>
  </si>
  <si>
    <t>1355 Cherrington Pkwy</t>
  </si>
  <si>
    <t>Moon Township</t>
  </si>
  <si>
    <t>SERVICEMAC LLC</t>
  </si>
  <si>
    <t>Set Apart Sales LLC</t>
  </si>
  <si>
    <t>17 W Morrill Ave</t>
  </si>
  <si>
    <t>Seth Corley</t>
  </si>
  <si>
    <t>636 Boalt St.</t>
  </si>
  <si>
    <t>SETH D ARCHER</t>
  </si>
  <si>
    <t>3134 Ravenwood Blvd</t>
  </si>
  <si>
    <t>SETH GEHRIG SCHOLZ</t>
  </si>
  <si>
    <t>3623 Watson Ave Unit 2</t>
  </si>
  <si>
    <t>SETH WILLIAM LOVE</t>
  </si>
  <si>
    <t>7302 Woodsman Cir</t>
  </si>
  <si>
    <t>SEVERIN DAN</t>
  </si>
  <si>
    <t>6222 Lewis</t>
  </si>
  <si>
    <t>SEYMORE SYREETA</t>
  </si>
  <si>
    <t>3001 Fulton</t>
  </si>
  <si>
    <t>SHAD DYLAN MARTIN</t>
  </si>
  <si>
    <t>4272 Ann Rose Ct</t>
  </si>
  <si>
    <t>SHADOW WOODS HOMEOWNDERS ASS</t>
  </si>
  <si>
    <t>2402 Barrington Dr</t>
  </si>
  <si>
    <t>SHAFFER PAUL</t>
  </si>
  <si>
    <t>One Seagate Ste 1845</t>
  </si>
  <si>
    <t>SHALONDA WIMBERLY</t>
  </si>
  <si>
    <t>623 Waybridge Rd</t>
  </si>
  <si>
    <t>Shamir Watson</t>
  </si>
  <si>
    <t>81 Birmingham Ter</t>
  </si>
  <si>
    <t>SHANE ALEXANDER COWSON</t>
  </si>
  <si>
    <t>348 E Oakland</t>
  </si>
  <si>
    <t>SHANE UNKLE</t>
  </si>
  <si>
    <t>17 Tyler St</t>
  </si>
  <si>
    <t>SHANNON ARMSTRONG GASTON</t>
  </si>
  <si>
    <t>3559 Turret Green Dr</t>
  </si>
  <si>
    <t>SHANNON BENTON</t>
  </si>
  <si>
    <t>600 Vine Street, Ste 412</t>
  </si>
  <si>
    <t>SHANNON E SMOLENSKI</t>
  </si>
  <si>
    <t>7016 Madison Ave</t>
  </si>
  <si>
    <t>SHANNON HAAS</t>
  </si>
  <si>
    <t>3422 Beverly Drive</t>
  </si>
  <si>
    <t>SHANNON HOROSEWSKI</t>
  </si>
  <si>
    <t>1931 S Ottawa Cove Dr Apt 1D</t>
  </si>
  <si>
    <t>SHANNON M DUQUE</t>
  </si>
  <si>
    <t>234 Willard St</t>
  </si>
  <si>
    <t>SHANNON MARIE BURK</t>
  </si>
  <si>
    <t>1643 S Cove Blvd</t>
  </si>
  <si>
    <t>SHANNON MARIE LUCE</t>
  </si>
  <si>
    <t>1924 Airline Ave Lowr</t>
  </si>
  <si>
    <t>SHANNON MCELYA</t>
  </si>
  <si>
    <t>5875 Yermo Dr                             Apt 105</t>
  </si>
  <si>
    <t>Shannon Neumann</t>
  </si>
  <si>
    <t>1644 Fox Run</t>
  </si>
  <si>
    <t>SHANNON SANFORD</t>
  </si>
  <si>
    <t>9026 Cedar Berry Ct</t>
  </si>
  <si>
    <t>Shannon Spradlin</t>
  </si>
  <si>
    <t>9647 Oak Shadow Ct</t>
  </si>
  <si>
    <t>SHANNON SPRADLIN</t>
  </si>
  <si>
    <t>SHANTAE DIONE MCCARVER</t>
  </si>
  <si>
    <t>6203 Calla Ln</t>
  </si>
  <si>
    <t>Shantel Griffin</t>
  </si>
  <si>
    <t>505 N Dorcas Rd</t>
  </si>
  <si>
    <t>Shantel Perkins</t>
  </si>
  <si>
    <t>1563 Charmaine Dr</t>
  </si>
  <si>
    <t>SHANTEL PERKINS</t>
  </si>
  <si>
    <t>655 Howland Ave</t>
  </si>
  <si>
    <t>SHAQUEVIA ADAMS</t>
  </si>
  <si>
    <t>757 Brinton Dr</t>
  </si>
  <si>
    <t>SHARI RAYMOND</t>
  </si>
  <si>
    <t>7141 Gillingham Ct</t>
  </si>
  <si>
    <t>SHARITA HEARD</t>
  </si>
  <si>
    <t>316 N Michigan Suite 225</t>
  </si>
  <si>
    <t>SHARMA, UDAYA</t>
  </si>
  <si>
    <t>Aud Oct/Nov 19</t>
  </si>
  <si>
    <t>SHARON BISSONETTE</t>
  </si>
  <si>
    <t>7902 Sonoma Dr</t>
  </si>
  <si>
    <t>Sharon Collier</t>
  </si>
  <si>
    <t>3359 Blackstone Dr</t>
  </si>
  <si>
    <t>SHARON GRAFF</t>
  </si>
  <si>
    <t>7173 Longwater Dr</t>
  </si>
  <si>
    <t>SHARON KOPF</t>
  </si>
  <si>
    <t>2658 Drummond Rd</t>
  </si>
  <si>
    <t>SHARON M STOFAN</t>
  </si>
  <si>
    <t>10 Homestead Pl</t>
  </si>
  <si>
    <t>SHARP ANDRIA</t>
  </si>
  <si>
    <t>5717 Cresthaven</t>
  </si>
  <si>
    <t>Shaun Lovato</t>
  </si>
  <si>
    <t>7630 Reitz Rd Lot 129</t>
  </si>
  <si>
    <t>SHAUN SAGER</t>
  </si>
  <si>
    <t>1728 Meadowhill Ct</t>
  </si>
  <si>
    <t>SHAUN YOUNG</t>
  </si>
  <si>
    <t>55 Public Square Ste 800</t>
  </si>
  <si>
    <t>SHAVERS CHARLES</t>
  </si>
  <si>
    <t>1062 South Reynolds Road</t>
  </si>
  <si>
    <t>SHAVON N MCCLAIN</t>
  </si>
  <si>
    <t>3427 Beverly Dr Apt 4</t>
  </si>
  <si>
    <t>SHAW BRIAN</t>
  </si>
  <si>
    <t>610 Adams St</t>
  </si>
  <si>
    <t>SHAW DOROTHY</t>
  </si>
  <si>
    <t>4115 Bowen Road</t>
  </si>
  <si>
    <t>SHAWAKER PETER</t>
  </si>
  <si>
    <t>3434 Pelham</t>
  </si>
  <si>
    <t>SHAWN DOUGLAS DUNCAN</t>
  </si>
  <si>
    <t>1863 Plympton Cir</t>
  </si>
  <si>
    <t>SHAWN E WRIGHT</t>
  </si>
  <si>
    <t>1912 W Alexis Rd</t>
  </si>
  <si>
    <t>SHAWN FINNEGAN</t>
  </si>
  <si>
    <t>4243 Whiteford Rd</t>
  </si>
  <si>
    <t>SHAWN LOUIS SNYDER</t>
  </si>
  <si>
    <t>SHAWN LOVATO</t>
  </si>
  <si>
    <t>SHAWN M YAPRAGIGUR</t>
  </si>
  <si>
    <t>4450 Island View Dr</t>
  </si>
  <si>
    <t>Shawn M. Dowling D.B.A. S. Dowling Consulting and Services LLC</t>
  </si>
  <si>
    <t>1561 Saddlebrook Ct.</t>
  </si>
  <si>
    <t>Shawn Marie Crosby</t>
  </si>
  <si>
    <t>1706 Nevada St</t>
  </si>
  <si>
    <t>SHAWN TAYLOR</t>
  </si>
  <si>
    <t>5543 Hidden Pines Way</t>
  </si>
  <si>
    <t>SHAWN THOMAS MOHLER</t>
  </si>
  <si>
    <t>628 Cuba St</t>
  </si>
  <si>
    <t>SHAWN TRAVIS</t>
  </si>
  <si>
    <t>1811 Giant St</t>
  </si>
  <si>
    <t>SHAWN TYLER SCHROEDER</t>
  </si>
  <si>
    <t>2465 Scottwood Ave</t>
  </si>
  <si>
    <t>SHAWNA BURCH</t>
  </si>
  <si>
    <t>4639 Gaines Mill Dr</t>
  </si>
  <si>
    <t>SHAWNA M SUTTON-CHEATHAM</t>
  </si>
  <si>
    <t>1572 Booth Ave</t>
  </si>
  <si>
    <t>Shawna Spears</t>
  </si>
  <si>
    <t>31932 Little Flock Circle</t>
  </si>
  <si>
    <t>Walker</t>
  </si>
  <si>
    <t>2024 Est 1516 Estate Of John Wesley Spears</t>
  </si>
  <si>
    <t>SHAWNA YVETTE MADISON</t>
  </si>
  <si>
    <t>359 Victoria Pl</t>
  </si>
  <si>
    <t>SHAYNA RODRIGUEZ</t>
  </si>
  <si>
    <t>5865 Porsha Dr</t>
  </si>
  <si>
    <t>Sheby Groves</t>
  </si>
  <si>
    <t>852 S 13Th Street</t>
  </si>
  <si>
    <t>SHEENA SWICK</t>
  </si>
  <si>
    <t>20 Birckhead Pl</t>
  </si>
  <si>
    <t>SHEETS,THOMAS</t>
  </si>
  <si>
    <t>3323 Mcgregor Ln Apt 1</t>
  </si>
  <si>
    <t>SHEILA HECK</t>
  </si>
  <si>
    <t>834 Booth Ave</t>
  </si>
  <si>
    <t>SHELBI A BLASIUS</t>
  </si>
  <si>
    <t>2624 Gunckel Blvd</t>
  </si>
  <si>
    <t>SHELBI BLASIUS</t>
  </si>
  <si>
    <t>SHELBY ELIZABETH ABBEGLEN</t>
  </si>
  <si>
    <t>2929 Northshore Dr</t>
  </si>
  <si>
    <t>SHELBY J KNERR</t>
  </si>
  <si>
    <t>705 Geneva Ave</t>
  </si>
  <si>
    <t>SHELDON M SLAYBOD</t>
  </si>
  <si>
    <t>241 N Superior St Suite 100</t>
  </si>
  <si>
    <t>SHELLEY JO WYNN</t>
  </si>
  <si>
    <t>4545 Weckerly Rd</t>
  </si>
  <si>
    <t>SHELLY J. ANTKOWIAK</t>
  </si>
  <si>
    <t>1610 Eastgate Rd</t>
  </si>
  <si>
    <t>SHELLY LYNN RAPKE</t>
  </si>
  <si>
    <t>3542 Wallace Blvd</t>
  </si>
  <si>
    <t>SHELTON BRITTNEY D</t>
  </si>
  <si>
    <t>604 Burke Glen Rd</t>
  </si>
  <si>
    <t>SHELTON JONATHAN</t>
  </si>
  <si>
    <t>231 Palmer</t>
  </si>
  <si>
    <t>Shepherd Mechanical LLC</t>
  </si>
  <si>
    <t>6100 American Rd</t>
  </si>
  <si>
    <t>SHEREE M ROSE</t>
  </si>
  <si>
    <t>Sherell Mitchell</t>
  </si>
  <si>
    <t>3545 Nearing Ave</t>
  </si>
  <si>
    <t>Sherer, Karliana</t>
  </si>
  <si>
    <t>611 Robindale Ave</t>
  </si>
  <si>
    <t>SHERESE R BONAPARTE</t>
  </si>
  <si>
    <t>1928 Barrows St</t>
  </si>
  <si>
    <t>SHERI ADKINS</t>
  </si>
  <si>
    <t>1208 Eastgate Rd</t>
  </si>
  <si>
    <t>SHERIDAN CHRISTINE PARKER</t>
  </si>
  <si>
    <t>2456 Morningdew Blvd</t>
  </si>
  <si>
    <t>SHEROIAN SAMANTHA</t>
  </si>
  <si>
    <t>1603 Eaglebrook</t>
  </si>
  <si>
    <t>SHERONDA MARSHALL DAVIS</t>
  </si>
  <si>
    <t>SHERRI LYNN MUNN</t>
  </si>
  <si>
    <t>2116 N 13Th St</t>
  </si>
  <si>
    <t>SHERRITHA LUCAS</t>
  </si>
  <si>
    <t>1815 Balkan Pl</t>
  </si>
  <si>
    <t>Sherry L. Nolan</t>
  </si>
  <si>
    <t>6140 Sunny Lake Ct.</t>
  </si>
  <si>
    <t>SHERRY LUSHER</t>
  </si>
  <si>
    <t>3115 Brock Dr</t>
  </si>
  <si>
    <t>SHERRY M GROVER</t>
  </si>
  <si>
    <t>2039 Willowhill Ln</t>
  </si>
  <si>
    <t>SHERRY RENEE HOGARTH</t>
  </si>
  <si>
    <t>1944 Greenwich Lane</t>
  </si>
  <si>
    <t>SHERRY WOODLEY</t>
  </si>
  <si>
    <t>2039 Canton Avenue</t>
  </si>
  <si>
    <t>SHERWIN HARRIS</t>
  </si>
  <si>
    <t>SHERYL ANN CHILDRESS</t>
  </si>
  <si>
    <t>1716 Welker Ave</t>
  </si>
  <si>
    <t>SHERYL WAINZ</t>
  </si>
  <si>
    <t>4650 Ginger Hill Rd</t>
  </si>
  <si>
    <t>SHIELDS JOSH</t>
  </si>
  <si>
    <t>832 Stickney</t>
  </si>
  <si>
    <t>Shindler Neff, LLP</t>
  </si>
  <si>
    <t>6135 Trust Dr.</t>
  </si>
  <si>
    <t>2021 Est 001721 - Est. Of Richard L. Faunce</t>
  </si>
  <si>
    <t>SHINING STAR RESIDENTAL SERVICES LLC</t>
  </si>
  <si>
    <t>4880 S. Village Dr  Apt 1</t>
  </si>
  <si>
    <t>1071 Artis Place</t>
  </si>
  <si>
    <t>SHIRELY GREEN</t>
  </si>
  <si>
    <t>5542 Planet Ave</t>
  </si>
  <si>
    <t>SHIRLEY ANN NOVOTNY</t>
  </si>
  <si>
    <t>3449 Saint Bernard Dr</t>
  </si>
  <si>
    <t>SHIRLEY HOYLE</t>
  </si>
  <si>
    <t>961 S Reynolds Rd Lot 7</t>
  </si>
  <si>
    <t>SHIVELLA VONNER</t>
  </si>
  <si>
    <t>3141 Warsaw Street</t>
  </si>
  <si>
    <t>SHIVELY ANDREW</t>
  </si>
  <si>
    <t>254 Valleywood</t>
  </si>
  <si>
    <t>SHNIDER RON FOR ALVIN SHNIDER</t>
  </si>
  <si>
    <t>SHOOK REX</t>
  </si>
  <si>
    <t>6661 W. Bancroft Street</t>
  </si>
  <si>
    <t>SHORT TONYA</t>
  </si>
  <si>
    <t>135 Darlene Drive</t>
  </si>
  <si>
    <t>Shuman Motor Sales</t>
  </si>
  <si>
    <t>1111 S. Commerce Rd</t>
  </si>
  <si>
    <t>Siarra Winters</t>
  </si>
  <si>
    <t>2728 Westmar Ct.  Apt 507</t>
  </si>
  <si>
    <t>SIENNA IVY R SULIER</t>
  </si>
  <si>
    <t>6361 Coppersmith Rd</t>
  </si>
  <si>
    <t>Sierra Lajiness</t>
  </si>
  <si>
    <t>6050 Grisell Road</t>
  </si>
  <si>
    <t>SIERRA RENAE CLEARY</t>
  </si>
  <si>
    <t>2716 Worth St</t>
  </si>
  <si>
    <t>SIERRA SCOTT</t>
  </si>
  <si>
    <t>1023 Woodland Ave</t>
  </si>
  <si>
    <t>SIERRA STILES</t>
  </si>
  <si>
    <t>1659 Burgoyne Dr</t>
  </si>
  <si>
    <t>SIERRA WCISLEK</t>
  </si>
  <si>
    <t>5892 Firethorne Dr</t>
  </si>
  <si>
    <t>SIGMA INSURANCE</t>
  </si>
  <si>
    <t>P.O. Box 15508</t>
  </si>
  <si>
    <t>Wilmington</t>
  </si>
  <si>
    <t>DE</t>
  </si>
  <si>
    <t>Signature Bank, National Association</t>
  </si>
  <si>
    <t>P.O. Box 4517</t>
  </si>
  <si>
    <t>Carol Stream</t>
  </si>
  <si>
    <t>SIGURDSON EMILY J</t>
  </si>
  <si>
    <t>305 Utah</t>
  </si>
  <si>
    <t>SILER ROY THOMAS JR</t>
  </si>
  <si>
    <t>5718 Harvest Ln</t>
  </si>
  <si>
    <t>SILER STEVEN</t>
  </si>
  <si>
    <t>2438 Jamestown</t>
  </si>
  <si>
    <t>SIMMONS ANTHONY</t>
  </si>
  <si>
    <t>1301 Palmetto</t>
  </si>
  <si>
    <t>SIMMONS TAVELL</t>
  </si>
  <si>
    <t>SIMON PHYLLIS</t>
  </si>
  <si>
    <t>1001 S Reynolds Road</t>
  </si>
  <si>
    <t>SIMON SCOTT</t>
  </si>
  <si>
    <t>6405 Glenhurst</t>
  </si>
  <si>
    <t>SIMONE JASCH</t>
  </si>
  <si>
    <t>1018 Jefferson Ave Apt 403</t>
  </si>
  <si>
    <t>SIMS,LA KEBRA</t>
  </si>
  <si>
    <t>5603 Cresthaven Ln</t>
  </si>
  <si>
    <t>SIRLEMA M CROWLEY</t>
  </si>
  <si>
    <t>2004 Welker Ave</t>
  </si>
  <si>
    <t>SISLER JONATHAN</t>
  </si>
  <si>
    <t>SKAIDRITE STELZER</t>
  </si>
  <si>
    <t>3308 Goddard Road</t>
  </si>
  <si>
    <t>SKALSKI KIMBERLEY</t>
  </si>
  <si>
    <t>2639 W Alexis</t>
  </si>
  <si>
    <t>Skye Carter</t>
  </si>
  <si>
    <t>4437 Overland Pkwy</t>
  </si>
  <si>
    <t>Skyler Jacob Mulinix Sr.</t>
  </si>
  <si>
    <t>554 Hampton Ave.</t>
  </si>
  <si>
    <t>SKYLIE ELIZABETH OHLMAN</t>
  </si>
  <si>
    <t>919 Clifton Blvd</t>
  </si>
  <si>
    <t>SKYLYR BAILEY</t>
  </si>
  <si>
    <t>Po Box 118031</t>
  </si>
  <si>
    <t>SkyOne Federal Credit Union</t>
  </si>
  <si>
    <t>Po Box 5003</t>
  </si>
  <si>
    <t>Hawthorne</t>
  </si>
  <si>
    <t>Common Pleas</t>
  </si>
  <si>
    <t>SLEMP TRAVIS</t>
  </si>
  <si>
    <t>15779 Champaigne</t>
  </si>
  <si>
    <t>Allen Park</t>
  </si>
  <si>
    <t>SLUPSKI,DARLENE</t>
  </si>
  <si>
    <t>2323 Shoreland Ave Apt 20</t>
  </si>
  <si>
    <t>SMILEY,NOURA</t>
  </si>
  <si>
    <t>2604 Wealdstone Rd</t>
  </si>
  <si>
    <t>SMITH AMBER</t>
  </si>
  <si>
    <t>221 Kemmerling Street</t>
  </si>
  <si>
    <t>Gibsonburg</t>
  </si>
  <si>
    <t>SMITH BRADLEY</t>
  </si>
  <si>
    <t>3039 135 Th</t>
  </si>
  <si>
    <t>SMITH CHERYL</t>
  </si>
  <si>
    <t>5435 Brown Road</t>
  </si>
  <si>
    <t>SMITH JACK</t>
  </si>
  <si>
    <t>2030 Christian Ave</t>
  </si>
  <si>
    <t>SMITH JAEQUAN</t>
  </si>
  <si>
    <t>915 Vance</t>
  </si>
  <si>
    <t>SMITH KENAN L JR</t>
  </si>
  <si>
    <t>SMITH KENESHA</t>
  </si>
  <si>
    <t>2601 Briar Lane</t>
  </si>
  <si>
    <t>SMITH MAMIE L</t>
  </si>
  <si>
    <t>807 Belmont</t>
  </si>
  <si>
    <t>SMITH MOMIKA</t>
  </si>
  <si>
    <t>245 Eastern</t>
  </si>
  <si>
    <t>SMITH ROBERT   JAMES R GUCKER ESQ</t>
  </si>
  <si>
    <t>Po Box 340</t>
  </si>
  <si>
    <t>SMITH ROLFES</t>
  </si>
  <si>
    <t>300 Buttermilk Pike Suite 324</t>
  </si>
  <si>
    <t>Ft Mitchell</t>
  </si>
  <si>
    <t>SMITH WILLIE E</t>
  </si>
  <si>
    <t>1611 Woodland</t>
  </si>
  <si>
    <t>SMITH,ELIZABETH</t>
  </si>
  <si>
    <t>749 Mayfair Blvd</t>
  </si>
  <si>
    <t>SMITH,ROBERT</t>
  </si>
  <si>
    <t>3217 Glanzman Rd Apt 45</t>
  </si>
  <si>
    <t>SMITLEY,SUZANNE</t>
  </si>
  <si>
    <t>2240 Middlesex Dr</t>
  </si>
  <si>
    <t>SMOOT JOHN</t>
  </si>
  <si>
    <t>916 Evesham</t>
  </si>
  <si>
    <t>Sneaky Pete's Saloon</t>
  </si>
  <si>
    <t>5347 N. Detroit</t>
  </si>
  <si>
    <t>SNIEGOWSKI LINDA</t>
  </si>
  <si>
    <t>5215 303Rd St</t>
  </si>
  <si>
    <t>SNODGRASS MERLE</t>
  </si>
  <si>
    <t>4855 Far Hills Road</t>
  </si>
  <si>
    <t>SNOWDEN LAMAR</t>
  </si>
  <si>
    <t>2939 N Summit</t>
  </si>
  <si>
    <t>SOCIE CHELSEA</t>
  </si>
  <si>
    <t>4138 Royer</t>
  </si>
  <si>
    <t>SOFIA GERONIMO</t>
  </si>
  <si>
    <t>4159 Berwick Ave</t>
  </si>
  <si>
    <t>SOFO SUSAN</t>
  </si>
  <si>
    <t>4400 Vicksburg Drive</t>
  </si>
  <si>
    <t>SOLBERG,ERIC</t>
  </si>
  <si>
    <t>SOLDNER DANIEL</t>
  </si>
  <si>
    <t>2436 Oak Grove Place</t>
  </si>
  <si>
    <t>SOLID ROCK ASSEMBLY OF GOD</t>
  </si>
  <si>
    <t>C/O C Hernandez,  4058 Starr Ave</t>
  </si>
  <si>
    <t>Solidaridad Sin Fronteras, Inc.</t>
  </si>
  <si>
    <t>300 E. 1St Ave  Ste 124</t>
  </si>
  <si>
    <t>Hialeah</t>
  </si>
  <si>
    <t>SOMPONG PONGTANA</t>
  </si>
  <si>
    <t>4038 Grantley Rd</t>
  </si>
  <si>
    <t>SONJA HERGENREDER</t>
  </si>
  <si>
    <t>5846 Curson Dr</t>
  </si>
  <si>
    <t>SONJA RENEE WILSON</t>
  </si>
  <si>
    <t>2275 Auburn Ave</t>
  </si>
  <si>
    <t>SONNY LEE BLOOMFIELD</t>
  </si>
  <si>
    <t>2058 Hoops Dr</t>
  </si>
  <si>
    <t>SONYA BROWN</t>
  </si>
  <si>
    <t>410 Conrad Ave</t>
  </si>
  <si>
    <t>SONYA PERDUE</t>
  </si>
  <si>
    <t>863 Colburn St.</t>
  </si>
  <si>
    <t>SOPHIA TAYLOR-RICHARDS</t>
  </si>
  <si>
    <t>18751 Fitzpatrick A9</t>
  </si>
  <si>
    <t>SOTNYK TED</t>
  </si>
  <si>
    <t>130 Gradolph</t>
  </si>
  <si>
    <t>Southeast Financial</t>
  </si>
  <si>
    <t>131 Belle Forest Circle #210</t>
  </si>
  <si>
    <t>SOUTHWARD JENNA</t>
  </si>
  <si>
    <t>2386 Vivian</t>
  </si>
  <si>
    <t>SPADE SHARON</t>
  </si>
  <si>
    <t>1212 Halstead</t>
  </si>
  <si>
    <t>SPC Specialty Products, LLC</t>
  </si>
  <si>
    <t>Po Box 370</t>
  </si>
  <si>
    <t>SPEARS BRYAN</t>
  </si>
  <si>
    <t>4746 Ventura</t>
  </si>
  <si>
    <t>SPECIAL CARE SERVICES OF OHIO LLC</t>
  </si>
  <si>
    <t>P O Box 80042</t>
  </si>
  <si>
    <t>SPECIALIZED LOAN SERVICING LLC</t>
  </si>
  <si>
    <t>1771 W Diehl Rd Ste 120</t>
  </si>
  <si>
    <t>Spectranet Holdings LLC</t>
  </si>
  <si>
    <t>16192 Coastal Hwy</t>
  </si>
  <si>
    <t>Lewes</t>
  </si>
  <si>
    <t>Spectranet Holdings, LLC</t>
  </si>
  <si>
    <t>1121, 1685 H Street</t>
  </si>
  <si>
    <t>Blaine</t>
  </si>
  <si>
    <t>SPENGLER NATHANSON</t>
  </si>
  <si>
    <t>SPENGLER NATHANSON PLL</t>
  </si>
  <si>
    <t>900 Adams St</t>
  </si>
  <si>
    <t>SPENGLER NATHANSON PPL</t>
  </si>
  <si>
    <t>900 Adams</t>
  </si>
  <si>
    <t>SPICER JAHLEEL</t>
  </si>
  <si>
    <t>1135 N Reynolds</t>
  </si>
  <si>
    <t>SPRAGUE STEVE</t>
  </si>
  <si>
    <t>1327 S Wheeling Street</t>
  </si>
  <si>
    <t>Springfield Township</t>
  </si>
  <si>
    <t>7617 Angola Rd</t>
  </si>
  <si>
    <t>SSA DEBT MANAGEMENT SECTION</t>
  </si>
  <si>
    <t>P.O. Box 2861</t>
  </si>
  <si>
    <t>Philadelphia</t>
  </si>
  <si>
    <t>ST JAMES THERAPY CENTER LTD</t>
  </si>
  <si>
    <t>5580 Monroe St</t>
  </si>
  <si>
    <t>STACEY BLANTON</t>
  </si>
  <si>
    <t>2927 Middlesex Dr</t>
  </si>
  <si>
    <t>STACI JANEEN MCDANIEL</t>
  </si>
  <si>
    <t>2524 W Village Dr</t>
  </si>
  <si>
    <t>STACIE KING</t>
  </si>
  <si>
    <t>6524 Antoinette Ln</t>
  </si>
  <si>
    <t>Stacy Hester</t>
  </si>
  <si>
    <t>C/O 426 Douglas St.</t>
  </si>
  <si>
    <t>STACY KRAWETZKE</t>
  </si>
  <si>
    <t>5139 Willow Glen Rd</t>
  </si>
  <si>
    <t>STACY LEE BERNAL</t>
  </si>
  <si>
    <t>5213 Adella St</t>
  </si>
  <si>
    <t>STACY N SCHULZE</t>
  </si>
  <si>
    <t>2146 Wyndhurst Rd</t>
  </si>
  <si>
    <t>STAHL MICHAEL</t>
  </si>
  <si>
    <t>STAHL MICHAEL H</t>
  </si>
  <si>
    <t>316 N Michigan St</t>
  </si>
  <si>
    <t>STAINBROOK JON</t>
  </si>
  <si>
    <t>2125 Bridlewood</t>
  </si>
  <si>
    <t>STALDER JOHN</t>
  </si>
  <si>
    <t>3825 Frampton Drive</t>
  </si>
  <si>
    <t>Standard Insurance Company</t>
  </si>
  <si>
    <t>P.O. Box 82588</t>
  </si>
  <si>
    <t>Lincoln</t>
  </si>
  <si>
    <t>STANFORD BLAKE</t>
  </si>
  <si>
    <t>685 Midfield</t>
  </si>
  <si>
    <t>STANFORD CHRISTOPHER</t>
  </si>
  <si>
    <t>1201 Champlagne</t>
  </si>
  <si>
    <t>STANLEY JONES II</t>
  </si>
  <si>
    <t>25741 Norfolk Street</t>
  </si>
  <si>
    <t>Dearborn Heights</t>
  </si>
  <si>
    <t>STANLEY M OSTAS</t>
  </si>
  <si>
    <t>3630 Elmhurst Rd</t>
  </si>
  <si>
    <t>STANTON PEARL E</t>
  </si>
  <si>
    <t>2629 Lima Avenue</t>
  </si>
  <si>
    <t>STAPLES RENE J</t>
  </si>
  <si>
    <t>1815 W. Bancroft Street</t>
  </si>
  <si>
    <t>STARK JOHN M</t>
  </si>
  <si>
    <t>316 N. Michigan St  Ste 416</t>
  </si>
  <si>
    <t>Starla Coyl</t>
  </si>
  <si>
    <t>C/O Jolene Gustason, 939 Park Ave.</t>
  </si>
  <si>
    <t>Calimesa</t>
  </si>
  <si>
    <t>2021 Est 1858 - Est. Of Virginia V. Hetrick</t>
  </si>
  <si>
    <t>State Dept. of Health (NY)</t>
  </si>
  <si>
    <t>P.O. Box 2602</t>
  </si>
  <si>
    <t>Albany</t>
  </si>
  <si>
    <t>2022 Adp 39 (Lundenberger)</t>
  </si>
  <si>
    <t>STATE FARM INSURANCE</t>
  </si>
  <si>
    <t>Po Box 2375</t>
  </si>
  <si>
    <t>Bloomington</t>
  </si>
  <si>
    <t>STATE FARM INSURANCE COMPANY</t>
  </si>
  <si>
    <t>1360 East Ninth St 500 Img Cen</t>
  </si>
  <si>
    <t>STATE FARM MUTUAL AUTOMOBILE</t>
  </si>
  <si>
    <t>STATE FARM MUTUAL AUTOMOBILE I</t>
  </si>
  <si>
    <t>STATE OF OHIO BUREAU OF WORKER</t>
  </si>
  <si>
    <t>100 S 4 St Ste 300</t>
  </si>
  <si>
    <t>STATE OF OHIO C O MAMMOTH TECH</t>
  </si>
  <si>
    <t>STE</t>
  </si>
  <si>
    <t>2213 Eastbrook (Upper Unit)</t>
  </si>
  <si>
    <t>STEBBINS TODD</t>
  </si>
  <si>
    <t>2439 Valley Brook Dr</t>
  </si>
  <si>
    <t>STEELE DANIEL</t>
  </si>
  <si>
    <t>519 1/2 W Sylvania</t>
  </si>
  <si>
    <t>STEF COGER</t>
  </si>
  <si>
    <t>2121 S Byrne</t>
  </si>
  <si>
    <t>STEFANIE PEER</t>
  </si>
  <si>
    <t>2447 Middlesex Dr</t>
  </si>
  <si>
    <t>STEFANY ROSE FORKAPA</t>
  </si>
  <si>
    <t>628 Brahier Ln</t>
  </si>
  <si>
    <t>STEFON OWENS-WILLIAMS</t>
  </si>
  <si>
    <t>15787 Tracey</t>
  </si>
  <si>
    <t>STEINER NICOLE</t>
  </si>
  <si>
    <t>4183 Brogan</t>
  </si>
  <si>
    <t>STEMMLE ROBERT</t>
  </si>
  <si>
    <t>8934 Royal Oak</t>
  </si>
  <si>
    <t>Stephanea Hignight</t>
  </si>
  <si>
    <t>10247 E Avondale Cir</t>
  </si>
  <si>
    <t>Ypsilanti</t>
  </si>
  <si>
    <t>STEPHANIE A DALLAS</t>
  </si>
  <si>
    <t>3247 Alexandria Dr</t>
  </si>
  <si>
    <t>STEPHANIE A EICHENBERG</t>
  </si>
  <si>
    <t>121 S River Rd</t>
  </si>
  <si>
    <t>STEPHANIE A JOHNSON</t>
  </si>
  <si>
    <t>405 Club House Blvd</t>
  </si>
  <si>
    <t>STEPHANIE BISHOP-ORR</t>
  </si>
  <si>
    <t>32 Estell Circle</t>
  </si>
  <si>
    <t>Hooks</t>
  </si>
  <si>
    <t>STEPHANIE C BARTALDO</t>
  </si>
  <si>
    <t>4510 Boydson Dr</t>
  </si>
  <si>
    <t>STEPHANIE CARRICK</t>
  </si>
  <si>
    <t>2923 Back Bay Dr</t>
  </si>
  <si>
    <t>STEPHANIE K SIEBEN</t>
  </si>
  <si>
    <t>720 Riverside Dr Apt 323</t>
  </si>
  <si>
    <t>STEPHANIE LUCIOW</t>
  </si>
  <si>
    <t>2846 Rathbun Dr Uppr</t>
  </si>
  <si>
    <t>STEPHANIE M WILSON</t>
  </si>
  <si>
    <t>4414 Bellevista Dr</t>
  </si>
  <si>
    <t>STEPHANIE MOLLOHAN</t>
  </si>
  <si>
    <t>5735 Acres Rd</t>
  </si>
  <si>
    <t>STEPHANIE NEUBER</t>
  </si>
  <si>
    <t>6024 Quarrys Edge Ln</t>
  </si>
  <si>
    <t>STEPHANIE SUE AHMER</t>
  </si>
  <si>
    <t>335 Tall Hickory Ct</t>
  </si>
  <si>
    <t>STEPHANIE TALBERT</t>
  </si>
  <si>
    <t>7231 Stonewater Ct</t>
  </si>
  <si>
    <t>STEPHEN D ANTHONY</t>
  </si>
  <si>
    <t>3547 Bellvue Rd</t>
  </si>
  <si>
    <t>STEPHEN D LUTMAN</t>
  </si>
  <si>
    <t>5660 Centerview Dr</t>
  </si>
  <si>
    <t>STEPHEN G KOMOROWSKI</t>
  </si>
  <si>
    <t>2015 N Mccord Rd Apt 119</t>
  </si>
  <si>
    <t>Stephen J Taylor</t>
  </si>
  <si>
    <t>1147 Berdan Ave</t>
  </si>
  <si>
    <t>STEPHEN J YEARGIN</t>
  </si>
  <si>
    <t>6060 Rockside Woods Blvd, Ste 131</t>
  </si>
  <si>
    <t>STEPHEN JOHNSON</t>
  </si>
  <si>
    <t>405 Madison Avenue Suite 1000</t>
  </si>
  <si>
    <t>Stephen M. Grachanin</t>
  </si>
  <si>
    <t>4100 Embassy Pkwy., Ste. 200</t>
  </si>
  <si>
    <t>2020 Est 525 - Est. Of Karl Stephens</t>
  </si>
  <si>
    <t>STEPHEN MICHAEL DOLETZKY</t>
  </si>
  <si>
    <t>3072 Carskaddon Ave Apt 110</t>
  </si>
  <si>
    <t>STEPHEN NICHOLAS DEMAIO</t>
  </si>
  <si>
    <t>3656 Brookside Rd</t>
  </si>
  <si>
    <t>STEPHEN POPOVICH</t>
  </si>
  <si>
    <t>5550 Ryewyck Ct Apt D</t>
  </si>
  <si>
    <t>STEPHEN RM HOTTMANN</t>
  </si>
  <si>
    <t>5 Dellwood Ct</t>
  </si>
  <si>
    <t>STEPHEN ZAMBO</t>
  </si>
  <si>
    <t>2320 Grantwood Dr.</t>
  </si>
  <si>
    <t>STEPHENS BRIANNA</t>
  </si>
  <si>
    <t>118 Everett</t>
  </si>
  <si>
    <t>Sterling McCall &amp; Mike Smith Auto</t>
  </si>
  <si>
    <t>12206 Murpy Rd</t>
  </si>
  <si>
    <t>Stafford</t>
  </si>
  <si>
    <t>STERN DAVID W</t>
  </si>
  <si>
    <t>243 5Th Avenue</t>
  </si>
  <si>
    <t>STERNS SALLY</t>
  </si>
  <si>
    <t>2011 Thornapple</t>
  </si>
  <si>
    <t>STEVE HAYDEN</t>
  </si>
  <si>
    <t>1106 Bernath Parkway</t>
  </si>
  <si>
    <t>STEVE MITCHELL</t>
  </si>
  <si>
    <t>5224 Fairgreen Drive</t>
  </si>
  <si>
    <t>STEVEN A FARR</t>
  </si>
  <si>
    <t>313 S Mccord Rd</t>
  </si>
  <si>
    <t>STEVEN ANDREW MANORE</t>
  </si>
  <si>
    <t>6181 Halfway Ct</t>
  </si>
  <si>
    <t>STEVEN BREEHNE</t>
  </si>
  <si>
    <t>4125 Eastway St</t>
  </si>
  <si>
    <t>STEVEN D SHINAVER</t>
  </si>
  <si>
    <t>2507 Georgetown Ave</t>
  </si>
  <si>
    <t>STEVEN G BRUMMETT</t>
  </si>
  <si>
    <t>9033 Angola Rd</t>
  </si>
  <si>
    <t>STEVEN GARCIA</t>
  </si>
  <si>
    <t>1929 Brussels</t>
  </si>
  <si>
    <t>STEVEN GULLETTE</t>
  </si>
  <si>
    <t>105 W Colony Dr</t>
  </si>
  <si>
    <t>STEVEN JAMES STULL</t>
  </si>
  <si>
    <t>5816 Hill Ave</t>
  </si>
  <si>
    <t>STEVEN JONES</t>
  </si>
  <si>
    <t>3650 Victory Ave</t>
  </si>
  <si>
    <t>STEVEN L CROSSMOCK</t>
  </si>
  <si>
    <t>STEVEN L HANSON</t>
  </si>
  <si>
    <t>3825 Wrens Nest Blvd</t>
  </si>
  <si>
    <t>STEVEN L RICHARD</t>
  </si>
  <si>
    <t>4451 Helmond Ct</t>
  </si>
  <si>
    <t>Steven L. Crossmock</t>
  </si>
  <si>
    <t>416 N. Erie St.</t>
  </si>
  <si>
    <t>2022 Mst 1104 - Minor Settlement Of Mila Beninato</t>
  </si>
  <si>
    <t>STEVEN LORENZ</t>
  </si>
  <si>
    <t>2421 Georgetown Ave</t>
  </si>
  <si>
    <t>STEVEN MEEKS</t>
  </si>
  <si>
    <t>12410 Shaffer Rd</t>
  </si>
  <si>
    <t>STEVEN MICHAEL WEIS</t>
  </si>
  <si>
    <t>4220 Birchall Rd</t>
  </si>
  <si>
    <t>STEVEN MILLS</t>
  </si>
  <si>
    <t>2933 Goddard Rd</t>
  </si>
  <si>
    <t>STEVEN PETERS</t>
  </si>
  <si>
    <t>6457 Danny Ln</t>
  </si>
  <si>
    <t>STEVEN R MUELLER</t>
  </si>
  <si>
    <t>7447 Hill Ave</t>
  </si>
  <si>
    <t>STEVEN R NORTH</t>
  </si>
  <si>
    <t>2040 Collingwood Blvd</t>
  </si>
  <si>
    <t>STEVEN R SELLERS</t>
  </si>
  <si>
    <t>515 Independence Dr</t>
  </si>
  <si>
    <t>STEVEN S CUMMEROW</t>
  </si>
  <si>
    <t>2715 108Th St</t>
  </si>
  <si>
    <t>STEVEN THEISEN</t>
  </si>
  <si>
    <t>2850 123Rd St</t>
  </si>
  <si>
    <t>Steven V Lewandowski</t>
  </si>
  <si>
    <t>1417 Wildwood Rd</t>
  </si>
  <si>
    <t>STEVENS TAMMY M</t>
  </si>
  <si>
    <t>2831 N Summit</t>
  </si>
  <si>
    <t>STEVENSON ANDREW</t>
  </si>
  <si>
    <t>2275 Pickle</t>
  </si>
  <si>
    <t>Stevon L Sutton</t>
  </si>
  <si>
    <t>5518 Austin</t>
  </si>
  <si>
    <t>STEWART GRIFFIN</t>
  </si>
  <si>
    <t>3718 Krenshaw</t>
  </si>
  <si>
    <t>STEWART TITLE COMPANY</t>
  </si>
  <si>
    <t>500 N Broadway Ste 900</t>
  </si>
  <si>
    <t>St. Louis</t>
  </si>
  <si>
    <t>STEWART,MARYJANE</t>
  </si>
  <si>
    <t>5125 Secor Rd Apt 7</t>
  </si>
  <si>
    <t>STIEB,SHIRLEY</t>
  </si>
  <si>
    <t>4436 Garrison Rd</t>
  </si>
  <si>
    <t>STIGER JOHNSON CHRISTOPHER</t>
  </si>
  <si>
    <t>2216 Stirrup Unit 10</t>
  </si>
  <si>
    <t>STIPANCICH,LAURA</t>
  </si>
  <si>
    <t>4046 Stonehenge Dr Apt D</t>
  </si>
  <si>
    <t>STIPP KYLE</t>
  </si>
  <si>
    <t>21742 County Road H</t>
  </si>
  <si>
    <t>Stockman &amp; Son Inc</t>
  </si>
  <si>
    <t>1002 Lagrange</t>
  </si>
  <si>
    <t>STOP AND GO</t>
  </si>
  <si>
    <t>740 South Avenue</t>
  </si>
  <si>
    <t>868 East Broadway Street</t>
  </si>
  <si>
    <t>STRAUSS JOANNE M</t>
  </si>
  <si>
    <t>1217 Jefferson Avenue</t>
  </si>
  <si>
    <t>STRAYER RYAN</t>
  </si>
  <si>
    <t>4028 S Detroit</t>
  </si>
  <si>
    <t>STREEPY GEORGE AND JOYCE</t>
  </si>
  <si>
    <t>1220 Craig Road</t>
  </si>
  <si>
    <t>STRICKLAND,TONEECA</t>
  </si>
  <si>
    <t>2230 Collingwood Blvd Apt B</t>
  </si>
  <si>
    <t>STRINGER JASON</t>
  </si>
  <si>
    <t>742 Waybridge</t>
  </si>
  <si>
    <t>STRUCK JOHN A</t>
  </si>
  <si>
    <t>638 Forsythe</t>
  </si>
  <si>
    <t>STUART J DUDLEY</t>
  </si>
  <si>
    <t>702 Thomas St</t>
  </si>
  <si>
    <t>STUBBS KENDRA</t>
  </si>
  <si>
    <t>1807 Christian #207</t>
  </si>
  <si>
    <t>STURDIVANTJORDAN MARQUIS</t>
  </si>
  <si>
    <t>155 Buckingham</t>
  </si>
  <si>
    <t>Suburban Chevrolet Cadillac</t>
  </si>
  <si>
    <t>3515 Jackson Rd</t>
  </si>
  <si>
    <t>Suburban Chevrolet Cadillac of Ann</t>
  </si>
  <si>
    <t>Suburban Chevrolet of Ann Anbor</t>
  </si>
  <si>
    <t>Suburban Chevrolet of Ann Arbor</t>
  </si>
  <si>
    <t>SUBWAY</t>
  </si>
  <si>
    <t>3324 Secor Road</t>
  </si>
  <si>
    <t>SUE ANN JOHNSTON</t>
  </si>
  <si>
    <t>1110 Elco Ave</t>
  </si>
  <si>
    <t>SUE ANN STRASEL</t>
  </si>
  <si>
    <t>2613 Glenwood Ave</t>
  </si>
  <si>
    <t>SUE POHLER</t>
  </si>
  <si>
    <t>766 Northwest Boulevard</t>
  </si>
  <si>
    <t>Grandview Heights</t>
  </si>
  <si>
    <t>Suketa Patel</t>
  </si>
  <si>
    <t>105 Brunswick Ct</t>
  </si>
  <si>
    <t>SULEMA MITCHELL</t>
  </si>
  <si>
    <t>SULLIVAN KRIST</t>
  </si>
  <si>
    <t>22730 Euclid Ave</t>
  </si>
  <si>
    <t>SULTAN RASHAAD</t>
  </si>
  <si>
    <t>6644 Sue Lane</t>
  </si>
  <si>
    <t>SUMMERVILLE MAURICE</t>
  </si>
  <si>
    <t>1321 Robertson</t>
  </si>
  <si>
    <t>Sun Federal</t>
  </si>
  <si>
    <t>1627 Holland Rd</t>
  </si>
  <si>
    <t>Sun Federal Credit Union</t>
  </si>
  <si>
    <t>1627 Holland Rd.</t>
  </si>
  <si>
    <t>Sunbelt Rentals, Inc.</t>
  </si>
  <si>
    <t>P.O. Box 409211</t>
  </si>
  <si>
    <t>SUNDEEP A MUTGI</t>
  </si>
  <si>
    <t>Po Box 2166</t>
  </si>
  <si>
    <t>500 S Front St Ste 1110</t>
  </si>
  <si>
    <t>SUNGLASS HUT</t>
  </si>
  <si>
    <t>5001 Monroe Street 1565</t>
  </si>
  <si>
    <t>Sunny Gill</t>
  </si>
  <si>
    <t>6110 Hill Ave.</t>
  </si>
  <si>
    <t>SUPERIOR TOL-OH LLC</t>
  </si>
  <si>
    <t>6545 Market Ave N Ste 100</t>
  </si>
  <si>
    <t>Superior Towing &amp; Transport</t>
  </si>
  <si>
    <t>5618 Us 20A</t>
  </si>
  <si>
    <t>SUSAN DURNWALD PARKER</t>
  </si>
  <si>
    <t>5409 Ottawa River Rd</t>
  </si>
  <si>
    <t>Susan Dziengelewski aka Susan Gelewski</t>
  </si>
  <si>
    <t>2589 E. Stevenson Lake Rd.</t>
  </si>
  <si>
    <t>Clare</t>
  </si>
  <si>
    <t>SUSAN ELIZABETH OVERMAN</t>
  </si>
  <si>
    <t>6560 Kingsbridge Dr Apt 1</t>
  </si>
  <si>
    <t>SUSAN HICHBOIN</t>
  </si>
  <si>
    <t>4516 Haddington Dr</t>
  </si>
  <si>
    <t>SUSAN KATHLEEN PALMER</t>
  </si>
  <si>
    <t>3200 Glendale Ave Apt 22</t>
  </si>
  <si>
    <t>SUSAN LAWSON</t>
  </si>
  <si>
    <t>8110 Nico Way</t>
  </si>
  <si>
    <t>Susan Lohmeyer</t>
  </si>
  <si>
    <t>644 Oak St  Lower</t>
  </si>
  <si>
    <t>SUSAN MARIE WOOD</t>
  </si>
  <si>
    <t>4439 Belmar Ave</t>
  </si>
  <si>
    <t>SUSAN METTLER</t>
  </si>
  <si>
    <t>3665 Beverly Dr</t>
  </si>
  <si>
    <t>SUSAN PATRICIA CHILDERS</t>
  </si>
  <si>
    <t>3939 Buell Ave</t>
  </si>
  <si>
    <t>SUSAN ROMSTADT</t>
  </si>
  <si>
    <t>SUSAN STEFFEL</t>
  </si>
  <si>
    <t>1205 Elco Ave</t>
  </si>
  <si>
    <t>SUSAN TERRILL</t>
  </si>
  <si>
    <t>1844 Lynbrook Dr.</t>
  </si>
  <si>
    <t>SUSAN THOMAS</t>
  </si>
  <si>
    <t>727 Wind Breeze Dr</t>
  </si>
  <si>
    <t>SUSANA E LYKINS</t>
  </si>
  <si>
    <t>1771 W Diehl  Suite 120</t>
  </si>
  <si>
    <t>Susana Ornelas</t>
  </si>
  <si>
    <t>339 Burger St</t>
  </si>
  <si>
    <t>Susanna Goblirsch</t>
  </si>
  <si>
    <t>4339 S Detroit Ave</t>
  </si>
  <si>
    <t>Susanna Hetrick</t>
  </si>
  <si>
    <t>3788 County Road 106</t>
  </si>
  <si>
    <t>Lindsey</t>
  </si>
  <si>
    <t>SUSANNE MARGARET DONNAL</t>
  </si>
  <si>
    <t>7945 Winding Ridge Blvd</t>
  </si>
  <si>
    <t>Susanne Winterhalter</t>
  </si>
  <si>
    <t>5544 Ashley Rd</t>
  </si>
  <si>
    <t>SUSSMAN SALLY</t>
  </si>
  <si>
    <t>SUSSMAN SALLY   JOSEPH P JORDAN ESQ</t>
  </si>
  <si>
    <t>SUZANNE CAMPOS</t>
  </si>
  <si>
    <t>206 W Sylvania Ave</t>
  </si>
  <si>
    <t>SUZANNE KAY SPITNALE</t>
  </si>
  <si>
    <t>4634 286Th St</t>
  </si>
  <si>
    <t>SUZANNE M RACZKO</t>
  </si>
  <si>
    <t>5470 San Paulo Dr</t>
  </si>
  <si>
    <t>SWEARENGEN ARTHUR</t>
  </si>
  <si>
    <t>SWEENEY,KATHLEEN</t>
  </si>
  <si>
    <t>3107 Ravenwood Blvd</t>
  </si>
  <si>
    <t>SWEIDEN TAMARA</t>
  </si>
  <si>
    <t>9845 Oak Place Court</t>
  </si>
  <si>
    <t>SYLVESTER D HARRIS</t>
  </si>
  <si>
    <t>521 E Hudson St</t>
  </si>
  <si>
    <t>TAHIYA WYMAN</t>
  </si>
  <si>
    <t>4133 Secor Rd Apt 117</t>
  </si>
  <si>
    <t>TAKARA NUNN</t>
  </si>
  <si>
    <t>5626 Aspen Dr                              Apt A</t>
  </si>
  <si>
    <t>TALMADGE HOP INVESTORS LLC</t>
  </si>
  <si>
    <t>2727 N Holland Sylvania, Suite L</t>
  </si>
  <si>
    <t>TAMARA ASBELL</t>
  </si>
  <si>
    <t>1515 Casimir St</t>
  </si>
  <si>
    <t>Saginaw</t>
  </si>
  <si>
    <t>TAMARA JOAN RAHN</t>
  </si>
  <si>
    <t>5125 Eber Rd</t>
  </si>
  <si>
    <t>TAMARA KORNETT</t>
  </si>
  <si>
    <t>705 Turner Ave</t>
  </si>
  <si>
    <t>TAMARA L WRIGHT</t>
  </si>
  <si>
    <t>2379 Saint James Woods Blvd</t>
  </si>
  <si>
    <t>TAMARA SCHMIDLIN</t>
  </si>
  <si>
    <t>2919 E Lincolnshire Blvd</t>
  </si>
  <si>
    <t>Tamara Smith</t>
  </si>
  <si>
    <t>3110 Oak Grove Pl</t>
  </si>
  <si>
    <t>4538 Torquay Ave</t>
  </si>
  <si>
    <t>TAMARA SMITH</t>
  </si>
  <si>
    <t>3333 Moffat Rd</t>
  </si>
  <si>
    <t>TAMARA VAUGHANT</t>
  </si>
  <si>
    <t>4625 Lewis Avenue</t>
  </si>
  <si>
    <t>TAMARA WOERNER JESSEN</t>
  </si>
  <si>
    <t>12623 Central Ave</t>
  </si>
  <si>
    <t>TAMARIA SEXTON</t>
  </si>
  <si>
    <t>6134 Holliday Dr</t>
  </si>
  <si>
    <t>Tamia Whittington</t>
  </si>
  <si>
    <t>4415 Westway St</t>
  </si>
  <si>
    <t>TAMIA WHITTINGTON</t>
  </si>
  <si>
    <t>TAMICA PETTAWAY</t>
  </si>
  <si>
    <t>1524 Norwood Ave</t>
  </si>
  <si>
    <t>TAMIKA N SAVAGE</t>
  </si>
  <si>
    <t>453 San Jose Dr</t>
  </si>
  <si>
    <t>TAMIKO DAVIS</t>
  </si>
  <si>
    <t>906 Oakwood Ave</t>
  </si>
  <si>
    <t>TAMIYA JYNAE SNEED</t>
  </si>
  <si>
    <t>124 Page St</t>
  </si>
  <si>
    <t>TAMMY GAGE</t>
  </si>
  <si>
    <t>327-1/2 Earlwood Ave</t>
  </si>
  <si>
    <t>Tammy Jean Johnson</t>
  </si>
  <si>
    <t>16672 Bays Rd.</t>
  </si>
  <si>
    <t>Rudolph</t>
  </si>
  <si>
    <t>TAMMY LORETTA HICKS</t>
  </si>
  <si>
    <t>614 E Hudson St</t>
  </si>
  <si>
    <t>TAMMY STOLL</t>
  </si>
  <si>
    <t>7920 Colony Oaks Dr</t>
  </si>
  <si>
    <t>TAMMY SUE KENNELLY</t>
  </si>
  <si>
    <t>5326 Nebraska Ave</t>
  </si>
  <si>
    <t>Tampa Honda</t>
  </si>
  <si>
    <t>11000 N. Florida Ave.</t>
  </si>
  <si>
    <t>Tampa</t>
  </si>
  <si>
    <t>TAMRA DAVIS</t>
  </si>
  <si>
    <t>1473 Sabra Rd</t>
  </si>
  <si>
    <t>TANGELISE NECHELLE VICKERS</t>
  </si>
  <si>
    <t>1205 Steeple Chase Circle  Apt 13C</t>
  </si>
  <si>
    <t>TANYA BENORE</t>
  </si>
  <si>
    <t>4755 298Th St</t>
  </si>
  <si>
    <t>Tanya Delao</t>
  </si>
  <si>
    <t>3418 Belleuve Rd</t>
  </si>
  <si>
    <t>TANYA THERESE HIRSCH</t>
  </si>
  <si>
    <t>5064 Summer Dr</t>
  </si>
  <si>
    <t>TANYA WIGGINS</t>
  </si>
  <si>
    <t>Tara C. Royce</t>
  </si>
  <si>
    <t>341 Hargrave Rd.</t>
  </si>
  <si>
    <t>TARA J USTINE TRINH</t>
  </si>
  <si>
    <t>6962 Ramblehurst Rd</t>
  </si>
  <si>
    <t>TARA JOSLIN</t>
  </si>
  <si>
    <t>6220 W Pembridge Dr</t>
  </si>
  <si>
    <t>TARA JUSTINE TRINH</t>
  </si>
  <si>
    <t>Tara Payton</t>
  </si>
  <si>
    <t>3019 Hartman St.</t>
  </si>
  <si>
    <t>TARIA S BLANCHARD</t>
  </si>
  <si>
    <t>540 E Hudson St</t>
  </si>
  <si>
    <t>TARVIS T PARKS</t>
  </si>
  <si>
    <t>3829 Burton Ave</t>
  </si>
  <si>
    <t>TAS Recovery &amp; Towing</t>
  </si>
  <si>
    <t>1122 N. Detriot</t>
  </si>
  <si>
    <t>Tasha L. Brazzel</t>
  </si>
  <si>
    <t>121 Lyric Ln.</t>
  </si>
  <si>
    <t>TATE JAMES RAMSEY</t>
  </si>
  <si>
    <t>TATKOWSKI JOSEPH</t>
  </si>
  <si>
    <t>5565 Willowood</t>
  </si>
  <si>
    <t>TATUM C BARKHIMER</t>
  </si>
  <si>
    <t>10430 Airport Hwy Lot 110</t>
  </si>
  <si>
    <t>TAVEON CORTEZ ATKINS</t>
  </si>
  <si>
    <t>4230 Garden Park Dr</t>
  </si>
  <si>
    <t>Tawiona Brown</t>
  </si>
  <si>
    <t>24559 Mccutcheonville Rd</t>
  </si>
  <si>
    <t>TAWIONA BROWN</t>
  </si>
  <si>
    <t>3253 Algonquin Pkwy</t>
  </si>
  <si>
    <t>TAYLOR ANDREW HOWARD</t>
  </si>
  <si>
    <t>1211 Harvard Blvd</t>
  </si>
  <si>
    <t>TAYLOR ANTHONY D</t>
  </si>
  <si>
    <t>226 S Detroit Ave</t>
  </si>
  <si>
    <t>TAYLOR ANTWAIN</t>
  </si>
  <si>
    <t>1837 Summit</t>
  </si>
  <si>
    <t>TAYLOR BRYAN</t>
  </si>
  <si>
    <t>Carlton</t>
  </si>
  <si>
    <t>TAYLOR GABRIEL</t>
  </si>
  <si>
    <t>2126 Horton</t>
  </si>
  <si>
    <t>Taylor KIA</t>
  </si>
  <si>
    <t>6100 W Central Ave</t>
  </si>
  <si>
    <t>6300 W Central Ave</t>
  </si>
  <si>
    <t>TAYLOR MARIE LEIG REED</t>
  </si>
  <si>
    <t>3543 Rushland Avenue</t>
  </si>
  <si>
    <t>TAYLOR MATTHEW</t>
  </si>
  <si>
    <t>1214 Corbin</t>
  </si>
  <si>
    <t>TAYLOR MELISSA A</t>
  </si>
  <si>
    <t>1564 Pinewood</t>
  </si>
  <si>
    <t>TAYLOR NICOLE GIBBS</t>
  </si>
  <si>
    <t>3151 Drummond Rd</t>
  </si>
  <si>
    <t>TAYLOR NICOLE HILL</t>
  </si>
  <si>
    <t>1805 Stahlwood Ave</t>
  </si>
  <si>
    <t>TAYLOR PICKETT</t>
  </si>
  <si>
    <t>434 W Alexis Rd Apt 3</t>
  </si>
  <si>
    <t>TAYLOR R GARDNER</t>
  </si>
  <si>
    <t>3230 Centennial Rd Lot 37</t>
  </si>
  <si>
    <t>TAYNOR GERALD</t>
  </si>
  <si>
    <t>TAYNOR GERALD P</t>
  </si>
  <si>
    <t>TCC WIRELESS</t>
  </si>
  <si>
    <t>3315 West Central Avenue</t>
  </si>
  <si>
    <t>TED J MCCLAIN</t>
  </si>
  <si>
    <t>31 Cherokee Drive</t>
  </si>
  <si>
    <t>Girard</t>
  </si>
  <si>
    <t>TEN MASTERS HOLDINGS LLC</t>
  </si>
  <si>
    <t>1617 Antica Dr</t>
  </si>
  <si>
    <t>Brentwood</t>
  </si>
  <si>
    <t>Tenaw Adorie Anore</t>
  </si>
  <si>
    <t>1766 N Westwood Ave, Apt 1806H</t>
  </si>
  <si>
    <t>TENEYCK MICHAEL</t>
  </si>
  <si>
    <t>525 Bush</t>
  </si>
  <si>
    <t>2294 Auburn Avenue</t>
  </si>
  <si>
    <t>TENNILLE MERRI WILLIAMS</t>
  </si>
  <si>
    <t>9659 Oak Shadow Ct</t>
  </si>
  <si>
    <t>TERESA A MONTRI</t>
  </si>
  <si>
    <t>3703 Shamrock Dr</t>
  </si>
  <si>
    <t>TERESA QUYEN LE</t>
  </si>
  <si>
    <t>558 S Stephen St</t>
  </si>
  <si>
    <t>TERESA RUIZ</t>
  </si>
  <si>
    <t>1464 Sunshine St Apt 3</t>
  </si>
  <si>
    <t>TERRANCE A PACE JR</t>
  </si>
  <si>
    <t>7924 W Central Ave               #75</t>
  </si>
  <si>
    <t>Terrance E Ottrix</t>
  </si>
  <si>
    <t>1006 1/2 Norwood Ave</t>
  </si>
  <si>
    <t>Terrance Pace</t>
  </si>
  <si>
    <t>7924 W. Central Ave. #73</t>
  </si>
  <si>
    <t>TERRANCE PACE JR.</t>
  </si>
  <si>
    <t>7924 W. Central Ave #73</t>
  </si>
  <si>
    <t>TERRANCE REEVES</t>
  </si>
  <si>
    <t>405 Madison Avenue, Suite 2300</t>
  </si>
  <si>
    <t>Terrance Sd Harris</t>
  </si>
  <si>
    <t>1537 Bradmore Dr</t>
  </si>
  <si>
    <t>TERRENCE QUINN</t>
  </si>
  <si>
    <t>34 W Central Ave</t>
  </si>
  <si>
    <t>TERRI LANTZ</t>
  </si>
  <si>
    <t>4828 Port Drive</t>
  </si>
  <si>
    <t>TERRI MALLERY</t>
  </si>
  <si>
    <t>4469 Oldenburg Drive</t>
  </si>
  <si>
    <t>Terri Smith</t>
  </si>
  <si>
    <t>816 Eleanor Avenue</t>
  </si>
  <si>
    <t>TERRY DANDINO</t>
  </si>
  <si>
    <t>9665 Maumee Western Rd</t>
  </si>
  <si>
    <t>TERRY FULTON</t>
  </si>
  <si>
    <t>3641 Dean Ave</t>
  </si>
  <si>
    <t>Terry J Snipes</t>
  </si>
  <si>
    <t>1001 Secor Rd</t>
  </si>
  <si>
    <t>TERRY L CLAY</t>
  </si>
  <si>
    <t>3928 Oakfield Dr</t>
  </si>
  <si>
    <t>TERRY RAY SHARP</t>
  </si>
  <si>
    <t>666 Valleywood Dr</t>
  </si>
  <si>
    <t>TERRY S KOEPFER</t>
  </si>
  <si>
    <t>3216 Marsrow Ave</t>
  </si>
  <si>
    <t>THAIS J WHITEHURST</t>
  </si>
  <si>
    <t>10645 Thais Ln</t>
  </si>
  <si>
    <t>THALIA SALAS</t>
  </si>
  <si>
    <t>1822 Balkan Place</t>
  </si>
  <si>
    <t>THARPE RANDY</t>
  </si>
  <si>
    <t>1039 Bancroft St</t>
  </si>
  <si>
    <t>THASIA NAKIE AWAD</t>
  </si>
  <si>
    <t>2301 Portsmouth Ave</t>
  </si>
  <si>
    <t>THE BANK OF NEW YORK</t>
  </si>
  <si>
    <t>THE BANK OF NEW YORK MELLON</t>
  </si>
  <si>
    <t>THE BANK OF NEW YORK MELLON TR</t>
  </si>
  <si>
    <t>The Board of Regents of the University DBA The Univ of Nebraska Medical Ctr</t>
  </si>
  <si>
    <t>982170 Nebraska Medical Ctr.</t>
  </si>
  <si>
    <t>Omaha</t>
  </si>
  <si>
    <t>NE</t>
  </si>
  <si>
    <t>THE BOERST LAW OFFICE</t>
  </si>
  <si>
    <t>413 N Michigan St</t>
  </si>
  <si>
    <t>THE BOLOTIN LAW</t>
  </si>
  <si>
    <t>3232 Executive Parkway</t>
  </si>
  <si>
    <t>THE BOLOTIN LAW OFFICES</t>
  </si>
  <si>
    <t>3232 Executive Pkwy</t>
  </si>
  <si>
    <t>THE DWELLING PLACE</t>
  </si>
  <si>
    <t>P O Box 35</t>
  </si>
  <si>
    <t>The Estate of Christine T. Boyle</t>
  </si>
  <si>
    <t>2004 Est 2570 - Estate Of Robert W. Brooks</t>
  </si>
  <si>
    <t>The Estate of Jedd Bennett</t>
  </si>
  <si>
    <t>Po Box 17083</t>
  </si>
  <si>
    <t>Austin</t>
  </si>
  <si>
    <t>Estate Of Laura A. Bennett</t>
  </si>
  <si>
    <t>The Estate of Lisa A. Boose</t>
  </si>
  <si>
    <t>1807 Garden Ridge Dr, Apt 3</t>
  </si>
  <si>
    <t>The Estate of Veronica L. Kaufman</t>
  </si>
  <si>
    <t>Guardianship Of Veronica L. Kaufman 2020 Gdn 000596</t>
  </si>
  <si>
    <t>THE GERVELIS LAW FIRM</t>
  </si>
  <si>
    <t>THE GUARDIANSHIP OF RUTH DYE</t>
  </si>
  <si>
    <t>THE GUARDIANSHIP OF RUTH DYE   EDWARD J. FISHER</t>
  </si>
  <si>
    <t>THE HUNTINGTON NATIONAL BANK</t>
  </si>
  <si>
    <t>THE IRISH BUFFALO</t>
  </si>
  <si>
    <t>418 E Broadway</t>
  </si>
  <si>
    <t>THE LAW OFFICE OF MARK DAVIS</t>
  </si>
  <si>
    <t>500 Madison Ave Ste 340</t>
  </si>
  <si>
    <t>THE MANHATTAN BUILDING COMPANY</t>
  </si>
  <si>
    <t>THE MONEY SOURCE INC</t>
  </si>
  <si>
    <t>The Ohio Bell Telephone Company</t>
  </si>
  <si>
    <t>D.B.A. At&amp;T Ohio, P.O. Box 5080</t>
  </si>
  <si>
    <t>The Ohio Bell Telephone Company                D.B.A.   AT&amp;T Ohio</t>
  </si>
  <si>
    <t>P.O. Box 5080</t>
  </si>
  <si>
    <t>The Pool Guy LLC</t>
  </si>
  <si>
    <t>2241 W Laskey Rd</t>
  </si>
  <si>
    <t>The Sojourner's Truth Inc.</t>
  </si>
  <si>
    <t>7 East Bancroft St</t>
  </si>
  <si>
    <t>1811 Adams St.</t>
  </si>
  <si>
    <t>The Stengle Group, Ltd.</t>
  </si>
  <si>
    <t>3925 Beechway Blvd</t>
  </si>
  <si>
    <t>THE TOLEDO FIRE DEPT   BOB WALTERS</t>
  </si>
  <si>
    <t>555 North Huron Street</t>
  </si>
  <si>
    <t>The Toledo Hospital</t>
  </si>
  <si>
    <t>2150 W. Central Avenue</t>
  </si>
  <si>
    <t>THEISEN EDWARD R</t>
  </si>
  <si>
    <t>THELASSIA L JOHNSON</t>
  </si>
  <si>
    <t>5880 Firethorne Dr Apt C</t>
  </si>
  <si>
    <t>THELMA V DELGADO</t>
  </si>
  <si>
    <t>4539 Whiteford Rd</t>
  </si>
  <si>
    <t>THEODORE M FUNK</t>
  </si>
  <si>
    <t>5237 Spring Creek Ln</t>
  </si>
  <si>
    <t>THEODORE R COCH</t>
  </si>
  <si>
    <t>4034 Westway St</t>
  </si>
  <si>
    <t>THEODORE SMITH</t>
  </si>
  <si>
    <t>744 Butterfield Drive</t>
  </si>
  <si>
    <t>THEODORE YAMBOR</t>
  </si>
  <si>
    <t>2238 Portsmouth Ave</t>
  </si>
  <si>
    <t>THERESA A REGALADO</t>
  </si>
  <si>
    <t>2704 Elsie Ave</t>
  </si>
  <si>
    <t>Theresa Benton</t>
  </si>
  <si>
    <t>708 Hubbel Street</t>
  </si>
  <si>
    <t>THERESA L BRYAN</t>
  </si>
  <si>
    <t>894 Lamonde Dr</t>
  </si>
  <si>
    <t>THERESA LOUISE KIM</t>
  </si>
  <si>
    <t>1612 Pool St Apt A</t>
  </si>
  <si>
    <t>Theresa Tokles</t>
  </si>
  <si>
    <t>5222 Bilbyway</t>
  </si>
  <si>
    <t>Theresa Wohlever</t>
  </si>
  <si>
    <t>5006 Valencia Dr</t>
  </si>
  <si>
    <t>THERRIEN KRISTIN</t>
  </si>
  <si>
    <t>1505 Superior Street</t>
  </si>
  <si>
    <t>Thomas A Giffin I</t>
  </si>
  <si>
    <t>105 17Th Street</t>
  </si>
  <si>
    <t>Thomas A. Christensen</t>
  </si>
  <si>
    <t>2014 Est 866 - Est. Of Robert J. Dudash</t>
  </si>
  <si>
    <t>THOMAS ALAN SCHORY</t>
  </si>
  <si>
    <t>3525 Navarre Ave Apt E27</t>
  </si>
  <si>
    <t>THOMAS BINKOWSKI</t>
  </si>
  <si>
    <t>2063 Bromford Rd</t>
  </si>
  <si>
    <t>THOMAS BODETTE</t>
  </si>
  <si>
    <t>3509 Wyckliffe Pkwy</t>
  </si>
  <si>
    <t>THOMAS BOYER</t>
  </si>
  <si>
    <t>262 Marion St</t>
  </si>
  <si>
    <t>THOMAS C BLANK</t>
  </si>
  <si>
    <t>4804 Fairway Ln</t>
  </si>
  <si>
    <t>THOMAS CHRISTOPHER M</t>
  </si>
  <si>
    <t>327 Progress Avenue</t>
  </si>
  <si>
    <t>THOMAS CREQUE</t>
  </si>
  <si>
    <t>9555 Sylvania Ave</t>
  </si>
  <si>
    <t>THOMAS DANIELLE</t>
  </si>
  <si>
    <t>10052 Central Ave</t>
  </si>
  <si>
    <t>THOMAS DENTON</t>
  </si>
  <si>
    <t>4833 Brott Rd</t>
  </si>
  <si>
    <t>THOMAS E HOPKINS</t>
  </si>
  <si>
    <t>2630 Westchester Rd</t>
  </si>
  <si>
    <t>THOMAS E MENNING</t>
  </si>
  <si>
    <t>509 W Wayne St</t>
  </si>
  <si>
    <t>THOMAS E MILLIGAN</t>
  </si>
  <si>
    <t>6016 White Oak Dr</t>
  </si>
  <si>
    <t>THOMAS E RYALL</t>
  </si>
  <si>
    <t>5869 Reinwood Dr</t>
  </si>
  <si>
    <t>Thomas E. Puffenberger II</t>
  </si>
  <si>
    <t>One Seagate, Ste. 1645</t>
  </si>
  <si>
    <t>Es98-1790 - Est. Of Marcella Snyder</t>
  </si>
  <si>
    <t>THOMAS F LEFFLER</t>
  </si>
  <si>
    <t>5964 Forest Hills Dr</t>
  </si>
  <si>
    <t>THOMAS HUSTON ROBERSON</t>
  </si>
  <si>
    <t>3834 Bellevue Rd</t>
  </si>
  <si>
    <t>THOMAS J TAFELSKI</t>
  </si>
  <si>
    <t>6701 N River Rd</t>
  </si>
  <si>
    <t>THOMAS JAMES BACKOFF</t>
  </si>
  <si>
    <t>2615 Westchester Rd</t>
  </si>
  <si>
    <t>THOMAS LEVI CLAWSON</t>
  </si>
  <si>
    <t>2823 Kendale Dr Apt 201</t>
  </si>
  <si>
    <t>Thomas M. Berry</t>
  </si>
  <si>
    <t>6175 Durbin Rd.</t>
  </si>
  <si>
    <t>2020 Adp 138 - Adp. (Berry)</t>
  </si>
  <si>
    <t>THOMAS MOEBIUS</t>
  </si>
  <si>
    <t>1361 Eleanor Ave</t>
  </si>
  <si>
    <t>Thomas Obrian</t>
  </si>
  <si>
    <t>325 Gardner Rd.</t>
  </si>
  <si>
    <t>THOMAS OSLEY</t>
  </si>
  <si>
    <t>3321 Arlington Avenue</t>
  </si>
  <si>
    <t>THOMAS POSADNY</t>
  </si>
  <si>
    <t>4917 Monac Dr</t>
  </si>
  <si>
    <t>THOMAS R HARRISON</t>
  </si>
  <si>
    <t>1624 Charmaine Dr</t>
  </si>
  <si>
    <t>THOMAS RATHBUN</t>
  </si>
  <si>
    <t>1334 Rollins</t>
  </si>
  <si>
    <t>THOMAS RICHARD BOERST</t>
  </si>
  <si>
    <t>6012 Frances Ct</t>
  </si>
  <si>
    <t>THOMAS RIEGGER</t>
  </si>
  <si>
    <t>3023 Oxbridge Dr</t>
  </si>
  <si>
    <t>THOMAS ROOT</t>
  </si>
  <si>
    <t>2350 Kenwood Blvd</t>
  </si>
  <si>
    <t>THOMAS RUDOLPH</t>
  </si>
  <si>
    <t>6105 N River Rd</t>
  </si>
  <si>
    <t>Thomas S. Armstrong IV</t>
  </si>
  <si>
    <t>C/O Chacara Wilson - 2954 W. Central Ave. #309</t>
  </si>
  <si>
    <t>2020Est2014 - Estate Of Thomas S. Armstrong Iii</t>
  </si>
  <si>
    <t>THOMAS STEMEN</t>
  </si>
  <si>
    <t>6049 Harvest Ln</t>
  </si>
  <si>
    <t>THOMAS STEWART</t>
  </si>
  <si>
    <t>THOMAS STOMBAUGH</t>
  </si>
  <si>
    <t>3402 Nordic Way Dr</t>
  </si>
  <si>
    <t>THOMAS SWARTZ</t>
  </si>
  <si>
    <t>1850 Winston Blvd</t>
  </si>
  <si>
    <t>THOMAS SZENDERSKI</t>
  </si>
  <si>
    <t>5725 Sandy Creek Rd</t>
  </si>
  <si>
    <t>THOMAS TEBO</t>
  </si>
  <si>
    <t>6220 Randon Dr</t>
  </si>
  <si>
    <t>THOMAS TEYANA</t>
  </si>
  <si>
    <t>36615 Vine Strret</t>
  </si>
  <si>
    <t>Willoughby</t>
  </si>
  <si>
    <t>THOMAS TONETTE C</t>
  </si>
  <si>
    <t>1344 Hillcrest</t>
  </si>
  <si>
    <t>THOMAS VICE</t>
  </si>
  <si>
    <t>2458 1/2 Broadway St</t>
  </si>
  <si>
    <t>THOMAS,PAMELA</t>
  </si>
  <si>
    <t>2300 Seaman St Apt 37</t>
  </si>
  <si>
    <t>THOMPSON JESSICA</t>
  </si>
  <si>
    <t>5314 Selma St</t>
  </si>
  <si>
    <t>THOMPSON SHAMAR</t>
  </si>
  <si>
    <t>24250 W St Rt 51 Millbury</t>
  </si>
  <si>
    <t>THOR CHARLES</t>
  </si>
  <si>
    <t>835 Mayfair</t>
  </si>
  <si>
    <t>TIFFANY BROWN</t>
  </si>
  <si>
    <t>711 Islington Street</t>
  </si>
  <si>
    <t>Tiffany Cole</t>
  </si>
  <si>
    <t>7125 Orvieto Dr</t>
  </si>
  <si>
    <t>TIFFANY KANISHA JOHNSON</t>
  </si>
  <si>
    <t>910 Gribbin Ln Apt 2D</t>
  </si>
  <si>
    <t>TIFFANY KRUEGER</t>
  </si>
  <si>
    <t>930 Carver Blvd</t>
  </si>
  <si>
    <t>TIFFANY MCMORRIS</t>
  </si>
  <si>
    <t>4119 Meadow Green Drive</t>
  </si>
  <si>
    <t>TIFFANY R CASS</t>
  </si>
  <si>
    <t>2360 Cheyenne Blvd Apt 10</t>
  </si>
  <si>
    <t>TIFFANY R HAIRSTON</t>
  </si>
  <si>
    <t>2407 Portsmouth Ave</t>
  </si>
  <si>
    <t>TIFFANY ROSE EMMA HAMBY</t>
  </si>
  <si>
    <t>1820 Albon Rd</t>
  </si>
  <si>
    <t>Tim A. Powell</t>
  </si>
  <si>
    <t>200 Market Ave., N., Ste. 300</t>
  </si>
  <si>
    <t>2011 Est 402 - Est. Of Luther Harrison Reasonover Sr.</t>
  </si>
  <si>
    <t>TIM E STACY</t>
  </si>
  <si>
    <t>3747 Grantley Rd</t>
  </si>
  <si>
    <t>TIM HUEY</t>
  </si>
  <si>
    <t>3240 West Henderson Rd Ste B</t>
  </si>
  <si>
    <t>TIM RICHARD SHIFFLER</t>
  </si>
  <si>
    <t>2222 Midlawn Dr</t>
  </si>
  <si>
    <t>TIMOTHY ALLEN BERSCHEIDT</t>
  </si>
  <si>
    <t>3425 Anderson Pky Apt A</t>
  </si>
  <si>
    <t>TIMOTHY ALLEN CARTER</t>
  </si>
  <si>
    <t>4620 285Th St</t>
  </si>
  <si>
    <t>TIMOTHY ANDREW KOHLER</t>
  </si>
  <si>
    <t>5669 N River Rd</t>
  </si>
  <si>
    <t>Timothy Borton</t>
  </si>
  <si>
    <t>3929 Co Rd 1</t>
  </si>
  <si>
    <t>TIMOTHY BRUMBAUGH</t>
  </si>
  <si>
    <t>2738 Algonquin Pkwy</t>
  </si>
  <si>
    <t>TIMOTHY BURKE</t>
  </si>
  <si>
    <t>2654 Green Valley Dr</t>
  </si>
  <si>
    <t>TIMOTHY DEAN HANDY</t>
  </si>
  <si>
    <t>3150 131St St</t>
  </si>
  <si>
    <t>TIMOTHY DEFRAIN</t>
  </si>
  <si>
    <t>1713 Cass Rd</t>
  </si>
  <si>
    <t>Timothy E Campbell</t>
  </si>
  <si>
    <t>159 Brompton Ct</t>
  </si>
  <si>
    <t>TIMOTHY HAGEN</t>
  </si>
  <si>
    <t>2125 Fordway St</t>
  </si>
  <si>
    <t>TIMOTHY HOLLIKER</t>
  </si>
  <si>
    <t>8601 Dutch Rd</t>
  </si>
  <si>
    <t>Timothy J. Perz</t>
  </si>
  <si>
    <t>TIMOTHY JOHN OSBORN</t>
  </si>
  <si>
    <t>7419 Jeffers Rd</t>
  </si>
  <si>
    <t>TIMOTHY L BOCKART</t>
  </si>
  <si>
    <t>3138 Kimball Ave</t>
  </si>
  <si>
    <t>TIMOTHY L PARTRIDGE</t>
  </si>
  <si>
    <t>2717 N Raab Rd</t>
  </si>
  <si>
    <t>TIMOTHY MEYERS</t>
  </si>
  <si>
    <t>5224 Coldstream Rd</t>
  </si>
  <si>
    <t>Timothy Michael Keogh</t>
  </si>
  <si>
    <t>TIMOTHY MICHAEL KEOGH</t>
  </si>
  <si>
    <t>TIMOTHY NEWTON</t>
  </si>
  <si>
    <t>1120 S Creek Ln</t>
  </si>
  <si>
    <t>TIMOTHY ORNER</t>
  </si>
  <si>
    <t>17 S King Rd</t>
  </si>
  <si>
    <t>TIMOTHY PASTOREK</t>
  </si>
  <si>
    <t>6717 Garden Rd</t>
  </si>
  <si>
    <t>Timothy R. Alley</t>
  </si>
  <si>
    <t>6135 Trust Dr., Ste. 215</t>
  </si>
  <si>
    <t>2023 Est 000453 - Est. Of Daniel L. Twiss</t>
  </si>
  <si>
    <t>27121 Oakmead Dr., Ste. A</t>
  </si>
  <si>
    <t>2021 Est 611 - Est. Of Irene A. Zunkiewicz</t>
  </si>
  <si>
    <t>TIMOTHY SOULIER</t>
  </si>
  <si>
    <t>8849 Royal Oak Dr</t>
  </si>
  <si>
    <t>TIMOTHY SPEZIA</t>
  </si>
  <si>
    <t>5855 318Th St</t>
  </si>
  <si>
    <t>TIMOTHY STATON</t>
  </si>
  <si>
    <t>Po Box 8793</t>
  </si>
  <si>
    <t>TIMOTHY WELKER</t>
  </si>
  <si>
    <t>837 Butler St</t>
  </si>
  <si>
    <t>TINA HARTRANFT</t>
  </si>
  <si>
    <t>4225 Harvest Lane  #2</t>
  </si>
  <si>
    <t>TINA L FRIESON</t>
  </si>
  <si>
    <t>1436 Tecumseh St</t>
  </si>
  <si>
    <t>TINA M KUHARCHEK</t>
  </si>
  <si>
    <t>6341 N Texas St</t>
  </si>
  <si>
    <t>TINA M MAY</t>
  </si>
  <si>
    <t>429 Mayberry St</t>
  </si>
  <si>
    <t>Tinisha Bell</t>
  </si>
  <si>
    <t>715 Virginia St</t>
  </si>
  <si>
    <t>Tireman Auto Service Centers, Ltd.</t>
  </si>
  <si>
    <t>3608 Navarre Ave</t>
  </si>
  <si>
    <t>1618 Monroe St3</t>
  </si>
  <si>
    <t>TJ Auto Sales</t>
  </si>
  <si>
    <t>1010 South Crissy</t>
  </si>
  <si>
    <t>TLER WILBARGER</t>
  </si>
  <si>
    <t>605 W William St</t>
  </si>
  <si>
    <t>TMC Customs</t>
  </si>
  <si>
    <t>1754 W Laskey Rd</t>
  </si>
  <si>
    <t>TOBI E  KIPLING</t>
  </si>
  <si>
    <t>2912 Spring Water Dr</t>
  </si>
  <si>
    <t>TOBIAS CHRISTIAN SANDERS</t>
  </si>
  <si>
    <t>6926 Fredericksburg Dr S</t>
  </si>
  <si>
    <t>TOCHUK WU NWANK</t>
  </si>
  <si>
    <t>3848 Bellevue Road</t>
  </si>
  <si>
    <t>TOD HOWARD BROOKS</t>
  </si>
  <si>
    <t>7880 Quail Creek Rd</t>
  </si>
  <si>
    <t>TODD ANDREW STULLER</t>
  </si>
  <si>
    <t>11935 Rachel Rd</t>
  </si>
  <si>
    <t>TODD C SCHRODER</t>
  </si>
  <si>
    <t>645 Griswold St</t>
  </si>
  <si>
    <t>TODD CHRISTOPHER SHELTON</t>
  </si>
  <si>
    <t>7126 Washington Dr</t>
  </si>
  <si>
    <t>Todd Fisher</t>
  </si>
  <si>
    <t>6775 Morningside Heights Pl</t>
  </si>
  <si>
    <t>Todd Freshour</t>
  </si>
  <si>
    <t>1876 Sudbury Dr</t>
  </si>
  <si>
    <t>TODD GREEN</t>
  </si>
  <si>
    <t>5838 Thornberry Ln</t>
  </si>
  <si>
    <t>TODD J BRAGG</t>
  </si>
  <si>
    <t>4312 N Haven Ave</t>
  </si>
  <si>
    <t>TODD J DUVENDACK</t>
  </si>
  <si>
    <t>402 Pasadena Blvd</t>
  </si>
  <si>
    <t>TODD MICHAEL HAMMER</t>
  </si>
  <si>
    <t>5331 Rector St</t>
  </si>
  <si>
    <t>Todd Mitchell</t>
  </si>
  <si>
    <t>648 Mcintyre Ln</t>
  </si>
  <si>
    <t>TODD N ROHWEDOR</t>
  </si>
  <si>
    <t>6036 Saddlewood Drive</t>
  </si>
  <si>
    <t>TODD P FRANCIS</t>
  </si>
  <si>
    <t>2443 Gibley Park Rd</t>
  </si>
  <si>
    <t>Toledo Edison ~ A FirstEnergy Company</t>
  </si>
  <si>
    <t>P.O. Box 3687</t>
  </si>
  <si>
    <t>TOLEDO ESTATES LAND LLC</t>
  </si>
  <si>
    <t>P O Box 1357</t>
  </si>
  <si>
    <t>Puyallup</t>
  </si>
  <si>
    <t>TOLEDO INVESTMENT PROPERTIES LLC</t>
  </si>
  <si>
    <t>4825 Fairway Ln</t>
  </si>
  <si>
    <t>Toledo Metro</t>
  </si>
  <si>
    <t>1808 Manhattan</t>
  </si>
  <si>
    <t>Toledo Metro Federal Credit</t>
  </si>
  <si>
    <t>1212 Adams St</t>
  </si>
  <si>
    <t>TOLEDO PORTFOLIO 2 LLC</t>
  </si>
  <si>
    <t>848 N Rainbow Blvd</t>
  </si>
  <si>
    <t>Las Vegas</t>
  </si>
  <si>
    <t>NV</t>
  </si>
  <si>
    <t>TOLEDO TRUST NKA KEYBANK NA C/O KAREN BAUERNSCHMIDT</t>
  </si>
  <si>
    <t>200 Public Sq Ste 1400</t>
  </si>
  <si>
    <t>TOLSON ENTERPRISES</t>
  </si>
  <si>
    <t>6591 W Central Avenue  Suite 100</t>
  </si>
  <si>
    <t>Tom Cater</t>
  </si>
  <si>
    <t>2501 Tremainsville Rd</t>
  </si>
  <si>
    <t>Tom Cater Auto Sales Inc</t>
  </si>
  <si>
    <t>558 Austin St</t>
  </si>
  <si>
    <t>2501 Tremainsville</t>
  </si>
  <si>
    <t>TOMEKA L RUSHING</t>
  </si>
  <si>
    <t>703 Nancy Dr</t>
  </si>
  <si>
    <t>Toneeca L Strickland</t>
  </si>
  <si>
    <t>TONEFF,RONALD</t>
  </si>
  <si>
    <t>4029 Newcastle Dr</t>
  </si>
  <si>
    <t>TONI FARLEY</t>
  </si>
  <si>
    <t>708 Custer Drive</t>
  </si>
  <si>
    <t>Toni Shoola</t>
  </si>
  <si>
    <t>511 Centerfield Dr</t>
  </si>
  <si>
    <t>TONJES,LORI</t>
  </si>
  <si>
    <t>4150 Lake Pine Dr</t>
  </si>
  <si>
    <t>TONY FOUNTAIN</t>
  </si>
  <si>
    <t>706 Glengary Rd</t>
  </si>
  <si>
    <t>TONY KHOURY</t>
  </si>
  <si>
    <t>5046 Valencia Dr</t>
  </si>
  <si>
    <t>Tony Marcel Lee</t>
  </si>
  <si>
    <t>177 E Woodruff Ave</t>
  </si>
  <si>
    <t>TONY ROBERT KRUCZKOWSKI</t>
  </si>
  <si>
    <t>1226 Clarion Ave</t>
  </si>
  <si>
    <t>TONYA FREIHEIT</t>
  </si>
  <si>
    <t>4722 Burnham Ave</t>
  </si>
  <si>
    <t>TONYA JEAN FLETCHER</t>
  </si>
  <si>
    <t>4327 Overland Pkwy</t>
  </si>
  <si>
    <t>TONYA M FIGMAKA</t>
  </si>
  <si>
    <t>2223 Heysler Rd</t>
  </si>
  <si>
    <t>TONYA MARIE BROCKMAN</t>
  </si>
  <si>
    <t>1251 Erie St</t>
  </si>
  <si>
    <t>TONYA N ISAAC</t>
  </si>
  <si>
    <t>3651 Wallwerth Dr</t>
  </si>
  <si>
    <t>TORI LEE ABRAMS</t>
  </si>
  <si>
    <t>5552 308Th St</t>
  </si>
  <si>
    <t>TORI PALKA</t>
  </si>
  <si>
    <t>5742 Bennet Rd #8</t>
  </si>
  <si>
    <t>TORRES ERICA L</t>
  </si>
  <si>
    <t>811 West Gramercy Ave</t>
  </si>
  <si>
    <t>Totionna Rogers</t>
  </si>
  <si>
    <t>5862 Rega Dr.</t>
  </si>
  <si>
    <t>TOURNIER CHRISTOPHER</t>
  </si>
  <si>
    <t>5314 Suder</t>
  </si>
  <si>
    <t>TOWBRIDGE EUGENE</t>
  </si>
  <si>
    <t>3529 Willowbrooke</t>
  </si>
  <si>
    <t>TOWNSEND TAKISHA</t>
  </si>
  <si>
    <t>1067 Tecumseh Street</t>
  </si>
  <si>
    <t>TOWNSEND,JANAYE</t>
  </si>
  <si>
    <t>392 Dennis Ct</t>
  </si>
  <si>
    <t>TOWNSEND,TAKISHA</t>
  </si>
  <si>
    <t>3236 Parkwood Ave</t>
  </si>
  <si>
    <t>TRACEY HOWARD</t>
  </si>
  <si>
    <t>2725 Pine Knoll Dr</t>
  </si>
  <si>
    <t>TRACEY L DAVIS</t>
  </si>
  <si>
    <t>2122 Alvin St Bsmt 2122</t>
  </si>
  <si>
    <t>TRACEY L JACOB</t>
  </si>
  <si>
    <t>4130 Brookside Rd</t>
  </si>
  <si>
    <t>TRACEY LEE HOWARD</t>
  </si>
  <si>
    <t>TRACEY RENEE ANDERSON</t>
  </si>
  <si>
    <t>2426 Garden Creek Dr</t>
  </si>
  <si>
    <t>TRACEY TELEHA</t>
  </si>
  <si>
    <t>5155 Trellis Way</t>
  </si>
  <si>
    <t>TRACI L BEARRINGER</t>
  </si>
  <si>
    <t>3621 Helene Ct</t>
  </si>
  <si>
    <t>TRACY ANN GRIBBLE</t>
  </si>
  <si>
    <t>3009 Pullman Ave</t>
  </si>
  <si>
    <t>TRACY L LEMBKE</t>
  </si>
  <si>
    <t>576 Williamsdale Dr</t>
  </si>
  <si>
    <t>TRACY SCHMIDLIN</t>
  </si>
  <si>
    <t>3307 Seaman Rd</t>
  </si>
  <si>
    <t>TRACY SCHNEIDER PARSONS</t>
  </si>
  <si>
    <t>5410 Gay St</t>
  </si>
  <si>
    <t>Transtar Electric Inc</t>
  </si>
  <si>
    <t>767 Warehouse Rd</t>
  </si>
  <si>
    <t>TRAPP JOSEPH</t>
  </si>
  <si>
    <t>1615 Kedron</t>
  </si>
  <si>
    <t>TRAVELERS INDEMNITY COMPANY OF</t>
  </si>
  <si>
    <t>P.O. Box 3022</t>
  </si>
  <si>
    <t>Fall River</t>
  </si>
  <si>
    <t>TRAVELERS SHOPPES</t>
  </si>
  <si>
    <t>2843 Kersdale Rd</t>
  </si>
  <si>
    <t>Pepper Pike</t>
  </si>
  <si>
    <t>Travelle Riley</t>
  </si>
  <si>
    <t>338 N. Erie St., Ste. 100</t>
  </si>
  <si>
    <t>2022  Mst 2696 - Minor Settlement Of Taraji Grier</t>
  </si>
  <si>
    <t>TRAVIS BECZYNSKI</t>
  </si>
  <si>
    <t>3535 Oakway Dr</t>
  </si>
  <si>
    <t>TRAVIS DEROCH</t>
  </si>
  <si>
    <t>4215 Dahlia Dr</t>
  </si>
  <si>
    <t>Trazon's Creations</t>
  </si>
  <si>
    <t>6030 Secor Rd.</t>
  </si>
  <si>
    <t>TRE DIJON MARTIN</t>
  </si>
  <si>
    <t>3533 Island Ave</t>
  </si>
  <si>
    <t>TREASURE J SUCHECK</t>
  </si>
  <si>
    <t>7713 Sioux Ridge Dr</t>
  </si>
  <si>
    <t>Treasurer, State of Ohio C/O NOPH</t>
  </si>
  <si>
    <t>30 E. Broad St.</t>
  </si>
  <si>
    <t>Treasurer, State of Ohio, Dept of Commerce</t>
  </si>
  <si>
    <t>Division Of Real Estate And Licensing, 77 S. High St Floor 20</t>
  </si>
  <si>
    <t>Trecia Hill</t>
  </si>
  <si>
    <t>3926 Hazelhurst Ave</t>
  </si>
  <si>
    <t>TRELESA J MARRIOTT</t>
  </si>
  <si>
    <t>5514 Elmer Dr</t>
  </si>
  <si>
    <t>TREMAYNE TARAN ABRAMS</t>
  </si>
  <si>
    <t>615 Thayer Street</t>
  </si>
  <si>
    <t>TREVIS LEE COOGLER</t>
  </si>
  <si>
    <t>1911 Lawrence Ave</t>
  </si>
  <si>
    <t>TREVON BRYANT BEY</t>
  </si>
  <si>
    <t>3211 Kimball Ave</t>
  </si>
  <si>
    <t>TREVOR ALAN TITSWORTH</t>
  </si>
  <si>
    <t>5245 Bayshore Rd</t>
  </si>
  <si>
    <t>TREVOR GRIFA</t>
  </si>
  <si>
    <t>5498 Brook Point Rd</t>
  </si>
  <si>
    <t>TREVOR HYTER</t>
  </si>
  <si>
    <t>3250 Yorktown Dr Apt F</t>
  </si>
  <si>
    <t>TREVOR P VAN BERKOM</t>
  </si>
  <si>
    <t>1021 Sandusky St Ste G</t>
  </si>
  <si>
    <t>TREVOR PERRY</t>
  </si>
  <si>
    <t>6465 Monroe Street</t>
  </si>
  <si>
    <t>TREVOR W SAMPSEL</t>
  </si>
  <si>
    <t>2744 Kenwood Blvd Apt 101</t>
  </si>
  <si>
    <t>TREY MEYER</t>
  </si>
  <si>
    <t>4126 Dunkirk Rd</t>
  </si>
  <si>
    <t>TRINA SUE OMLOR</t>
  </si>
  <si>
    <t>1274 Opal St</t>
  </si>
  <si>
    <t>TRINITY JAN</t>
  </si>
  <si>
    <t>6007 Winding Way</t>
  </si>
  <si>
    <t>TRINITY MOUSOULIAS</t>
  </si>
  <si>
    <t>1560 Holloway, Unit A</t>
  </si>
  <si>
    <t>TRINITY WEATHERS</t>
  </si>
  <si>
    <t>2118 Warren St</t>
  </si>
  <si>
    <t>Triple L Used Cars</t>
  </si>
  <si>
    <t>10215 Airport Hwy</t>
  </si>
  <si>
    <t>TRISHA KATHLEEN DAVIS</t>
  </si>
  <si>
    <t>6952 Cloister Rd</t>
  </si>
  <si>
    <t>TRISTAN HARDING</t>
  </si>
  <si>
    <t>2530 Oak Grove Pl</t>
  </si>
  <si>
    <t>TRISTAN POWELL</t>
  </si>
  <si>
    <t>5361 Yermo Dr</t>
  </si>
  <si>
    <t>TRISTAN VARWIG</t>
  </si>
  <si>
    <t>3711 Fairwood Dr</t>
  </si>
  <si>
    <t>TRISTON HUNTER</t>
  </si>
  <si>
    <t>1561 Holloway, Unit A</t>
  </si>
  <si>
    <t>TROMBLEY ROBERT</t>
  </si>
  <si>
    <t>2438 W State</t>
  </si>
  <si>
    <t>Troy Dudgeon</t>
  </si>
  <si>
    <t>535 Ward Dr.</t>
  </si>
  <si>
    <t>Maryville</t>
  </si>
  <si>
    <t>TROY E SECREST</t>
  </si>
  <si>
    <t>2045 Penn Road</t>
  </si>
  <si>
    <t>TROY J ON BERNHARD</t>
  </si>
  <si>
    <t>4249 Ranchers Cir</t>
  </si>
  <si>
    <t>TROY L &amp; YVONNE JOHNSON</t>
  </si>
  <si>
    <t>221 Linden Pl</t>
  </si>
  <si>
    <t>TROY MICHAEL MAURER</t>
  </si>
  <si>
    <t>4447 Rohr</t>
  </si>
  <si>
    <t>TROY THOMAS TUCKER</t>
  </si>
  <si>
    <t>3908 Burton Ave</t>
  </si>
  <si>
    <t>TRZONKOWSKI,ALIZA</t>
  </si>
  <si>
    <t>5227 Fredelia Dr</t>
  </si>
  <si>
    <t>TUCKER ALEXANDER</t>
  </si>
  <si>
    <t>644 Custer</t>
  </si>
  <si>
    <t>Tucker, Hortense E</t>
  </si>
  <si>
    <t>2424 Bodette Ave</t>
  </si>
  <si>
    <t>Tunisia Thompson</t>
  </si>
  <si>
    <t>4910 Catalina Dr</t>
  </si>
  <si>
    <t>TUNISIA THOMPSON</t>
  </si>
  <si>
    <t>TUNISON PAUL</t>
  </si>
  <si>
    <t>1612 Nevada</t>
  </si>
  <si>
    <t>TURNBOUGH CHARLES</t>
  </si>
  <si>
    <t>6059 White Oak</t>
  </si>
  <si>
    <t>TURNER CAJUAN</t>
  </si>
  <si>
    <t>907 Bloomfield</t>
  </si>
  <si>
    <t>TURNER REGINALD</t>
  </si>
  <si>
    <t>TURNER ROMNEY</t>
  </si>
  <si>
    <t>5236 Brandon Road,   Pat. #4</t>
  </si>
  <si>
    <t>TUVELL JEFFREY</t>
  </si>
  <si>
    <t>Twilla Page</t>
  </si>
  <si>
    <t>3123 Kimball Ave.</t>
  </si>
  <si>
    <t>Twintasia Gilmer</t>
  </si>
  <si>
    <t>935 Forsythe St.</t>
  </si>
  <si>
    <t>TYEKA LEAFGREN</t>
  </si>
  <si>
    <t>6853 Deer Ridge Rd Apt 54</t>
  </si>
  <si>
    <t>TYESHA L WELLS</t>
  </si>
  <si>
    <t>216 Avondale Ave</t>
  </si>
  <si>
    <t>TYLER C PILMORE</t>
  </si>
  <si>
    <t>2447 Waterford Village Dr</t>
  </si>
  <si>
    <t>Tyler Graves</t>
  </si>
  <si>
    <t>3523 Leybourn Ave</t>
  </si>
  <si>
    <t>Tyler L DeBolt</t>
  </si>
  <si>
    <t>253 Leland Dr</t>
  </si>
  <si>
    <t>TYLER L TREVINO</t>
  </si>
  <si>
    <t>3012 Cragmoor Ave</t>
  </si>
  <si>
    <t>TYLER LANTZSCH</t>
  </si>
  <si>
    <t>7255 Nightingale Dr</t>
  </si>
  <si>
    <t>TYLER M BERRY</t>
  </si>
  <si>
    <t>5025 Prestler Rd</t>
  </si>
  <si>
    <t>TYLER NAUD JECHURA</t>
  </si>
  <si>
    <t>TYLER PAUL MACADAM</t>
  </si>
  <si>
    <t>6430 Coppersmith Rd</t>
  </si>
  <si>
    <t>TYLER RITTER</t>
  </si>
  <si>
    <t>4623 Lakeside Dr Unit 4211</t>
  </si>
  <si>
    <t>TYLER RYAN FISCHER</t>
  </si>
  <si>
    <t>6509 Field Ave Apt E</t>
  </si>
  <si>
    <t>TYLER SMITH</t>
  </si>
  <si>
    <t>1003 Colburn St</t>
  </si>
  <si>
    <t>TYLER STAMITOLES</t>
  </si>
  <si>
    <t>5514 Roan Rd</t>
  </si>
  <si>
    <t>TYLER WILLIAMS</t>
  </si>
  <si>
    <t>1209 Nevada St</t>
  </si>
  <si>
    <t>TYRONE ERIC GATLING SR</t>
  </si>
  <si>
    <t>4101 Rose Garden Dr</t>
  </si>
  <si>
    <t>TYRONE LINZY</t>
  </si>
  <si>
    <t>2015 W Alexis Rd Apt A5</t>
  </si>
  <si>
    <t>U S BANK NATIONAL ASSOCIATION</t>
  </si>
  <si>
    <t>ULCH DAVID</t>
  </si>
  <si>
    <t>2510 Consaul Unit 66</t>
  </si>
  <si>
    <t>UNIFUND CCR PARTNERS</t>
  </si>
  <si>
    <t>P.O. Box 42319</t>
  </si>
  <si>
    <t>UNION HOME MORTGAGE CORP</t>
  </si>
  <si>
    <t>United Parcel Service, Inc.</t>
  </si>
  <si>
    <t>P.O. Box 809488</t>
  </si>
  <si>
    <t>UNITED STATES OF AMERICA, c/o Landcastle Title</t>
  </si>
  <si>
    <t>34920 Ridge Rd Ste 100B</t>
  </si>
  <si>
    <t>United Way of Greater Toledo, Toledo LC Homelessness Board</t>
  </si>
  <si>
    <t>1946 N. 13Th St. #437</t>
  </si>
  <si>
    <t>UNIVERSITY OF TOLEDO</t>
  </si>
  <si>
    <t>2801 W Bancroft</t>
  </si>
  <si>
    <t>University of Toledo Physicians, LLC</t>
  </si>
  <si>
    <t>Po Box 18979</t>
  </si>
  <si>
    <t>Belfast</t>
  </si>
  <si>
    <t>ME</t>
  </si>
  <si>
    <t>UNK HEIRS OF KEVIN ZELLERS ZABRINA ZELLERS AND ROBERT ZELLERS</t>
  </si>
  <si>
    <t>129 Nagy Street</t>
  </si>
  <si>
    <t>UNK HEIRS OF LUPE SANCHEZ</t>
  </si>
  <si>
    <t>845 Cherry Lane</t>
  </si>
  <si>
    <t>UNK HEIRS OF RICHARD GARNER ET AL</t>
  </si>
  <si>
    <t>814 Bemis Lane</t>
  </si>
  <si>
    <t>Unknown Heirs of Douglas Smith</t>
  </si>
  <si>
    <t>636 Andora Drive</t>
  </si>
  <si>
    <t>Unknown Heirs of Jack Shoults Sr.</t>
  </si>
  <si>
    <t>3722 Dixie Drive</t>
  </si>
  <si>
    <t>Unknown Heirs of Samuel Hicks</t>
  </si>
  <si>
    <t>3611 Foxbrook Court</t>
  </si>
  <si>
    <t>UPPERDITE,SYLVIA</t>
  </si>
  <si>
    <t>519 Martin Ln</t>
  </si>
  <si>
    <t>URBANX INC</t>
  </si>
  <si>
    <t>1201 Orange Street Suite 600</t>
  </si>
  <si>
    <t>URBINA SANTIAGO</t>
  </si>
  <si>
    <t>2424 Telegraph</t>
  </si>
  <si>
    <t>URRITIA CARRIE</t>
  </si>
  <si>
    <t>8367 Water Park Drive</t>
  </si>
  <si>
    <t>US BANK NATIONAL ASSOC</t>
  </si>
  <si>
    <t>US BANK NATIONAL ASSOCIATION</t>
  </si>
  <si>
    <t>US BANK NATL ASSOC AS INDENTURE TR C/O PHH MORTGAGE CORP</t>
  </si>
  <si>
    <t>One Mortgage Way</t>
  </si>
  <si>
    <t>Mount Laurel</t>
  </si>
  <si>
    <t>NJ</t>
  </si>
  <si>
    <t>US BANK TRUST NA TR LSF9 MASTER PART TR</t>
  </si>
  <si>
    <t>3701 Regent Blvd</t>
  </si>
  <si>
    <t>Irving</t>
  </si>
  <si>
    <t>US NATIONAL BANK ASSOCIATION</t>
  </si>
  <si>
    <t>US Real Estate Services Inc</t>
  </si>
  <si>
    <t>27442 Portola Pkwy</t>
  </si>
  <si>
    <t>Foothill Ranch</t>
  </si>
  <si>
    <t>USAA CASUALTY INSURANCE COMPANY</t>
  </si>
  <si>
    <t>7587 Central Parke Boulevard S</t>
  </si>
  <si>
    <t>V ROBERT CANDIELLO</t>
  </si>
  <si>
    <t>4859 W Sylvania Ave Ste B</t>
  </si>
  <si>
    <t>VA DEBT MANAGEMENT</t>
  </si>
  <si>
    <t>1 Federal Drive, Suite 4500</t>
  </si>
  <si>
    <t>Saint Paul</t>
  </si>
  <si>
    <t>VALDEZ ROSE</t>
  </si>
  <si>
    <t>3246 Belview</t>
  </si>
  <si>
    <t>Valerie (mo) Johnson</t>
  </si>
  <si>
    <t>3565 E Manhattan Blvd, Apt 2</t>
  </si>
  <si>
    <t>VALERIE (MO) JOHNSON</t>
  </si>
  <si>
    <t>1147 Walbridge Ave</t>
  </si>
  <si>
    <t>3565 E Manhattan Blvd</t>
  </si>
  <si>
    <t>VALERIE LYNN FISHER</t>
  </si>
  <si>
    <t>5241 Banbury Dr</t>
  </si>
  <si>
    <t>VALERIE RAE VETTER</t>
  </si>
  <si>
    <t>8932 Birchfield Rd</t>
  </si>
  <si>
    <t>VALERO GAS STATION</t>
  </si>
  <si>
    <t>950 W Alexis Road</t>
  </si>
  <si>
    <t>Valley Freightliner of Toledo</t>
  </si>
  <si>
    <t>6003 Benore Rd</t>
  </si>
  <si>
    <t>6003 Benore Rd.</t>
  </si>
  <si>
    <t>VAN BERKOM LAW OFFICE</t>
  </si>
  <si>
    <t>VANATTA BRANDY</t>
  </si>
  <si>
    <t>252 Chagrin Boulevard Suite 20</t>
  </si>
  <si>
    <t>VANERSA OFFOMAH</t>
  </si>
  <si>
    <t>125 Bonaparte Dr</t>
  </si>
  <si>
    <t>VANESSA A BURKARD</t>
  </si>
  <si>
    <t>VANESSA E SMITH</t>
  </si>
  <si>
    <t>2325 Meadowwood Dr</t>
  </si>
  <si>
    <t>VANESSA F SCHWIRZINSKI</t>
  </si>
  <si>
    <t>2710 104Th St</t>
  </si>
  <si>
    <t>Vanessa Manning</t>
  </si>
  <si>
    <t>4159 Piedmont Dr</t>
  </si>
  <si>
    <t>VANESSA MANNING</t>
  </si>
  <si>
    <t>VANITA LANE</t>
  </si>
  <si>
    <t>VAN-NESS MASON</t>
  </si>
  <si>
    <t>545 Orchard</t>
  </si>
  <si>
    <t>VANWARMER KINDLE G</t>
  </si>
  <si>
    <t>2646 Westbrook</t>
  </si>
  <si>
    <t>VARGYAS CRYSTAL</t>
  </si>
  <si>
    <t>2041 Chase</t>
  </si>
  <si>
    <t>VASQUEZ MARENA</t>
  </si>
  <si>
    <t>1438 Champlaine</t>
  </si>
  <si>
    <t>Vaughan, Jamie</t>
  </si>
  <si>
    <t>Csb/Sept 2019</t>
  </si>
  <si>
    <t>VENDER RESOURCE MANAGEMENT</t>
  </si>
  <si>
    <t>740 Corporate Center Dr, #200</t>
  </si>
  <si>
    <t>Pomona</t>
  </si>
  <si>
    <t>VENUS L CLAYBOURNE</t>
  </si>
  <si>
    <t>2051 Canton Ave</t>
  </si>
  <si>
    <t>VERA SALAZAR</t>
  </si>
  <si>
    <t>3361 Woodley Ct</t>
  </si>
  <si>
    <t>VERDELL CLARENCE BILLINGSLEY</t>
  </si>
  <si>
    <t>5923 Deane Dr</t>
  </si>
  <si>
    <t>VERGOTE MICHELE L</t>
  </si>
  <si>
    <t>1299 Schultz Street</t>
  </si>
  <si>
    <t>VERNON B KELLEY</t>
  </si>
  <si>
    <t>2511 Stickney Avenue</t>
  </si>
  <si>
    <t>VERONICA &amp; WARREN BELL</t>
  </si>
  <si>
    <t>50 E Pearl St</t>
  </si>
  <si>
    <t>VERONICA ANN JAEGER</t>
  </si>
  <si>
    <t>4433 Boydson Dr</t>
  </si>
  <si>
    <t>VERONICA CASTILLO</t>
  </si>
  <si>
    <t>3642 Beechway Blvd</t>
  </si>
  <si>
    <t>VERONICA LEGUIRE</t>
  </si>
  <si>
    <t>3739 Lockwood Ave</t>
  </si>
  <si>
    <t>VERONICA VERNICE MCGHEE</t>
  </si>
  <si>
    <t>4731 Overland Pkwy Apt 103</t>
  </si>
  <si>
    <t>VICKY LYNN ALDRICH</t>
  </si>
  <si>
    <t>1608 Archwood Ln</t>
  </si>
  <si>
    <t>VICTOR GEORGE MICHALAK</t>
  </si>
  <si>
    <t>760 Lotus Ave</t>
  </si>
  <si>
    <t>VICTORIA B BINKLEY</t>
  </si>
  <si>
    <t>2142 Ragan Woods Dr</t>
  </si>
  <si>
    <t>VICTORIA BIELAK</t>
  </si>
  <si>
    <t>4704 Clover Ln</t>
  </si>
  <si>
    <t>Victoria C. Kelly</t>
  </si>
  <si>
    <t>4707 Cabriolet Ln.</t>
  </si>
  <si>
    <t>VICTORIA ELIZABETH BETHEL</t>
  </si>
  <si>
    <t>4422 Eastway St</t>
  </si>
  <si>
    <t>VICTORIA FREDERICK</t>
  </si>
  <si>
    <t>6146 Bapst Ave</t>
  </si>
  <si>
    <t>Victoria Garza</t>
  </si>
  <si>
    <t>5857 Suzanne Dr</t>
  </si>
  <si>
    <t>3121 Algonquin Pkwy</t>
  </si>
  <si>
    <t>VICTORIA L WHITE</t>
  </si>
  <si>
    <t>4207 Secor Road                          Apt 141</t>
  </si>
  <si>
    <t>VICTORIA M BIELAK</t>
  </si>
  <si>
    <t>1033 Olson St</t>
  </si>
  <si>
    <t>VICTORIA MARIE HERRERA</t>
  </si>
  <si>
    <t>3451 Glynn Dr</t>
  </si>
  <si>
    <t>VICTORIA MARIE PINC</t>
  </si>
  <si>
    <t>6945 Silverbrook Ct</t>
  </si>
  <si>
    <t>VICTORIA POWELL</t>
  </si>
  <si>
    <t>2701 Edwin St</t>
  </si>
  <si>
    <t>VICTORIA RABER</t>
  </si>
  <si>
    <t>5900 N River Rd Apt 27</t>
  </si>
  <si>
    <t>Victory Auto Mall</t>
  </si>
  <si>
    <t>1632 W Laskey Rd</t>
  </si>
  <si>
    <t>VILLARREAL KAYLONI</t>
  </si>
  <si>
    <t>202 Sylvania</t>
  </si>
  <si>
    <t>VILLARREAL,MONICA</t>
  </si>
  <si>
    <t>903 Kingston Ave</t>
  </si>
  <si>
    <t>VINCENT CENCIEROS</t>
  </si>
  <si>
    <t>1226 Havard</t>
  </si>
  <si>
    <t>VINCENT GSCHWIND</t>
  </si>
  <si>
    <t>4038 Parrakeet Ave</t>
  </si>
  <si>
    <t>VINCENT LEON ZOMKOWSKI</t>
  </si>
  <si>
    <t>4538 Belmar Ave</t>
  </si>
  <si>
    <t>VINCENT LYONS</t>
  </si>
  <si>
    <t>3242 Lexington Glen Blvd</t>
  </si>
  <si>
    <t>VIOLET I R DAZLEY</t>
  </si>
  <si>
    <t>1986 N Erie St</t>
  </si>
  <si>
    <t>VIRGIL ROBERT BAIRD</t>
  </si>
  <si>
    <t>8504 S River Rd</t>
  </si>
  <si>
    <t>VIRGINIA SUTHERLAND</t>
  </si>
  <si>
    <t>4815 W Sylvania Ave</t>
  </si>
  <si>
    <t>VIRGINIA TRACE</t>
  </si>
  <si>
    <t>5921 Corduroy Rd</t>
  </si>
  <si>
    <t>VISSACS ENA</t>
  </si>
  <si>
    <t>1316 Broadway</t>
  </si>
  <si>
    <t>VIVIAN CELESTE BUNNELL- MYERS</t>
  </si>
  <si>
    <t>2361 Franklin Ave</t>
  </si>
  <si>
    <t>VOLK DONALD</t>
  </si>
  <si>
    <t>4220 N. Holland-Sylvania Rd.,         Ste 203</t>
  </si>
  <si>
    <t>4220 N. Holland-Sylvania Rd.  Apt. 203</t>
  </si>
  <si>
    <t>Volvo Car Financial</t>
  </si>
  <si>
    <t>Po Box 91300</t>
  </si>
  <si>
    <t>Mobile</t>
  </si>
  <si>
    <t>Vonelle Thompson</t>
  </si>
  <si>
    <t>455 Saint Louis St</t>
  </si>
  <si>
    <t>VONTANISE L BENTON</t>
  </si>
  <si>
    <t>4660 Talmadge Road 1D</t>
  </si>
  <si>
    <t>VYAS MADHIRA</t>
  </si>
  <si>
    <t>11 Exmoor</t>
  </si>
  <si>
    <t>Wadsworth &amp; Associates, Inc.</t>
  </si>
  <si>
    <t>Wadsworth Solutions, 1500 Michael Owens Way</t>
  </si>
  <si>
    <t>WAGGONER PATRICK</t>
  </si>
  <si>
    <t>15 Pondside Drive</t>
  </si>
  <si>
    <t>WAGGONER WILLIAM</t>
  </si>
  <si>
    <t>WAGNER DAVID</t>
  </si>
  <si>
    <t>2977 115Th Street</t>
  </si>
  <si>
    <t>WAL MART 5030</t>
  </si>
  <si>
    <t>5821 Central Avenue</t>
  </si>
  <si>
    <t>WALKER CYNTHIA</t>
  </si>
  <si>
    <t>3163 Cottage</t>
  </si>
  <si>
    <t>WALKER LAVELLE</t>
  </si>
  <si>
    <t>5009 Kellogg</t>
  </si>
  <si>
    <t>WALKER MANDRELL</t>
  </si>
  <si>
    <t>101 Park Lane</t>
  </si>
  <si>
    <t>WALKER SAQUOYA</t>
  </si>
  <si>
    <t>Pontiac</t>
  </si>
  <si>
    <t>WALLACE WAYNE</t>
  </si>
  <si>
    <t>1512 Mott</t>
  </si>
  <si>
    <t>WALLEYE POWER LLC C/O FIRSTENERGY GEN CORP</t>
  </si>
  <si>
    <t>76 South Main St</t>
  </si>
  <si>
    <t>WALLEYE POWER LLC C/O FIRSTENERGY GEN LLC</t>
  </si>
  <si>
    <t>WALLEYE POWER LLC C/O OLYMPUS POWER LLC</t>
  </si>
  <si>
    <t>19 Headquarters Plaza West Tower 8Th Fl</t>
  </si>
  <si>
    <t>Morristown</t>
  </si>
  <si>
    <t>WALMART</t>
  </si>
  <si>
    <t>Walmart</t>
  </si>
  <si>
    <t>2925 Glendale Ave.</t>
  </si>
  <si>
    <t>3721 Navarre Ave.</t>
  </si>
  <si>
    <t>WALNUT WOODS</t>
  </si>
  <si>
    <t>5431 Main St</t>
  </si>
  <si>
    <t>WALTER CARRUTHERS</t>
  </si>
  <si>
    <t>2241 State Route 229</t>
  </si>
  <si>
    <t>Ashley</t>
  </si>
  <si>
    <t>WALTER CASTANEDO</t>
  </si>
  <si>
    <t>475 Valerie Dr</t>
  </si>
  <si>
    <t>Vista</t>
  </si>
  <si>
    <t>WALTER JAMES GRAFF</t>
  </si>
  <si>
    <t>WALTOS CRAIG</t>
  </si>
  <si>
    <t>2 Summit Park Drive Suite 540</t>
  </si>
  <si>
    <t>WANDA KAYE SAUNDERS</t>
  </si>
  <si>
    <t>4840 Village Lane</t>
  </si>
  <si>
    <t>WARD JOHN</t>
  </si>
  <si>
    <t>641 Curtis</t>
  </si>
  <si>
    <t>WARD,DENISE</t>
  </si>
  <si>
    <t>3647 Brunswick Dr</t>
  </si>
  <si>
    <t>WARNER CECIL BAUGHMAN</t>
  </si>
  <si>
    <t>2266 Saint James Woods Blvd</t>
  </si>
  <si>
    <t>WARNER KYLE P ETAL</t>
  </si>
  <si>
    <t>3838 Barleyton Cir</t>
  </si>
  <si>
    <t>Warren African Methodist Episcopal Church</t>
  </si>
  <si>
    <t>915 Collingwood Blvd</t>
  </si>
  <si>
    <t>WARREN NICHOLAS</t>
  </si>
  <si>
    <t>2938 Oxbridge Dr</t>
  </si>
  <si>
    <t>1318 Stanwix</t>
  </si>
  <si>
    <t>WASHINGTON TWP GIRLS SOFTBALL</t>
  </si>
  <si>
    <t>1939 Northover</t>
  </si>
  <si>
    <t>WASHINGTON WILL</t>
  </si>
  <si>
    <t>3710 W Northern Ave</t>
  </si>
  <si>
    <t>Wassim I Akl</t>
  </si>
  <si>
    <t>7 Shaftsbury Dr Apt F</t>
  </si>
  <si>
    <t>WATERFALL VICTORIA GRANTOR TRU</t>
  </si>
  <si>
    <t>WATERS CHRISTINE</t>
  </si>
  <si>
    <t>7820 Shaftsbury</t>
  </si>
  <si>
    <t>Waterville Heathcare, LLC</t>
  </si>
  <si>
    <t>8885 Browning Dr.</t>
  </si>
  <si>
    <t>2017 Gdn 2305 - Guardianship Of Samuel Johnson Jr.</t>
  </si>
  <si>
    <t>WATKINS DEMOS</t>
  </si>
  <si>
    <t>223 N Cove</t>
  </si>
  <si>
    <t>WATKINS SAMUEL</t>
  </si>
  <si>
    <t>303 Mayberry</t>
  </si>
  <si>
    <t>WATSON BOBBY</t>
  </si>
  <si>
    <t>308 S Miller</t>
  </si>
  <si>
    <t>WATSON EDDIE</t>
  </si>
  <si>
    <t>632 Palmwood</t>
  </si>
  <si>
    <t>WATSON,SHAMIR</t>
  </si>
  <si>
    <t>WAYNE LYONS</t>
  </si>
  <si>
    <t>2344 Westbank Rd Bldg 4</t>
  </si>
  <si>
    <t>Wayne Schmitz</t>
  </si>
  <si>
    <t>14900 Co. Rd. H Lot 10</t>
  </si>
  <si>
    <t>WEBER MICHAEL</t>
  </si>
  <si>
    <t>312 Walnut Street Suite 1800</t>
  </si>
  <si>
    <t>WEISENBERGER GENE</t>
  </si>
  <si>
    <t>7 Pennsylvania Lane</t>
  </si>
  <si>
    <t>Palm Coast</t>
  </si>
  <si>
    <t>WELLING GLEN</t>
  </si>
  <si>
    <t>6862 Devils Hole Road</t>
  </si>
  <si>
    <t>Wells Fargo</t>
  </si>
  <si>
    <t>91 E Main St</t>
  </si>
  <si>
    <t>Moorestown</t>
  </si>
  <si>
    <t>WELLS FARGO BANK NA</t>
  </si>
  <si>
    <t>Po Box 5480</t>
  </si>
  <si>
    <t>2514 Chase Ave</t>
  </si>
  <si>
    <t>WELLS FARGO BANK NATIONAL ASSO</t>
  </si>
  <si>
    <t>WENDI LYNN TODD</t>
  </si>
  <si>
    <t>1015 Schmidlin Rd</t>
  </si>
  <si>
    <t>WENDI MARIE DIEHL</t>
  </si>
  <si>
    <t>3422 Oakway Dr</t>
  </si>
  <si>
    <t>WENDINDA ROLAND ZONGO</t>
  </si>
  <si>
    <t>2344 Crossbough Dr</t>
  </si>
  <si>
    <t>WENDY ANN JACKSON</t>
  </si>
  <si>
    <t>5702 Angola Rd Lot 347</t>
  </si>
  <si>
    <t>WENDY BYRD</t>
  </si>
  <si>
    <t>352 Beacon St</t>
  </si>
  <si>
    <t>WENDY FULLER</t>
  </si>
  <si>
    <t>621 Bronson St</t>
  </si>
  <si>
    <t>WENNING,JOY</t>
  </si>
  <si>
    <t>8356 Hidden Forest Dr</t>
  </si>
  <si>
    <t>WESLEY LINENKUGEL</t>
  </si>
  <si>
    <t>1411 Ogontz Ave</t>
  </si>
  <si>
    <t>WESTATAR MORTGAGE CORPORATION</t>
  </si>
  <si>
    <t>1 North Dearborn St Ste 1200</t>
  </si>
  <si>
    <t>WESTFIELD</t>
  </si>
  <si>
    <t>800 West Point Parkway</t>
  </si>
  <si>
    <t>Westfield Shopping Center</t>
  </si>
  <si>
    <t>5001 Monroe St</t>
  </si>
  <si>
    <t>WESTMOOR APARTMENTS</t>
  </si>
  <si>
    <t>1001 N Byrne Road</t>
  </si>
  <si>
    <t>WESTON FISHEL LUNDQUIST</t>
  </si>
  <si>
    <t>425 Harefoote St</t>
  </si>
  <si>
    <t>WESTRAY ARRON</t>
  </si>
  <si>
    <t>5868 Livingston</t>
  </si>
  <si>
    <t>WESTRICK,ANDREW</t>
  </si>
  <si>
    <t>3309 Middlesex Dr Apt C</t>
  </si>
  <si>
    <t>White Cars Direct</t>
  </si>
  <si>
    <t>1291 Conant Street</t>
  </si>
  <si>
    <t>WHITE IVORY</t>
  </si>
  <si>
    <t>942 Kingston Ave</t>
  </si>
  <si>
    <t>WHITE JR,LON</t>
  </si>
  <si>
    <t>2300 Seaman St Apt 157</t>
  </si>
  <si>
    <t>WHITE,JOHN</t>
  </si>
  <si>
    <t>43 Ottawa Landings Dr Apt 101</t>
  </si>
  <si>
    <t>WHITESTONE HOLDINGS LLC</t>
  </si>
  <si>
    <t>500 Madison Avenue Ste 545</t>
  </si>
  <si>
    <t>WHITNER PHILLIP R</t>
  </si>
  <si>
    <t>10311 Ford Road</t>
  </si>
  <si>
    <t>Whitney Bardall</t>
  </si>
  <si>
    <t>22783 Road D</t>
  </si>
  <si>
    <t>Continental</t>
  </si>
  <si>
    <t>WIELGOPOLSKI JESSICA</t>
  </si>
  <si>
    <t>727 Inwood</t>
  </si>
  <si>
    <t>WILBARGER,JESSICA</t>
  </si>
  <si>
    <t>1519 Wildwood Rd</t>
  </si>
  <si>
    <t>WILBORN ANTHONY</t>
  </si>
  <si>
    <t>2436 Warren</t>
  </si>
  <si>
    <t>WILBURN STANLEY</t>
  </si>
  <si>
    <t>1318 South</t>
  </si>
  <si>
    <t>Wiley Homes, Inc.</t>
  </si>
  <si>
    <t>5250 Renwyck Dr.  Suite D</t>
  </si>
  <si>
    <t>WILEY TRE DEVANTE</t>
  </si>
  <si>
    <t>264 Kingswood Trail Dr</t>
  </si>
  <si>
    <t>WILHELMS LAW LLC</t>
  </si>
  <si>
    <t>P O Box 1097</t>
  </si>
  <si>
    <t>WILKERSON TELISHA</t>
  </si>
  <si>
    <t>104 Vally Grove</t>
  </si>
  <si>
    <t>WILLARD STURT</t>
  </si>
  <si>
    <t>5851 N River Rd</t>
  </si>
  <si>
    <t>WILLEE,JANICE</t>
  </si>
  <si>
    <t>7128 Willowyck Rd</t>
  </si>
  <si>
    <t>WILLIAM ANDREJAN &amp; THOMAS ANDREJAN</t>
  </si>
  <si>
    <t>6226 Judge Dr</t>
  </si>
  <si>
    <t>WILLIAM BRADFIELD</t>
  </si>
  <si>
    <t>2250 Perrysburg Holland Rd Apt</t>
  </si>
  <si>
    <t>WILLIAM CLEAVENGER</t>
  </si>
  <si>
    <t>4813 Thobe Rd</t>
  </si>
  <si>
    <t>WILLIAM CURRIER</t>
  </si>
  <si>
    <t>8335 W Bancroft Street</t>
  </si>
  <si>
    <t>WILLIAM D SMELSER</t>
  </si>
  <si>
    <t>5383 Lewis Ave Lot 133</t>
  </si>
  <si>
    <t>WILLIAM DOLLISON</t>
  </si>
  <si>
    <t>1054 Wentworth St</t>
  </si>
  <si>
    <t>William E Cotton</t>
  </si>
  <si>
    <t>702 N Erie St Apt 613</t>
  </si>
  <si>
    <t>WILLIAM E PEART</t>
  </si>
  <si>
    <t>2029 Hurd St</t>
  </si>
  <si>
    <t>WILLIAM EDWARD DAVENPORT</t>
  </si>
  <si>
    <t>1131 Fort St</t>
  </si>
  <si>
    <t>William F. Zeiler</t>
  </si>
  <si>
    <t>13100 Old State Line Road</t>
  </si>
  <si>
    <t>WILLIAM FRANK J ARRELL</t>
  </si>
  <si>
    <t>1978 Wiler Ln</t>
  </si>
  <si>
    <t>WILLIAM HAGER</t>
  </si>
  <si>
    <t>WILLIAM HICKS</t>
  </si>
  <si>
    <t>3559 Whitegate Drive</t>
  </si>
  <si>
    <t>WILLIAM HUTCHISSON</t>
  </si>
  <si>
    <t>611 Bronx Dr</t>
  </si>
  <si>
    <t>WILLIAM J BOWSER</t>
  </si>
  <si>
    <t>9747 Talonswood Rd</t>
  </si>
  <si>
    <t>WILLIAM JAMES BEST</t>
  </si>
  <si>
    <t>7350 Nightingale Dr Apt 11</t>
  </si>
  <si>
    <t>WILLIAM JAMES NIXON</t>
  </si>
  <si>
    <t>Po Box 2595</t>
  </si>
  <si>
    <t>WILLIAM JOSEPH SORENSEN</t>
  </si>
  <si>
    <t>839 Freedom St</t>
  </si>
  <si>
    <t>WILLIAM L  CRAMER</t>
  </si>
  <si>
    <t>2280 Putnam St</t>
  </si>
  <si>
    <t>WILLIAM L BRINSON</t>
  </si>
  <si>
    <t>1426 Queen St</t>
  </si>
  <si>
    <t>WILLIAM PALENSKE</t>
  </si>
  <si>
    <t>2230 Airline Ave</t>
  </si>
  <si>
    <t>WILLIAM PATRICK MARCY</t>
  </si>
  <si>
    <t>4033 Newcastle Dr</t>
  </si>
  <si>
    <t>WILLIAM PAUL</t>
  </si>
  <si>
    <t>1513 Nevada</t>
  </si>
  <si>
    <t>WILLIAM POPE</t>
  </si>
  <si>
    <t>1122 Turner Ave</t>
  </si>
  <si>
    <t>WILLIAM R LONG</t>
  </si>
  <si>
    <t>2961 Northshore Dr</t>
  </si>
  <si>
    <t>WILLIAM RADTKE</t>
  </si>
  <si>
    <t>3021 131St St</t>
  </si>
  <si>
    <t>WILLIAM ROPER</t>
  </si>
  <si>
    <t>919 River Rd</t>
  </si>
  <si>
    <t>WILLIAM RUSSELL GATLING</t>
  </si>
  <si>
    <t>550 Woodville Rd</t>
  </si>
  <si>
    <t>WILLIAM S JACOBSON ESQ</t>
  </si>
  <si>
    <t>600 Superior Ave E Ste 1200</t>
  </si>
  <si>
    <t>William Saunders</t>
  </si>
  <si>
    <t>Po Box 131</t>
  </si>
  <si>
    <t>Risingsun</t>
  </si>
  <si>
    <t>WILLIAM SHIRELY</t>
  </si>
  <si>
    <t>4709 Mount Airy Rd</t>
  </si>
  <si>
    <t>WILLIAM SMITH</t>
  </si>
  <si>
    <t>412 W John St</t>
  </si>
  <si>
    <t>WILLIAM STATON</t>
  </si>
  <si>
    <t>543 Nevada St</t>
  </si>
  <si>
    <t>WILLIAM THOMAS SLAWTER</t>
  </si>
  <si>
    <t>49 Wamba Ave</t>
  </si>
  <si>
    <t>WILLIAM WARD</t>
  </si>
  <si>
    <t>6201 Garden Rd Apt A14</t>
  </si>
  <si>
    <t>WILLIAM WILHELM</t>
  </si>
  <si>
    <t>3016 Capri Dr</t>
  </si>
  <si>
    <t>WILLIAM ZEILER REAL ESTATE LLC</t>
  </si>
  <si>
    <t>13020 Old State Line Rd</t>
  </si>
  <si>
    <t>WILLIAMS ANTOINE</t>
  </si>
  <si>
    <t>2616 Calverton</t>
  </si>
  <si>
    <t>WILLIAMS ANTONIO</t>
  </si>
  <si>
    <t>827 N Ontario</t>
  </si>
  <si>
    <t>WILLIAMS GLEN</t>
  </si>
  <si>
    <t>1024 Broer</t>
  </si>
  <si>
    <t>WILLIAMS MONICA</t>
  </si>
  <si>
    <t>3822 Revere</t>
  </si>
  <si>
    <t>WILLIAMS SHANON CHERISE</t>
  </si>
  <si>
    <t>812 National Ave</t>
  </si>
  <si>
    <t>WILLIAMS SMITH</t>
  </si>
  <si>
    <t>WILLIAMS THOMAS &amp; LORI</t>
  </si>
  <si>
    <t>5051 Chatham Valley Dr</t>
  </si>
  <si>
    <t>WILLIAMS WAY DEVELOPMENT CO</t>
  </si>
  <si>
    <t>7555 Coder Rd</t>
  </si>
  <si>
    <t>Williams, Joshua</t>
  </si>
  <si>
    <t>3530 Mary Allen Drive</t>
  </si>
  <si>
    <t>WILLIAMS,JOSHUA</t>
  </si>
  <si>
    <t>5060 W Sylvania Ave</t>
  </si>
  <si>
    <t>WILLIE F MYERS</t>
  </si>
  <si>
    <t>3525 Secor Rd Apt 427</t>
  </si>
  <si>
    <t>WILLIS JERALD</t>
  </si>
  <si>
    <t>1756 Kensington</t>
  </si>
  <si>
    <t>WILLOUGHBY CRAIG</t>
  </si>
  <si>
    <t>718 Lodge Ave</t>
  </si>
  <si>
    <t>WILMINGTON SAVINGS FUNDS SOCIE</t>
  </si>
  <si>
    <t>WILSON ADRIAN</t>
  </si>
  <si>
    <t>903 Brookley</t>
  </si>
  <si>
    <t>WILSON DALE</t>
  </si>
  <si>
    <t>WILSON JOSEPH</t>
  </si>
  <si>
    <t>6372 Flagstone</t>
  </si>
  <si>
    <t>Kalamazoo</t>
  </si>
  <si>
    <t>WILSON,DAVID</t>
  </si>
  <si>
    <t>3130 Darlington Rd</t>
  </si>
  <si>
    <t>WILSON,NICHOLAS</t>
  </si>
  <si>
    <t>2451 Scottwood Ave</t>
  </si>
  <si>
    <t>WIMBERLEY LUCAS</t>
  </si>
  <si>
    <t>2150 N Mccord</t>
  </si>
  <si>
    <t>WINDEE M RAGLAND</t>
  </si>
  <si>
    <t>P.O. Box 12204</t>
  </si>
  <si>
    <t>WING JAMES TRELOAR</t>
  </si>
  <si>
    <t>3361 Executive Pkwy #100</t>
  </si>
  <si>
    <t>WINGART PAUL AND RITA</t>
  </si>
  <si>
    <t>WINKLER,BRUCE</t>
  </si>
  <si>
    <t>5860 Harvest Ln</t>
  </si>
  <si>
    <t>WINNIE V ADAMS</t>
  </si>
  <si>
    <t>1823 Joffre Ave</t>
  </si>
  <si>
    <t>WINTERHALTER,SUSANNE</t>
  </si>
  <si>
    <t>833 Athens Rd</t>
  </si>
  <si>
    <t>WOFFARD MOORE SHEILA</t>
  </si>
  <si>
    <t>WOLROD MARIE</t>
  </si>
  <si>
    <t>5808 Fern</t>
  </si>
  <si>
    <t>Wolverine Toyota</t>
  </si>
  <si>
    <t>16490 Tecumseh</t>
  </si>
  <si>
    <t>WOMACK,BRENDA</t>
  </si>
  <si>
    <t>437 Elmdale Ct</t>
  </si>
  <si>
    <t>WOOD,JOSEPH</t>
  </si>
  <si>
    <t>2545 Michael Ln</t>
  </si>
  <si>
    <t>WOODS DESHAWN</t>
  </si>
  <si>
    <t>121 E Woodruff</t>
  </si>
  <si>
    <t>WOODS JENNIFER</t>
  </si>
  <si>
    <t>1323 Champlain</t>
  </si>
  <si>
    <t>WOODS ROOSEVELT JR</t>
  </si>
  <si>
    <t>317 Amber Ct</t>
  </si>
  <si>
    <t>Woods Tree &amp; Lawn Service, LLC</t>
  </si>
  <si>
    <t>8880 Maumee Western Rd.</t>
  </si>
  <si>
    <t>WOODSON DEMETRIUS</t>
  </si>
  <si>
    <t>933 Shirley</t>
  </si>
  <si>
    <t>Woodville Road Surplus, Inc.</t>
  </si>
  <si>
    <t>D.B.A. Woodville Surplus   2172 Woodville Rd</t>
  </si>
  <si>
    <t>WORLEY SCOTT</t>
  </si>
  <si>
    <t>417 Waybridge</t>
  </si>
  <si>
    <t>WORONA RICKEY</t>
  </si>
  <si>
    <t>610 Orchard Street</t>
  </si>
  <si>
    <t>WORTHAM RICHARD</t>
  </si>
  <si>
    <t>1233 Erie</t>
  </si>
  <si>
    <t>WORTHY KATRINA</t>
  </si>
  <si>
    <t>3818 Drexel Dr</t>
  </si>
  <si>
    <t>WRENN ANWA</t>
  </si>
  <si>
    <t>1826 N Westwood</t>
  </si>
  <si>
    <t>Wright and Sons Trucking LLC</t>
  </si>
  <si>
    <t>3758 Hill Ave Apt 156</t>
  </si>
  <si>
    <t>WRIGHT COURTNEY</t>
  </si>
  <si>
    <t>140 Dexter</t>
  </si>
  <si>
    <t>WRIGHT KELLY M</t>
  </si>
  <si>
    <t>721 Willard St</t>
  </si>
  <si>
    <t>WRIGHT PAUL E &amp; BETTY</t>
  </si>
  <si>
    <t>4822 Sadalia Rd</t>
  </si>
  <si>
    <t>WRIGHT TERRY</t>
  </si>
  <si>
    <t>WYATT BROWN</t>
  </si>
  <si>
    <t>162 Spencer St</t>
  </si>
  <si>
    <t>WYATT TRINIDAD</t>
  </si>
  <si>
    <t>2304 South</t>
  </si>
  <si>
    <t>XAVIER ADOLFO ROSALES GOMEZ</t>
  </si>
  <si>
    <t>26593 Carronade</t>
  </si>
  <si>
    <t>Yakumithis, Mary V</t>
  </si>
  <si>
    <t>Dd/Oct 2019</t>
  </si>
  <si>
    <t>Yark Chevrolet LLC</t>
  </si>
  <si>
    <t>26997 N Dixie Hwy</t>
  </si>
  <si>
    <t>Yashica A C Hughes</t>
  </si>
  <si>
    <t>673 Arcadia Ave</t>
  </si>
  <si>
    <t>YATES KELLY R</t>
  </si>
  <si>
    <t>1227 Utah St</t>
  </si>
  <si>
    <t>YATT MIGUEL</t>
  </si>
  <si>
    <t>706 E High</t>
  </si>
  <si>
    <t>Hicksville</t>
  </si>
  <si>
    <t>YCC INC</t>
  </si>
  <si>
    <t>2729 Edgehill Rd</t>
  </si>
  <si>
    <t>Cleveland Heights</t>
  </si>
  <si>
    <t>YLISSE JOELL YEPEZ</t>
  </si>
  <si>
    <t>4214 Commonwealth Ave</t>
  </si>
  <si>
    <t>YNILE MARTINEZ</t>
  </si>
  <si>
    <t>2556 Brown Rd</t>
  </si>
  <si>
    <t>YOUNG JAMES III</t>
  </si>
  <si>
    <t>336 Landon Ln,</t>
  </si>
  <si>
    <t>Young, Isaiah</t>
  </si>
  <si>
    <t>1318 Potomac</t>
  </si>
  <si>
    <t>YVONNE E THOMPSON</t>
  </si>
  <si>
    <t>3225 Millstone Ct</t>
  </si>
  <si>
    <t>ZAAHIR-BEY ANGENAE</t>
  </si>
  <si>
    <t>2409 Cheyenne Unit 100</t>
  </si>
  <si>
    <t>ZABOROWSKI FRANK</t>
  </si>
  <si>
    <t>5742 Bennett</t>
  </si>
  <si>
    <t>ZABORSKI STEPHEN</t>
  </si>
  <si>
    <t>1830 Chase Street</t>
  </si>
  <si>
    <t>ZACHARY A CIEPLY</t>
  </si>
  <si>
    <t>6141 Bayshore Rd</t>
  </si>
  <si>
    <t>Zachary Dobey</t>
  </si>
  <si>
    <t>1082 Fairview Ave  Apt K4</t>
  </si>
  <si>
    <t>ZACHARY J DURST</t>
  </si>
  <si>
    <t>3661 Sherbrooke Rd</t>
  </si>
  <si>
    <t>ZACHARY J MURRY</t>
  </si>
  <si>
    <t>1701 Woodlands Dr Ste 100</t>
  </si>
  <si>
    <t>Zachary Kendrick</t>
  </si>
  <si>
    <t>2834 Elmridge Dr.</t>
  </si>
  <si>
    <t>Evansville</t>
  </si>
  <si>
    <t>Unclaimed Funds (2023) 2015 Est 44 - Estate Of George F Kendrick</t>
  </si>
  <si>
    <t>ZACHARY KILGORE</t>
  </si>
  <si>
    <t>2717 Glenwood Ave</t>
  </si>
  <si>
    <t>ZACHARY M SHAFFER</t>
  </si>
  <si>
    <t>ZACHARY R WEIMER</t>
  </si>
  <si>
    <t>Zachary Robbins</t>
  </si>
  <si>
    <t>Unclaimed Funds 2020 Est 1180 For Zachary Robbins</t>
  </si>
  <si>
    <t>ZACHARY WILLIAM BARNES</t>
  </si>
  <si>
    <t>5818 Grisell Rd</t>
  </si>
  <si>
    <t>ZACHARY WINCEK</t>
  </si>
  <si>
    <t>6383 Glenhurst Dr Apt 7</t>
  </si>
  <si>
    <t>ZACHORY ERIK RYAN MOFFITT</t>
  </si>
  <si>
    <t>222 Somerset St</t>
  </si>
  <si>
    <t>ZANE CRAIG GIFFEN</t>
  </si>
  <si>
    <t>110 Ottawa St Apt 4B</t>
  </si>
  <si>
    <t>ZAPATA RICARDO</t>
  </si>
  <si>
    <t>2325 Shoreland Unit 218</t>
  </si>
  <si>
    <t>ZEPHANIAH ROBERT MICHAM</t>
  </si>
  <si>
    <t>5210 Brandel Cir Lot 51</t>
  </si>
  <si>
    <t>ZIEGLER PATRICIA</t>
  </si>
  <si>
    <t>732 Dearborn Avenue</t>
  </si>
  <si>
    <t>ZIELINSKI JORDAN</t>
  </si>
  <si>
    <t>1317 Crestwood</t>
  </si>
  <si>
    <t>Zintz, Brianna</t>
  </si>
  <si>
    <t>5650 Camberley</t>
  </si>
  <si>
    <t>Zmuda, Alexa</t>
  </si>
  <si>
    <t>2364 Robinwood Avenue</t>
  </si>
  <si>
    <t>ZOBRIST BRIAN AND LAURA</t>
  </si>
  <si>
    <t>6800 W Central Avenue  Suite B-1</t>
  </si>
  <si>
    <t>6800 W Central Avenue,          Ste B-1</t>
  </si>
  <si>
    <t>ZUNK DEBRA</t>
  </si>
  <si>
    <t>2703 Arthur Street</t>
  </si>
  <si>
    <t>241 N Superior       Ste 300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</si>
</sst>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8" x14ac:knownFonts="1">
    <font>
      <sz val="11"/>
      <color theme="1"/>
      <name val="Calibri"/>
      <family val="2"/>
    </font>
    <font>
      <sz val="11"/>
      <color theme="1"/>
      <name val="Calibri"/>
      <family val="2"/>
    </font>
    <font>
      <sz val="18"/>
      <color theme="3"/>
      <name val="Aptos Display"/>
      <family val="2"/>
      <scheme val="major"/>
    </font>
    <font>
      <b/>
      <sz val="15"/>
      <color theme="3"/>
      <name val="Calibri"/>
      <family val="2"/>
    </font>
    <font>
      <b/>
      <sz val="13"/>
      <color theme="3"/>
      <name val="Calibri"/>
      <family val="2"/>
    </font>
    <font>
      <b/>
      <sz val="11"/>
      <color theme="3"/>
      <name val="Calibri"/>
      <family val="2"/>
    </font>
    <font>
      <sz val="11"/>
      <color rgb="FF006100"/>
      <name val="Calibri"/>
      <family val="2"/>
    </font>
    <font>
      <sz val="11"/>
      <color rgb="FF9C0006"/>
      <name val="Calibri"/>
      <family val="2"/>
    </font>
    <font>
      <sz val="11"/>
      <color rgb="FF9C5700"/>
      <name val="Calibri"/>
      <family val="2"/>
    </font>
    <font>
      <sz val="11"/>
      <color rgb="FF3F3F76"/>
      <name val="Calibri"/>
      <family val="2"/>
    </font>
    <font>
      <b/>
      <sz val="11"/>
      <color rgb="FF3F3F3F"/>
      <name val="Calibri"/>
      <family val="2"/>
    </font>
    <font>
      <b/>
      <sz val="11"/>
      <color rgb="FFFA7D00"/>
      <name val="Calibri"/>
      <family val="2"/>
    </font>
    <font>
      <sz val="11"/>
      <color rgb="FFFA7D0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i/>
      <sz val="11"/>
      <color rgb="FF7F7F7F"/>
      <name val="Calibri"/>
      <family val="2"/>
    </font>
    <font>
      <b/>
      <sz val="11"/>
      <color theme="1"/>
      <name val="Calibri"/>
      <family val="2"/>
    </font>
    <font>
      <sz val="11"/>
      <color theme="0"/>
      <name val="Calibri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5">
    <xf numFmtId="0" fontId="0" fillId="0" borderId="0" xfId="0"/>
    <xf numFmtId="0" fontId="0" fillId="0" borderId="0" xfId="0" applyAlignment="1">
      <alignment wrapText="1"/>
    </xf>
    <xf numFmtId="43" fontId="0" fillId="0" borderId="0" xfId="1" applyFont="1"/>
    <xf numFmtId="0" fontId="0" fillId="0" borderId="0" xfId="0" applyAlignment="1">
      <alignment horizontal="center"/>
    </xf>
    <xf numFmtId="43" fontId="0" fillId="0" borderId="0" xfId="1" applyFont="1" applyAlignment="1">
      <alignment horizontal="center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7ED5A4-127A-4E16-8277-137C4B02D5C5}">
  <dimension ref="A1:K7751"/>
  <sheetViews>
    <sheetView tabSelected="1" workbookViewId="0">
      <pane ySplit="1" topLeftCell="A2" activePane="bottomLeft" state="frozen"/>
      <selection pane="bottomLeft"/>
    </sheetView>
  </sheetViews>
  <sheetFormatPr defaultRowHeight="15" x14ac:dyDescent="0.25"/>
  <cols>
    <col min="2" max="2" width="32.42578125" customWidth="1"/>
    <col min="3" max="3" width="32.140625" customWidth="1"/>
    <col min="4" max="4" width="19.42578125" customWidth="1"/>
    <col min="5" max="5" width="13.5703125" customWidth="1"/>
    <col min="6" max="6" width="16.140625" customWidth="1"/>
    <col min="7" max="7" width="13.85546875" customWidth="1"/>
    <col min="8" max="8" width="11.5703125" style="2" bestFit="1" customWidth="1"/>
    <col min="9" max="9" width="23.140625" customWidth="1"/>
    <col min="10" max="10" width="49.42578125" customWidth="1"/>
    <col min="11" max="11" width="14.42578125" customWidth="1"/>
  </cols>
  <sheetData>
    <row r="1" spans="1:11" s="3" customFormat="1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4" t="s">
        <v>7</v>
      </c>
      <c r="I1" s="3" t="s">
        <v>8</v>
      </c>
      <c r="J1" s="3" t="s">
        <v>9</v>
      </c>
      <c r="K1" s="3" t="s">
        <v>10</v>
      </c>
    </row>
    <row r="2" spans="1:11" x14ac:dyDescent="0.25">
      <c r="A2">
        <v>2021</v>
      </c>
      <c r="B2" t="s">
        <v>40</v>
      </c>
      <c r="C2" t="s">
        <v>41</v>
      </c>
      <c r="D2" t="s">
        <v>19</v>
      </c>
      <c r="E2" t="s">
        <v>20</v>
      </c>
      <c r="F2" t="str">
        <f>"43611-1556"</f>
        <v>43611-1556</v>
      </c>
      <c r="G2" t="str">
        <f>"402019"</f>
        <v>402019</v>
      </c>
      <c r="H2" s="2">
        <f>10</f>
        <v>10</v>
      </c>
      <c r="I2" t="s">
        <v>27</v>
      </c>
      <c r="J2" t="s">
        <v>42</v>
      </c>
      <c r="K2" t="str">
        <f>"112247"</f>
        <v>112247</v>
      </c>
    </row>
    <row r="3" spans="1:11" x14ac:dyDescent="0.25">
      <c r="A3">
        <v>2021</v>
      </c>
      <c r="B3" t="s">
        <v>56</v>
      </c>
      <c r="C3" t="s">
        <v>57</v>
      </c>
      <c r="D3" t="s">
        <v>58</v>
      </c>
      <c r="E3" t="s">
        <v>20</v>
      </c>
      <c r="F3" t="str">
        <f>"43616-4006"</f>
        <v>43616-4006</v>
      </c>
      <c r="G3" t="str">
        <f>"402019"</f>
        <v>402019</v>
      </c>
      <c r="H3" s="2">
        <f>10</f>
        <v>10</v>
      </c>
      <c r="I3" t="s">
        <v>27</v>
      </c>
      <c r="J3" t="s">
        <v>42</v>
      </c>
      <c r="K3" t="str">
        <f>"113967"</f>
        <v>113967</v>
      </c>
    </row>
    <row r="4" spans="1:11" x14ac:dyDescent="0.25">
      <c r="A4">
        <v>2021</v>
      </c>
      <c r="B4" t="s">
        <v>67</v>
      </c>
      <c r="C4" t="s">
        <v>68</v>
      </c>
      <c r="D4" t="s">
        <v>69</v>
      </c>
      <c r="E4" t="s">
        <v>70</v>
      </c>
      <c r="F4" t="str">
        <f>"64014"</f>
        <v>64014</v>
      </c>
      <c r="G4" t="str">
        <f>"402063"</f>
        <v>402063</v>
      </c>
      <c r="H4" s="2">
        <f>5</f>
        <v>5</v>
      </c>
      <c r="I4" t="s">
        <v>27</v>
      </c>
      <c r="J4" t="s">
        <v>71</v>
      </c>
      <c r="K4" t="str">
        <f>"44007215"</f>
        <v>44007215</v>
      </c>
    </row>
    <row r="5" spans="1:11" x14ac:dyDescent="0.25">
      <c r="A5">
        <v>2021</v>
      </c>
      <c r="B5" t="s">
        <v>72</v>
      </c>
      <c r="C5" t="s">
        <v>73</v>
      </c>
      <c r="D5" t="s">
        <v>19</v>
      </c>
      <c r="E5" t="s">
        <v>20</v>
      </c>
      <c r="F5" t="str">
        <f>"43614-4325"</f>
        <v>43614-4325</v>
      </c>
      <c r="G5" t="str">
        <f>"402019"</f>
        <v>402019</v>
      </c>
      <c r="H5" s="2">
        <f>10</f>
        <v>10</v>
      </c>
      <c r="I5" t="s">
        <v>27</v>
      </c>
      <c r="J5" t="s">
        <v>42</v>
      </c>
      <c r="K5" t="str">
        <f>"115231"</f>
        <v>115231</v>
      </c>
    </row>
    <row r="6" spans="1:11" x14ac:dyDescent="0.25">
      <c r="A6">
        <v>2021</v>
      </c>
      <c r="B6" t="s">
        <v>78</v>
      </c>
      <c r="C6" t="s">
        <v>79</v>
      </c>
      <c r="D6" t="s">
        <v>80</v>
      </c>
      <c r="E6" t="s">
        <v>20</v>
      </c>
      <c r="F6" t="str">
        <f>"44820-2127"</f>
        <v>44820-2127</v>
      </c>
      <c r="G6" t="str">
        <f>"Swucf4621"</f>
        <v>Swucf4621</v>
      </c>
      <c r="H6" s="2">
        <f>18.45</f>
        <v>18.45</v>
      </c>
      <c r="I6" t="s">
        <v>15</v>
      </c>
      <c r="J6" t="s">
        <v>81</v>
      </c>
      <c r="K6" t="str">
        <f>"6288499"</f>
        <v>6288499</v>
      </c>
    </row>
    <row r="7" spans="1:11" x14ac:dyDescent="0.25">
      <c r="A7">
        <v>2021</v>
      </c>
      <c r="B7" t="s">
        <v>82</v>
      </c>
      <c r="C7" t="s">
        <v>83</v>
      </c>
      <c r="D7" t="s">
        <v>84</v>
      </c>
      <c r="E7" t="s">
        <v>85</v>
      </c>
      <c r="F7" t="str">
        <f>"98118"</f>
        <v>98118</v>
      </c>
      <c r="G7" t="str">
        <f>"Pio448069"</f>
        <v>Pio448069</v>
      </c>
      <c r="H7" s="2">
        <f>0.76</f>
        <v>0.76</v>
      </c>
      <c r="I7" t="s">
        <v>86</v>
      </c>
      <c r="J7" t="s">
        <v>87</v>
      </c>
      <c r="K7" t="str">
        <f>"0"</f>
        <v>0</v>
      </c>
    </row>
    <row r="8" spans="1:11" x14ac:dyDescent="0.25">
      <c r="A8">
        <v>2021</v>
      </c>
      <c r="B8" t="s">
        <v>109</v>
      </c>
      <c r="C8" t="s">
        <v>110</v>
      </c>
      <c r="D8" t="s">
        <v>111</v>
      </c>
      <c r="E8" t="s">
        <v>20</v>
      </c>
      <c r="F8" t="str">
        <f>"43209"</f>
        <v>43209</v>
      </c>
      <c r="G8" t="str">
        <f>"Pio448069"</f>
        <v>Pio448069</v>
      </c>
      <c r="H8" s="2">
        <f>1.5</f>
        <v>1.5</v>
      </c>
      <c r="I8" t="s">
        <v>86</v>
      </c>
      <c r="J8" t="s">
        <v>87</v>
      </c>
      <c r="K8" t="str">
        <f>"0"</f>
        <v>0</v>
      </c>
    </row>
    <row r="9" spans="1:11" x14ac:dyDescent="0.25">
      <c r="A9">
        <v>2021</v>
      </c>
      <c r="B9" t="s">
        <v>112</v>
      </c>
      <c r="C9" t="s">
        <v>113</v>
      </c>
      <c r="D9" t="s">
        <v>19</v>
      </c>
      <c r="E9" t="s">
        <v>20</v>
      </c>
      <c r="F9" t="str">
        <f>"43615"</f>
        <v>43615</v>
      </c>
      <c r="G9" t="str">
        <f>"Je092221"</f>
        <v>Je092221</v>
      </c>
      <c r="H9" s="2">
        <f>70</f>
        <v>70</v>
      </c>
      <c r="I9" t="s">
        <v>15</v>
      </c>
      <c r="J9" t="s">
        <v>114</v>
      </c>
      <c r="K9" t="str">
        <f>"60014152"</f>
        <v>60014152</v>
      </c>
    </row>
    <row r="10" spans="1:11" x14ac:dyDescent="0.25">
      <c r="A10">
        <v>2021</v>
      </c>
      <c r="B10" t="s">
        <v>123</v>
      </c>
      <c r="C10" t="s">
        <v>124</v>
      </c>
      <c r="D10" t="s">
        <v>125</v>
      </c>
      <c r="E10" t="s">
        <v>20</v>
      </c>
      <c r="F10" t="str">
        <f>"43537"</f>
        <v>43537</v>
      </c>
      <c r="G10" t="str">
        <f>"Je092221"</f>
        <v>Je092221</v>
      </c>
      <c r="H10" s="2">
        <f>61.56</f>
        <v>61.56</v>
      </c>
      <c r="I10" t="s">
        <v>15</v>
      </c>
      <c r="J10" t="s">
        <v>114</v>
      </c>
      <c r="K10" t="str">
        <f>"60015027"</f>
        <v>60015027</v>
      </c>
    </row>
    <row r="11" spans="1:11" x14ac:dyDescent="0.25">
      <c r="A11">
        <v>2021</v>
      </c>
      <c r="B11" t="s">
        <v>131</v>
      </c>
      <c r="C11" t="s">
        <v>132</v>
      </c>
      <c r="D11" t="s">
        <v>19</v>
      </c>
      <c r="E11" t="s">
        <v>20</v>
      </c>
      <c r="F11" t="str">
        <f>"43612-1706"</f>
        <v>43612-1706</v>
      </c>
      <c r="G11" t="str">
        <f>"402019"</f>
        <v>402019</v>
      </c>
      <c r="H11" s="2">
        <f>20</f>
        <v>20</v>
      </c>
      <c r="I11" t="s">
        <v>27</v>
      </c>
      <c r="J11" t="s">
        <v>42</v>
      </c>
      <c r="K11" t="str">
        <f>"114436"</f>
        <v>114436</v>
      </c>
    </row>
    <row r="12" spans="1:11" x14ac:dyDescent="0.25">
      <c r="A12">
        <v>2021</v>
      </c>
      <c r="B12" t="s">
        <v>135</v>
      </c>
      <c r="C12" t="s">
        <v>136</v>
      </c>
      <c r="D12" t="s">
        <v>19</v>
      </c>
      <c r="E12" t="s">
        <v>20</v>
      </c>
      <c r="F12" t="str">
        <f>"43613"</f>
        <v>43613</v>
      </c>
      <c r="G12" t="str">
        <f>"Je061721"</f>
        <v>Je061721</v>
      </c>
      <c r="H12" s="2">
        <f>425.98</f>
        <v>425.98</v>
      </c>
      <c r="I12" t="s">
        <v>15</v>
      </c>
      <c r="J12" t="s">
        <v>137</v>
      </c>
      <c r="K12" t="str">
        <f>"60005358"</f>
        <v>60005358</v>
      </c>
    </row>
    <row r="13" spans="1:11" x14ac:dyDescent="0.25">
      <c r="A13">
        <v>2021</v>
      </c>
      <c r="B13" t="s">
        <v>152</v>
      </c>
      <c r="C13" t="s">
        <v>153</v>
      </c>
      <c r="D13" t="s">
        <v>19</v>
      </c>
      <c r="E13" t="s">
        <v>20</v>
      </c>
      <c r="F13" t="str">
        <f>"11111"</f>
        <v>11111</v>
      </c>
      <c r="G13" t="str">
        <f>"Pio448069"</f>
        <v>Pio448069</v>
      </c>
      <c r="H13" s="2">
        <f>10</f>
        <v>10</v>
      </c>
      <c r="I13" t="s">
        <v>86</v>
      </c>
      <c r="J13" t="s">
        <v>87</v>
      </c>
      <c r="K13" t="str">
        <f>"0"</f>
        <v>0</v>
      </c>
    </row>
    <row r="14" spans="1:11" x14ac:dyDescent="0.25">
      <c r="A14">
        <v>2021</v>
      </c>
      <c r="B14" t="s">
        <v>158</v>
      </c>
      <c r="C14" t="s">
        <v>159</v>
      </c>
      <c r="D14" t="s">
        <v>19</v>
      </c>
      <c r="E14" t="s">
        <v>20</v>
      </c>
      <c r="F14" t="str">
        <f>"43623"</f>
        <v>43623</v>
      </c>
      <c r="G14" t="str">
        <f>"Pio448069"</f>
        <v>Pio448069</v>
      </c>
      <c r="H14" s="2">
        <f>1</f>
        <v>1</v>
      </c>
      <c r="I14" t="s">
        <v>86</v>
      </c>
      <c r="J14" t="s">
        <v>87</v>
      </c>
      <c r="K14" t="str">
        <f>"0"</f>
        <v>0</v>
      </c>
    </row>
    <row r="15" spans="1:11" x14ac:dyDescent="0.25">
      <c r="A15">
        <v>2021</v>
      </c>
      <c r="B15" t="s">
        <v>170</v>
      </c>
      <c r="C15" t="s">
        <v>169</v>
      </c>
      <c r="D15" t="s">
        <v>19</v>
      </c>
      <c r="E15" t="s">
        <v>20</v>
      </c>
      <c r="F15" t="str">
        <f>"43604"</f>
        <v>43604</v>
      </c>
      <c r="G15" t="str">
        <f>"402018"</f>
        <v>402018</v>
      </c>
      <c r="H15" s="2">
        <f>9.08</f>
        <v>9.08</v>
      </c>
      <c r="I15" t="s">
        <v>27</v>
      </c>
      <c r="J15" t="s">
        <v>171</v>
      </c>
      <c r="K15" t="str">
        <f>"517595"</f>
        <v>517595</v>
      </c>
    </row>
    <row r="16" spans="1:11" x14ac:dyDescent="0.25">
      <c r="A16">
        <v>2021</v>
      </c>
      <c r="B16" t="s">
        <v>172</v>
      </c>
      <c r="C16" t="s">
        <v>173</v>
      </c>
      <c r="D16" t="s">
        <v>19</v>
      </c>
      <c r="E16" t="s">
        <v>20</v>
      </c>
      <c r="F16" t="str">
        <f>"43610"</f>
        <v>43610</v>
      </c>
      <c r="G16" t="str">
        <f>"Pio448069"</f>
        <v>Pio448069</v>
      </c>
      <c r="H16" s="2">
        <f>22</f>
        <v>22</v>
      </c>
      <c r="I16" t="s">
        <v>86</v>
      </c>
      <c r="J16" t="s">
        <v>87</v>
      </c>
      <c r="K16" t="str">
        <f>"0"</f>
        <v>0</v>
      </c>
    </row>
    <row r="17" spans="1:11" x14ac:dyDescent="0.25">
      <c r="A17">
        <v>2021</v>
      </c>
      <c r="B17" t="s">
        <v>177</v>
      </c>
      <c r="C17" t="s">
        <v>178</v>
      </c>
      <c r="F17" t="str">
        <f>""</f>
        <v/>
      </c>
      <c r="G17" t="str">
        <f>"Swucf4621"</f>
        <v>Swucf4621</v>
      </c>
      <c r="H17" s="2">
        <f>45.82</f>
        <v>45.82</v>
      </c>
      <c r="I17" t="s">
        <v>15</v>
      </c>
      <c r="J17" t="s">
        <v>81</v>
      </c>
      <c r="K17" t="str">
        <f>"6297642"</f>
        <v>6297642</v>
      </c>
    </row>
    <row r="18" spans="1:11" x14ac:dyDescent="0.25">
      <c r="A18">
        <v>2021</v>
      </c>
      <c r="B18" t="s">
        <v>210</v>
      </c>
      <c r="C18" t="s">
        <v>211</v>
      </c>
      <c r="D18" t="s">
        <v>19</v>
      </c>
      <c r="E18" t="s">
        <v>20</v>
      </c>
      <c r="F18" t="str">
        <f>"43606"</f>
        <v>43606</v>
      </c>
      <c r="G18" t="str">
        <f>"402017"</f>
        <v>402017</v>
      </c>
      <c r="H18" s="2">
        <f>9.55</f>
        <v>9.5500000000000007</v>
      </c>
      <c r="I18" t="s">
        <v>27</v>
      </c>
      <c r="J18" t="s">
        <v>212</v>
      </c>
      <c r="K18" t="str">
        <f>"33721"</f>
        <v>33721</v>
      </c>
    </row>
    <row r="19" spans="1:11" x14ac:dyDescent="0.25">
      <c r="A19">
        <v>2021</v>
      </c>
      <c r="B19" t="s">
        <v>226</v>
      </c>
      <c r="C19" t="s">
        <v>227</v>
      </c>
      <c r="D19" t="s">
        <v>19</v>
      </c>
      <c r="E19" t="s">
        <v>20</v>
      </c>
      <c r="F19" t="str">
        <f>"43615-4661"</f>
        <v>43615-4661</v>
      </c>
      <c r="G19" t="str">
        <f>"402019"</f>
        <v>402019</v>
      </c>
      <c r="H19" s="2">
        <f>20</f>
        <v>20</v>
      </c>
      <c r="I19" t="s">
        <v>27</v>
      </c>
      <c r="J19" t="s">
        <v>42</v>
      </c>
      <c r="K19" t="str">
        <f>"113096"</f>
        <v>113096</v>
      </c>
    </row>
    <row r="20" spans="1:11" x14ac:dyDescent="0.25">
      <c r="A20">
        <v>2021</v>
      </c>
      <c r="B20" t="s">
        <v>228</v>
      </c>
      <c r="C20" t="s">
        <v>229</v>
      </c>
      <c r="D20" t="s">
        <v>19</v>
      </c>
      <c r="E20" t="s">
        <v>20</v>
      </c>
      <c r="F20" t="str">
        <f>"43613-3827"</f>
        <v>43613-3827</v>
      </c>
      <c r="G20" t="str">
        <f>"402019"</f>
        <v>402019</v>
      </c>
      <c r="H20" s="2">
        <f>20</f>
        <v>20</v>
      </c>
      <c r="I20" t="s">
        <v>27</v>
      </c>
      <c r="J20" t="s">
        <v>42</v>
      </c>
      <c r="K20" t="str">
        <f>"115587"</f>
        <v>115587</v>
      </c>
    </row>
    <row r="21" spans="1:11" x14ac:dyDescent="0.25">
      <c r="A21">
        <v>2021</v>
      </c>
      <c r="B21" t="s">
        <v>240</v>
      </c>
      <c r="C21" t="s">
        <v>241</v>
      </c>
      <c r="D21" t="s">
        <v>125</v>
      </c>
      <c r="E21" t="s">
        <v>20</v>
      </c>
      <c r="F21" t="str">
        <f>"43537"</f>
        <v>43537</v>
      </c>
      <c r="G21" t="str">
        <f>"402018"</f>
        <v>402018</v>
      </c>
      <c r="H21" s="2">
        <f>25</f>
        <v>25</v>
      </c>
      <c r="I21" t="s">
        <v>27</v>
      </c>
      <c r="J21" t="s">
        <v>171</v>
      </c>
      <c r="K21" t="str">
        <f>"516829"</f>
        <v>516829</v>
      </c>
    </row>
    <row r="22" spans="1:11" x14ac:dyDescent="0.25">
      <c r="A22">
        <v>2021</v>
      </c>
      <c r="B22" t="s">
        <v>240</v>
      </c>
      <c r="C22" t="s">
        <v>241</v>
      </c>
      <c r="D22" t="s">
        <v>125</v>
      </c>
      <c r="E22" t="s">
        <v>20</v>
      </c>
      <c r="F22" t="str">
        <f>"43537"</f>
        <v>43537</v>
      </c>
      <c r="G22" t="str">
        <f>"402018"</f>
        <v>402018</v>
      </c>
      <c r="H22" s="2">
        <f>25</f>
        <v>25</v>
      </c>
      <c r="I22" t="s">
        <v>27</v>
      </c>
      <c r="J22" t="s">
        <v>171</v>
      </c>
      <c r="K22" t="str">
        <f>"517054"</f>
        <v>517054</v>
      </c>
    </row>
    <row r="23" spans="1:11" x14ac:dyDescent="0.25">
      <c r="A23">
        <v>2021</v>
      </c>
      <c r="B23" t="s">
        <v>242</v>
      </c>
      <c r="C23" t="s">
        <v>243</v>
      </c>
      <c r="D23" t="s">
        <v>50</v>
      </c>
      <c r="E23" t="s">
        <v>20</v>
      </c>
      <c r="F23" t="str">
        <f>"43560"</f>
        <v>43560</v>
      </c>
      <c r="G23" t="str">
        <f>"Pio448069"</f>
        <v>Pio448069</v>
      </c>
      <c r="H23" s="2">
        <f>1.11</f>
        <v>1.1100000000000001</v>
      </c>
      <c r="I23" t="s">
        <v>86</v>
      </c>
      <c r="J23" t="s">
        <v>87</v>
      </c>
      <c r="K23" t="str">
        <f>"0"</f>
        <v>0</v>
      </c>
    </row>
    <row r="24" spans="1:11" x14ac:dyDescent="0.25">
      <c r="A24">
        <v>2021</v>
      </c>
      <c r="B24" t="s">
        <v>244</v>
      </c>
      <c r="C24" t="s">
        <v>245</v>
      </c>
      <c r="D24" t="s">
        <v>19</v>
      </c>
      <c r="E24" t="s">
        <v>20</v>
      </c>
      <c r="F24" t="str">
        <f>"43617"</f>
        <v>43617</v>
      </c>
      <c r="G24" t="str">
        <f>"402017"</f>
        <v>402017</v>
      </c>
      <c r="H24" s="2">
        <f>3.76</f>
        <v>3.76</v>
      </c>
      <c r="I24" t="s">
        <v>27</v>
      </c>
      <c r="J24" t="s">
        <v>212</v>
      </c>
      <c r="K24" t="str">
        <f>"35428"</f>
        <v>35428</v>
      </c>
    </row>
    <row r="25" spans="1:11" x14ac:dyDescent="0.25">
      <c r="A25">
        <v>2021</v>
      </c>
      <c r="B25" t="s">
        <v>267</v>
      </c>
      <c r="C25" t="s">
        <v>268</v>
      </c>
      <c r="D25" t="s">
        <v>19</v>
      </c>
      <c r="E25" t="s">
        <v>20</v>
      </c>
      <c r="F25" t="str">
        <f>"43615-2004"</f>
        <v>43615-2004</v>
      </c>
      <c r="G25" t="str">
        <f>"402019"</f>
        <v>402019</v>
      </c>
      <c r="H25" s="2">
        <f>10</f>
        <v>10</v>
      </c>
      <c r="I25" t="s">
        <v>27</v>
      </c>
      <c r="J25" t="s">
        <v>42</v>
      </c>
      <c r="K25" t="str">
        <f>"115030"</f>
        <v>115030</v>
      </c>
    </row>
    <row r="26" spans="1:11" x14ac:dyDescent="0.25">
      <c r="A26">
        <v>2021</v>
      </c>
      <c r="B26" t="s">
        <v>269</v>
      </c>
      <c r="C26" t="s">
        <v>270</v>
      </c>
      <c r="D26" t="s">
        <v>19</v>
      </c>
      <c r="E26" t="s">
        <v>20</v>
      </c>
      <c r="F26" t="str">
        <f>"43612"</f>
        <v>43612</v>
      </c>
      <c r="G26" t="str">
        <f>"Pio448069"</f>
        <v>Pio448069</v>
      </c>
      <c r="H26" s="2">
        <f>2</f>
        <v>2</v>
      </c>
      <c r="I26" t="s">
        <v>86</v>
      </c>
      <c r="J26" t="s">
        <v>87</v>
      </c>
      <c r="K26" t="str">
        <f>"0"</f>
        <v>0</v>
      </c>
    </row>
    <row r="27" spans="1:11" x14ac:dyDescent="0.25">
      <c r="A27">
        <v>2021</v>
      </c>
      <c r="B27" t="s">
        <v>271</v>
      </c>
      <c r="C27" t="s">
        <v>272</v>
      </c>
      <c r="D27" t="s">
        <v>19</v>
      </c>
      <c r="E27" t="s">
        <v>20</v>
      </c>
      <c r="F27" t="str">
        <f>"43623"</f>
        <v>43623</v>
      </c>
      <c r="G27" t="str">
        <f>"402018"</f>
        <v>402018</v>
      </c>
      <c r="H27" s="2">
        <f>25</f>
        <v>25</v>
      </c>
      <c r="I27" t="s">
        <v>27</v>
      </c>
      <c r="J27" t="s">
        <v>171</v>
      </c>
      <c r="K27" t="str">
        <f>"518271"</f>
        <v>518271</v>
      </c>
    </row>
    <row r="28" spans="1:11" x14ac:dyDescent="0.25">
      <c r="A28">
        <v>2021</v>
      </c>
      <c r="B28" t="s">
        <v>271</v>
      </c>
      <c r="C28" t="s">
        <v>272</v>
      </c>
      <c r="D28" t="s">
        <v>19</v>
      </c>
      <c r="E28" t="s">
        <v>20</v>
      </c>
      <c r="F28" t="str">
        <f>"43623"</f>
        <v>43623</v>
      </c>
      <c r="G28" t="str">
        <f>"402018"</f>
        <v>402018</v>
      </c>
      <c r="H28" s="2">
        <f>100</f>
        <v>100</v>
      </c>
      <c r="I28" t="s">
        <v>27</v>
      </c>
      <c r="J28" t="s">
        <v>171</v>
      </c>
      <c r="K28" t="str">
        <f>"515940"</f>
        <v>515940</v>
      </c>
    </row>
    <row r="29" spans="1:11" x14ac:dyDescent="0.25">
      <c r="A29">
        <v>2021</v>
      </c>
      <c r="B29" t="s">
        <v>271</v>
      </c>
      <c r="C29" t="s">
        <v>272</v>
      </c>
      <c r="D29" t="s">
        <v>19</v>
      </c>
      <c r="E29" t="s">
        <v>20</v>
      </c>
      <c r="F29" t="str">
        <f>"43623"</f>
        <v>43623</v>
      </c>
      <c r="G29" t="str">
        <f>"402018"</f>
        <v>402018</v>
      </c>
      <c r="H29" s="2">
        <f>10</f>
        <v>10</v>
      </c>
      <c r="I29" t="s">
        <v>27</v>
      </c>
      <c r="J29" t="s">
        <v>171</v>
      </c>
      <c r="K29" t="str">
        <f>"517772"</f>
        <v>517772</v>
      </c>
    </row>
    <row r="30" spans="1:11" x14ac:dyDescent="0.25">
      <c r="A30">
        <v>2021</v>
      </c>
      <c r="B30" t="s">
        <v>271</v>
      </c>
      <c r="C30" t="s">
        <v>272</v>
      </c>
      <c r="D30" t="s">
        <v>19</v>
      </c>
      <c r="E30" t="s">
        <v>20</v>
      </c>
      <c r="F30" t="str">
        <f>"43623"</f>
        <v>43623</v>
      </c>
      <c r="G30" t="str">
        <f>"402018"</f>
        <v>402018</v>
      </c>
      <c r="H30" s="2">
        <f>50</f>
        <v>50</v>
      </c>
      <c r="I30" t="s">
        <v>27</v>
      </c>
      <c r="J30" t="s">
        <v>171</v>
      </c>
      <c r="K30" t="str">
        <f>"515643"</f>
        <v>515643</v>
      </c>
    </row>
    <row r="31" spans="1:11" x14ac:dyDescent="0.25">
      <c r="A31">
        <v>2021</v>
      </c>
      <c r="B31" t="s">
        <v>293</v>
      </c>
      <c r="C31" t="s">
        <v>294</v>
      </c>
      <c r="D31" t="s">
        <v>50</v>
      </c>
      <c r="E31" t="s">
        <v>20</v>
      </c>
      <c r="F31" t="str">
        <f>"43560"</f>
        <v>43560</v>
      </c>
      <c r="G31" t="str">
        <f>"Bwucf4621"</f>
        <v>Bwucf4621</v>
      </c>
      <c r="H31" s="2">
        <f>10.16</f>
        <v>10.16</v>
      </c>
      <c r="I31" t="s">
        <v>15</v>
      </c>
      <c r="J31" t="s">
        <v>295</v>
      </c>
      <c r="K31" t="str">
        <f>"01442699"</f>
        <v>01442699</v>
      </c>
    </row>
    <row r="32" spans="1:11" x14ac:dyDescent="0.25">
      <c r="A32">
        <v>2021</v>
      </c>
      <c r="B32" t="s">
        <v>300</v>
      </c>
      <c r="C32" t="s">
        <v>301</v>
      </c>
      <c r="D32" t="s">
        <v>19</v>
      </c>
      <c r="E32" t="s">
        <v>20</v>
      </c>
      <c r="F32" t="str">
        <f>"43606-1813"</f>
        <v>43606-1813</v>
      </c>
      <c r="G32" t="str">
        <f>"402019"</f>
        <v>402019</v>
      </c>
      <c r="H32" s="2">
        <f>20</f>
        <v>20</v>
      </c>
      <c r="I32" t="s">
        <v>27</v>
      </c>
      <c r="J32" t="s">
        <v>42</v>
      </c>
      <c r="K32" t="str">
        <f>"112105"</f>
        <v>112105</v>
      </c>
    </row>
    <row r="33" spans="1:11" x14ac:dyDescent="0.25">
      <c r="A33">
        <v>2021</v>
      </c>
      <c r="B33" t="s">
        <v>312</v>
      </c>
      <c r="C33" t="s">
        <v>313</v>
      </c>
      <c r="D33" t="s">
        <v>19</v>
      </c>
      <c r="E33" t="s">
        <v>20</v>
      </c>
      <c r="F33" t="str">
        <f>"43623-4702"</f>
        <v>43623-4702</v>
      </c>
      <c r="G33" t="str">
        <f>"402019"</f>
        <v>402019</v>
      </c>
      <c r="H33" s="2">
        <f>20</f>
        <v>20</v>
      </c>
      <c r="I33" t="s">
        <v>27</v>
      </c>
      <c r="J33" t="s">
        <v>42</v>
      </c>
      <c r="K33" t="str">
        <f>"112353"</f>
        <v>112353</v>
      </c>
    </row>
    <row r="34" spans="1:11" x14ac:dyDescent="0.25">
      <c r="A34">
        <v>2021</v>
      </c>
      <c r="B34" t="s">
        <v>314</v>
      </c>
      <c r="C34" t="s">
        <v>315</v>
      </c>
      <c r="D34" t="s">
        <v>316</v>
      </c>
      <c r="E34" t="s">
        <v>20</v>
      </c>
      <c r="F34" t="str">
        <f>"45804"</f>
        <v>45804</v>
      </c>
      <c r="G34" t="str">
        <f>"Pio448069"</f>
        <v>Pio448069</v>
      </c>
      <c r="H34" s="2">
        <f>4.72</f>
        <v>4.72</v>
      </c>
      <c r="I34" t="s">
        <v>86</v>
      </c>
      <c r="J34" t="s">
        <v>87</v>
      </c>
      <c r="K34" t="str">
        <f>"0"</f>
        <v>0</v>
      </c>
    </row>
    <row r="35" spans="1:11" x14ac:dyDescent="0.25">
      <c r="A35">
        <v>2021</v>
      </c>
      <c r="B35" t="s">
        <v>319</v>
      </c>
      <c r="C35" t="s">
        <v>320</v>
      </c>
      <c r="D35" t="s">
        <v>19</v>
      </c>
      <c r="E35" t="s">
        <v>20</v>
      </c>
      <c r="F35" t="str">
        <f>"43613-3050"</f>
        <v>43613-3050</v>
      </c>
      <c r="G35" t="str">
        <f>"402019"</f>
        <v>402019</v>
      </c>
      <c r="H35" s="2">
        <f>10</f>
        <v>10</v>
      </c>
      <c r="I35" t="s">
        <v>27</v>
      </c>
      <c r="J35" t="s">
        <v>42</v>
      </c>
      <c r="K35" t="str">
        <f>"111275"</f>
        <v>111275</v>
      </c>
    </row>
    <row r="36" spans="1:11" x14ac:dyDescent="0.25">
      <c r="A36">
        <v>2021</v>
      </c>
      <c r="B36" t="s">
        <v>342</v>
      </c>
      <c r="C36" t="s">
        <v>343</v>
      </c>
      <c r="D36" t="s">
        <v>19</v>
      </c>
      <c r="E36" t="s">
        <v>20</v>
      </c>
      <c r="F36" t="str">
        <f>"43606"</f>
        <v>43606</v>
      </c>
      <c r="G36" t="str">
        <f>"402018"</f>
        <v>402018</v>
      </c>
      <c r="H36" s="2">
        <f>1</f>
        <v>1</v>
      </c>
      <c r="I36" t="s">
        <v>27</v>
      </c>
      <c r="J36" t="s">
        <v>171</v>
      </c>
      <c r="K36" t="str">
        <f>"516948"</f>
        <v>516948</v>
      </c>
    </row>
    <row r="37" spans="1:11" x14ac:dyDescent="0.25">
      <c r="A37">
        <v>2021</v>
      </c>
      <c r="B37" t="s">
        <v>344</v>
      </c>
      <c r="C37" t="s">
        <v>345</v>
      </c>
      <c r="D37" t="s">
        <v>19</v>
      </c>
      <c r="E37" t="s">
        <v>20</v>
      </c>
      <c r="F37" t="str">
        <f>"43605"</f>
        <v>43605</v>
      </c>
      <c r="G37" t="str">
        <f>"Pio448069"</f>
        <v>Pio448069</v>
      </c>
      <c r="H37" s="2">
        <f>3.35</f>
        <v>3.35</v>
      </c>
      <c r="I37" t="s">
        <v>86</v>
      </c>
      <c r="J37" t="s">
        <v>87</v>
      </c>
      <c r="K37" t="str">
        <f>"0"</f>
        <v>0</v>
      </c>
    </row>
    <row r="38" spans="1:11" x14ac:dyDescent="0.25">
      <c r="A38">
        <v>2021</v>
      </c>
      <c r="B38" t="s">
        <v>348</v>
      </c>
      <c r="C38" t="s">
        <v>349</v>
      </c>
      <c r="D38" t="s">
        <v>19</v>
      </c>
      <c r="E38" t="s">
        <v>20</v>
      </c>
      <c r="F38" t="str">
        <f>"43613-3136"</f>
        <v>43613-3136</v>
      </c>
      <c r="G38" t="str">
        <f>"402019"</f>
        <v>402019</v>
      </c>
      <c r="H38" s="2">
        <f>10</f>
        <v>10</v>
      </c>
      <c r="I38" t="s">
        <v>27</v>
      </c>
      <c r="J38" t="s">
        <v>42</v>
      </c>
      <c r="K38" t="str">
        <f>"111344"</f>
        <v>111344</v>
      </c>
    </row>
    <row r="39" spans="1:11" x14ac:dyDescent="0.25">
      <c r="A39">
        <v>2021</v>
      </c>
      <c r="B39" t="s">
        <v>350</v>
      </c>
      <c r="C39" t="s">
        <v>351</v>
      </c>
      <c r="D39" t="s">
        <v>19</v>
      </c>
      <c r="E39" t="s">
        <v>20</v>
      </c>
      <c r="F39" t="str">
        <f>"43615"</f>
        <v>43615</v>
      </c>
      <c r="G39" t="str">
        <f>"Je061721"</f>
        <v>Je061721</v>
      </c>
      <c r="H39" s="2">
        <f>287.01</f>
        <v>287.01</v>
      </c>
      <c r="I39" t="s">
        <v>15</v>
      </c>
      <c r="J39" t="s">
        <v>137</v>
      </c>
      <c r="K39" t="str">
        <f>"60004512"</f>
        <v>60004512</v>
      </c>
    </row>
    <row r="40" spans="1:11" x14ac:dyDescent="0.25">
      <c r="A40">
        <v>2021</v>
      </c>
      <c r="B40" t="s">
        <v>354</v>
      </c>
      <c r="C40" t="s">
        <v>355</v>
      </c>
      <c r="D40" t="s">
        <v>50</v>
      </c>
      <c r="E40" t="s">
        <v>20</v>
      </c>
      <c r="F40" t="str">
        <f>"43560-3808"</f>
        <v>43560-3808</v>
      </c>
      <c r="G40" t="str">
        <f>"402019"</f>
        <v>402019</v>
      </c>
      <c r="H40" s="2">
        <f>20</f>
        <v>20</v>
      </c>
      <c r="I40" t="s">
        <v>27</v>
      </c>
      <c r="J40" t="s">
        <v>42</v>
      </c>
      <c r="K40" t="str">
        <f>"115162"</f>
        <v>115162</v>
      </c>
    </row>
    <row r="41" spans="1:11" x14ac:dyDescent="0.25">
      <c r="A41">
        <v>2021</v>
      </c>
      <c r="B41" t="s">
        <v>365</v>
      </c>
      <c r="C41" t="s">
        <v>366</v>
      </c>
      <c r="D41" t="s">
        <v>19</v>
      </c>
      <c r="E41" t="s">
        <v>20</v>
      </c>
      <c r="F41" t="str">
        <f>"43614"</f>
        <v>43614</v>
      </c>
      <c r="G41" t="str">
        <f>"402018"</f>
        <v>402018</v>
      </c>
      <c r="H41" s="2">
        <f>10</f>
        <v>10</v>
      </c>
      <c r="I41" t="s">
        <v>27</v>
      </c>
      <c r="J41" t="s">
        <v>171</v>
      </c>
      <c r="K41" t="str">
        <f>"516671"</f>
        <v>516671</v>
      </c>
    </row>
    <row r="42" spans="1:11" x14ac:dyDescent="0.25">
      <c r="A42">
        <v>2021</v>
      </c>
      <c r="B42" t="s">
        <v>371</v>
      </c>
      <c r="C42" t="s">
        <v>372</v>
      </c>
      <c r="D42" t="s">
        <v>373</v>
      </c>
      <c r="E42" t="s">
        <v>20</v>
      </c>
      <c r="F42" t="str">
        <f>"45373"</f>
        <v>45373</v>
      </c>
      <c r="G42" t="str">
        <f>"Je061721"</f>
        <v>Je061721</v>
      </c>
      <c r="H42" s="2">
        <f>127.59</f>
        <v>127.59</v>
      </c>
      <c r="I42" t="s">
        <v>15</v>
      </c>
      <c r="J42" t="s">
        <v>137</v>
      </c>
      <c r="K42" t="str">
        <f>"60000194"</f>
        <v>60000194</v>
      </c>
    </row>
    <row r="43" spans="1:11" x14ac:dyDescent="0.25">
      <c r="A43">
        <v>2021</v>
      </c>
      <c r="B43" t="s">
        <v>381</v>
      </c>
      <c r="C43" t="s">
        <v>382</v>
      </c>
      <c r="D43" t="s">
        <v>383</v>
      </c>
      <c r="E43" t="s">
        <v>20</v>
      </c>
      <c r="F43" t="str">
        <f>"44333"</f>
        <v>44333</v>
      </c>
      <c r="G43" t="str">
        <f>"402017"</f>
        <v>402017</v>
      </c>
      <c r="H43" s="2">
        <f>20</f>
        <v>20</v>
      </c>
      <c r="I43" t="s">
        <v>27</v>
      </c>
      <c r="J43" t="s">
        <v>212</v>
      </c>
      <c r="K43" t="str">
        <f>"35671"</f>
        <v>35671</v>
      </c>
    </row>
    <row r="44" spans="1:11" x14ac:dyDescent="0.25">
      <c r="A44">
        <v>2021</v>
      </c>
      <c r="B44" t="s">
        <v>404</v>
      </c>
      <c r="C44" t="s">
        <v>405</v>
      </c>
      <c r="D44" t="s">
        <v>19</v>
      </c>
      <c r="E44" t="s">
        <v>20</v>
      </c>
      <c r="F44" t="str">
        <f>"43606-2626"</f>
        <v>43606-2626</v>
      </c>
      <c r="G44" t="str">
        <f>"402019"</f>
        <v>402019</v>
      </c>
      <c r="H44" s="2">
        <f>50</f>
        <v>50</v>
      </c>
      <c r="I44" t="s">
        <v>27</v>
      </c>
      <c r="J44" t="s">
        <v>42</v>
      </c>
      <c r="K44" t="str">
        <f>"114803"</f>
        <v>114803</v>
      </c>
    </row>
    <row r="45" spans="1:11" x14ac:dyDescent="0.25">
      <c r="A45">
        <v>2021</v>
      </c>
      <c r="B45" t="s">
        <v>408</v>
      </c>
      <c r="C45" t="s">
        <v>409</v>
      </c>
      <c r="D45" t="s">
        <v>50</v>
      </c>
      <c r="E45" t="s">
        <v>20</v>
      </c>
      <c r="F45" t="str">
        <f>"43560-3571"</f>
        <v>43560-3571</v>
      </c>
      <c r="G45" t="str">
        <f>"402019"</f>
        <v>402019</v>
      </c>
      <c r="H45" s="2">
        <f>20</f>
        <v>20</v>
      </c>
      <c r="I45" t="s">
        <v>27</v>
      </c>
      <c r="J45" t="s">
        <v>42</v>
      </c>
      <c r="K45" t="str">
        <f>"112817"</f>
        <v>112817</v>
      </c>
    </row>
    <row r="46" spans="1:11" x14ac:dyDescent="0.25">
      <c r="A46">
        <v>2021</v>
      </c>
      <c r="B46" t="s">
        <v>413</v>
      </c>
      <c r="C46" t="s">
        <v>414</v>
      </c>
      <c r="D46" t="s">
        <v>19</v>
      </c>
      <c r="E46" t="s">
        <v>20</v>
      </c>
      <c r="F46" t="str">
        <f>"43611-1732"</f>
        <v>43611-1732</v>
      </c>
      <c r="G46" t="str">
        <f>"402019"</f>
        <v>402019</v>
      </c>
      <c r="H46" s="2">
        <f>10</f>
        <v>10</v>
      </c>
      <c r="I46" t="s">
        <v>27</v>
      </c>
      <c r="J46" t="s">
        <v>42</v>
      </c>
      <c r="K46" t="str">
        <f>"112043"</f>
        <v>112043</v>
      </c>
    </row>
    <row r="47" spans="1:11" x14ac:dyDescent="0.25">
      <c r="A47">
        <v>2021</v>
      </c>
      <c r="B47" t="s">
        <v>423</v>
      </c>
      <c r="C47" t="s">
        <v>426</v>
      </c>
      <c r="D47" t="s">
        <v>425</v>
      </c>
      <c r="E47" t="s">
        <v>20</v>
      </c>
      <c r="F47" t="str">
        <f>"44236"</f>
        <v>44236</v>
      </c>
      <c r="G47" t="str">
        <f>"402018"</f>
        <v>402018</v>
      </c>
      <c r="H47" s="2">
        <f>40</f>
        <v>40</v>
      </c>
      <c r="I47" t="s">
        <v>27</v>
      </c>
      <c r="J47" t="s">
        <v>171</v>
      </c>
      <c r="K47" t="str">
        <f>"518229"</f>
        <v>518229</v>
      </c>
    </row>
    <row r="48" spans="1:11" x14ac:dyDescent="0.25">
      <c r="A48">
        <v>2021</v>
      </c>
      <c r="B48" t="s">
        <v>429</v>
      </c>
      <c r="C48" t="s">
        <v>430</v>
      </c>
      <c r="D48" t="s">
        <v>125</v>
      </c>
      <c r="E48" t="s">
        <v>20</v>
      </c>
      <c r="F48" t="str">
        <f>"43537-9659"</f>
        <v>43537-9659</v>
      </c>
      <c r="G48" t="str">
        <f>"402019"</f>
        <v>402019</v>
      </c>
      <c r="H48" s="2">
        <f>10</f>
        <v>10</v>
      </c>
      <c r="I48" t="s">
        <v>27</v>
      </c>
      <c r="J48" t="s">
        <v>42</v>
      </c>
      <c r="K48" t="str">
        <f>"111356"</f>
        <v>111356</v>
      </c>
    </row>
    <row r="49" spans="1:11" x14ac:dyDescent="0.25">
      <c r="A49">
        <v>2021</v>
      </c>
      <c r="B49" t="s">
        <v>437</v>
      </c>
      <c r="C49" t="s">
        <v>438</v>
      </c>
      <c r="D49" t="s">
        <v>19</v>
      </c>
      <c r="E49" t="s">
        <v>20</v>
      </c>
      <c r="F49" t="str">
        <f>"43604"</f>
        <v>43604</v>
      </c>
      <c r="G49" t="str">
        <f>"Pio448069"</f>
        <v>Pio448069</v>
      </c>
      <c r="H49" s="2">
        <f>0.74</f>
        <v>0.74</v>
      </c>
      <c r="I49" t="s">
        <v>86</v>
      </c>
      <c r="J49" t="s">
        <v>87</v>
      </c>
      <c r="K49" t="str">
        <f>"0"</f>
        <v>0</v>
      </c>
    </row>
    <row r="50" spans="1:11" x14ac:dyDescent="0.25">
      <c r="A50">
        <v>2021</v>
      </c>
      <c r="B50" t="s">
        <v>443</v>
      </c>
      <c r="C50" t="s">
        <v>444</v>
      </c>
      <c r="D50" t="s">
        <v>125</v>
      </c>
      <c r="E50" t="s">
        <v>20</v>
      </c>
      <c r="F50" t="str">
        <f>"43537-9155"</f>
        <v>43537-9155</v>
      </c>
      <c r="G50" t="str">
        <f>"402019"</f>
        <v>402019</v>
      </c>
      <c r="H50" s="2">
        <f>20</f>
        <v>20</v>
      </c>
      <c r="I50" t="s">
        <v>27</v>
      </c>
      <c r="J50" t="s">
        <v>42</v>
      </c>
      <c r="K50" t="str">
        <f>"114191"</f>
        <v>114191</v>
      </c>
    </row>
    <row r="51" spans="1:11" x14ac:dyDescent="0.25">
      <c r="A51">
        <v>2021</v>
      </c>
      <c r="B51" t="s">
        <v>457</v>
      </c>
      <c r="C51" t="s">
        <v>458</v>
      </c>
      <c r="D51" t="s">
        <v>50</v>
      </c>
      <c r="E51" t="s">
        <v>20</v>
      </c>
      <c r="F51" t="str">
        <f>"43560"</f>
        <v>43560</v>
      </c>
      <c r="G51" t="str">
        <f>"402019"</f>
        <v>402019</v>
      </c>
      <c r="H51" s="2">
        <f>20</f>
        <v>20</v>
      </c>
      <c r="I51" t="s">
        <v>27</v>
      </c>
      <c r="J51" t="s">
        <v>42</v>
      </c>
      <c r="K51" t="str">
        <f>"113263"</f>
        <v>113263</v>
      </c>
    </row>
    <row r="52" spans="1:11" x14ac:dyDescent="0.25">
      <c r="A52">
        <v>2021</v>
      </c>
      <c r="B52" t="s">
        <v>463</v>
      </c>
      <c r="C52" t="s">
        <v>464</v>
      </c>
      <c r="D52" t="s">
        <v>19</v>
      </c>
      <c r="E52" t="s">
        <v>20</v>
      </c>
      <c r="F52" t="str">
        <f>"43615-5413"</f>
        <v>43615-5413</v>
      </c>
      <c r="G52" t="str">
        <f>"402019"</f>
        <v>402019</v>
      </c>
      <c r="H52" s="2">
        <f>10</f>
        <v>10</v>
      </c>
      <c r="I52" t="s">
        <v>27</v>
      </c>
      <c r="J52" t="s">
        <v>42</v>
      </c>
      <c r="K52" t="str">
        <f>"111365"</f>
        <v>111365</v>
      </c>
    </row>
    <row r="53" spans="1:11" x14ac:dyDescent="0.25">
      <c r="A53">
        <v>2021</v>
      </c>
      <c r="B53" t="s">
        <v>473</v>
      </c>
      <c r="C53" t="s">
        <v>474</v>
      </c>
      <c r="D53" t="s">
        <v>58</v>
      </c>
      <c r="E53" t="s">
        <v>20</v>
      </c>
      <c r="F53" t="str">
        <f>"43616"</f>
        <v>43616</v>
      </c>
      <c r="G53" t="str">
        <f>"402019"</f>
        <v>402019</v>
      </c>
      <c r="H53" s="2">
        <f>10</f>
        <v>10</v>
      </c>
      <c r="I53" t="s">
        <v>27</v>
      </c>
      <c r="J53" t="s">
        <v>42</v>
      </c>
      <c r="K53" t="str">
        <f>"111465"</f>
        <v>111465</v>
      </c>
    </row>
    <row r="54" spans="1:11" x14ac:dyDescent="0.25">
      <c r="A54">
        <v>2021</v>
      </c>
      <c r="B54" t="s">
        <v>479</v>
      </c>
      <c r="C54" t="s">
        <v>480</v>
      </c>
      <c r="D54" t="s">
        <v>19</v>
      </c>
      <c r="E54" t="s">
        <v>20</v>
      </c>
      <c r="F54" t="str">
        <f>"43615"</f>
        <v>43615</v>
      </c>
      <c r="G54" t="str">
        <f>"402019"</f>
        <v>402019</v>
      </c>
      <c r="H54" s="2">
        <f>10</f>
        <v>10</v>
      </c>
      <c r="I54" t="s">
        <v>27</v>
      </c>
      <c r="J54" t="s">
        <v>42</v>
      </c>
      <c r="K54" t="str">
        <f>"113863"</f>
        <v>113863</v>
      </c>
    </row>
    <row r="55" spans="1:11" x14ac:dyDescent="0.25">
      <c r="A55">
        <v>2021</v>
      </c>
      <c r="B55" t="s">
        <v>502</v>
      </c>
      <c r="C55" t="s">
        <v>503</v>
      </c>
      <c r="D55" t="s">
        <v>19</v>
      </c>
      <c r="E55" t="s">
        <v>20</v>
      </c>
      <c r="F55" t="str">
        <f>"43617-3004"</f>
        <v>43617-3004</v>
      </c>
      <c r="G55" t="str">
        <f>"Swucf4621"</f>
        <v>Swucf4621</v>
      </c>
      <c r="H55" s="2">
        <f>50</f>
        <v>50</v>
      </c>
      <c r="I55" t="s">
        <v>15</v>
      </c>
      <c r="J55" t="s">
        <v>81</v>
      </c>
      <c r="K55" t="str">
        <f>"6288522"</f>
        <v>6288522</v>
      </c>
    </row>
    <row r="56" spans="1:11" x14ac:dyDescent="0.25">
      <c r="A56">
        <v>2021</v>
      </c>
      <c r="B56" t="s">
        <v>506</v>
      </c>
      <c r="C56" t="s">
        <v>507</v>
      </c>
      <c r="D56" t="s">
        <v>19</v>
      </c>
      <c r="E56" t="s">
        <v>20</v>
      </c>
      <c r="F56" t="str">
        <f>"43614"</f>
        <v>43614</v>
      </c>
      <c r="G56" t="str">
        <f>"Bwucf4621"</f>
        <v>Bwucf4621</v>
      </c>
      <c r="H56" s="2">
        <f>200</f>
        <v>200</v>
      </c>
      <c r="I56" t="s">
        <v>15</v>
      </c>
      <c r="J56" t="s">
        <v>295</v>
      </c>
      <c r="K56" t="str">
        <f>"01449603"</f>
        <v>01449603</v>
      </c>
    </row>
    <row r="57" spans="1:11" x14ac:dyDescent="0.25">
      <c r="A57">
        <v>2021</v>
      </c>
      <c r="B57" t="s">
        <v>513</v>
      </c>
      <c r="C57" t="s">
        <v>514</v>
      </c>
      <c r="D57" t="s">
        <v>105</v>
      </c>
      <c r="E57" t="s">
        <v>20</v>
      </c>
      <c r="F57" t="str">
        <f>"43528"</f>
        <v>43528</v>
      </c>
      <c r="G57" t="str">
        <f>"402019"</f>
        <v>402019</v>
      </c>
      <c r="H57" s="2">
        <f>20</f>
        <v>20</v>
      </c>
      <c r="I57" t="s">
        <v>27</v>
      </c>
      <c r="J57" t="s">
        <v>42</v>
      </c>
      <c r="K57" t="str">
        <f>"112542"</f>
        <v>112542</v>
      </c>
    </row>
    <row r="58" spans="1:11" x14ac:dyDescent="0.25">
      <c r="A58">
        <v>2021</v>
      </c>
      <c r="B58" t="s">
        <v>520</v>
      </c>
      <c r="C58" t="s">
        <v>521</v>
      </c>
      <c r="D58" t="s">
        <v>19</v>
      </c>
      <c r="E58" t="s">
        <v>20</v>
      </c>
      <c r="F58" t="str">
        <f>"43611"</f>
        <v>43611</v>
      </c>
      <c r="G58" t="str">
        <f>"Je061721"</f>
        <v>Je061721</v>
      </c>
      <c r="H58" s="2">
        <f>1880.08</f>
        <v>1880.08</v>
      </c>
      <c r="I58" t="s">
        <v>15</v>
      </c>
      <c r="J58" t="s">
        <v>137</v>
      </c>
      <c r="K58" t="str">
        <f>"60005754"</f>
        <v>60005754</v>
      </c>
    </row>
    <row r="59" spans="1:11" x14ac:dyDescent="0.25">
      <c r="A59">
        <v>2021</v>
      </c>
      <c r="B59" t="s">
        <v>524</v>
      </c>
      <c r="C59" t="s">
        <v>525</v>
      </c>
      <c r="D59" t="s">
        <v>156</v>
      </c>
      <c r="E59" t="s">
        <v>20</v>
      </c>
      <c r="F59" t="str">
        <f>"43515"</f>
        <v>43515</v>
      </c>
      <c r="G59" t="str">
        <f>"Je061721"</f>
        <v>Je061721</v>
      </c>
      <c r="H59" s="2">
        <f>46.22</f>
        <v>46.22</v>
      </c>
      <c r="I59" t="s">
        <v>15</v>
      </c>
      <c r="J59" t="s">
        <v>137</v>
      </c>
      <c r="K59" t="str">
        <f>"60000208"</f>
        <v>60000208</v>
      </c>
    </row>
    <row r="60" spans="1:11" x14ac:dyDescent="0.25">
      <c r="A60">
        <v>2021</v>
      </c>
      <c r="B60" t="s">
        <v>545</v>
      </c>
      <c r="C60" t="s">
        <v>546</v>
      </c>
      <c r="D60" t="s">
        <v>125</v>
      </c>
      <c r="E60" t="s">
        <v>20</v>
      </c>
      <c r="F60" t="str">
        <f>"43537-1105"</f>
        <v>43537-1105</v>
      </c>
      <c r="G60" t="str">
        <f>"402019"</f>
        <v>402019</v>
      </c>
      <c r="H60" s="2">
        <f>10</f>
        <v>10</v>
      </c>
      <c r="I60" t="s">
        <v>27</v>
      </c>
      <c r="J60" t="s">
        <v>42</v>
      </c>
      <c r="K60" t="str">
        <f>"114175"</f>
        <v>114175</v>
      </c>
    </row>
    <row r="61" spans="1:11" x14ac:dyDescent="0.25">
      <c r="A61">
        <v>2021</v>
      </c>
      <c r="B61" t="s">
        <v>547</v>
      </c>
      <c r="C61" t="s">
        <v>548</v>
      </c>
      <c r="D61" t="s">
        <v>19</v>
      </c>
      <c r="E61" t="s">
        <v>20</v>
      </c>
      <c r="F61" t="str">
        <f>"43606-2727"</f>
        <v>43606-2727</v>
      </c>
      <c r="G61" t="str">
        <f>"402019"</f>
        <v>402019</v>
      </c>
      <c r="H61" s="2">
        <f>10</f>
        <v>10</v>
      </c>
      <c r="I61" t="s">
        <v>27</v>
      </c>
      <c r="J61" t="s">
        <v>42</v>
      </c>
      <c r="K61" t="str">
        <f>"113918"</f>
        <v>113918</v>
      </c>
    </row>
    <row r="62" spans="1:11" x14ac:dyDescent="0.25">
      <c r="A62">
        <v>2021</v>
      </c>
      <c r="B62" t="s">
        <v>551</v>
      </c>
      <c r="C62" t="s">
        <v>552</v>
      </c>
      <c r="D62" t="s">
        <v>19</v>
      </c>
      <c r="E62" t="s">
        <v>20</v>
      </c>
      <c r="F62" t="str">
        <f>"43623-4137"</f>
        <v>43623-4137</v>
      </c>
      <c r="G62" t="str">
        <f>"402019"</f>
        <v>402019</v>
      </c>
      <c r="H62" s="2">
        <f>80</f>
        <v>80</v>
      </c>
      <c r="I62" t="s">
        <v>27</v>
      </c>
      <c r="J62" t="s">
        <v>42</v>
      </c>
      <c r="K62" t="str">
        <f>"113368"</f>
        <v>113368</v>
      </c>
    </row>
    <row r="63" spans="1:11" x14ac:dyDescent="0.25">
      <c r="A63">
        <v>2021</v>
      </c>
      <c r="B63" t="s">
        <v>559</v>
      </c>
      <c r="C63" t="s">
        <v>560</v>
      </c>
      <c r="D63" t="s">
        <v>125</v>
      </c>
      <c r="E63" t="s">
        <v>20</v>
      </c>
      <c r="F63" t="str">
        <f>"43537"</f>
        <v>43537</v>
      </c>
      <c r="G63" t="str">
        <f>"Je061721"</f>
        <v>Je061721</v>
      </c>
      <c r="H63" s="2">
        <f>9.24</f>
        <v>9.24</v>
      </c>
      <c r="I63" t="s">
        <v>15</v>
      </c>
      <c r="J63" t="s">
        <v>137</v>
      </c>
      <c r="K63" t="str">
        <f>"60000213"</f>
        <v>60000213</v>
      </c>
    </row>
    <row r="64" spans="1:11" x14ac:dyDescent="0.25">
      <c r="A64">
        <v>2021</v>
      </c>
      <c r="B64" t="s">
        <v>559</v>
      </c>
      <c r="C64" t="s">
        <v>560</v>
      </c>
      <c r="D64" t="s">
        <v>125</v>
      </c>
      <c r="E64" t="s">
        <v>20</v>
      </c>
      <c r="F64" t="str">
        <f>"43537"</f>
        <v>43537</v>
      </c>
      <c r="G64" t="str">
        <f>"Je092221"</f>
        <v>Je092221</v>
      </c>
      <c r="H64" s="2">
        <f>9.24</f>
        <v>9.24</v>
      </c>
      <c r="I64" t="s">
        <v>15</v>
      </c>
      <c r="J64" t="s">
        <v>114</v>
      </c>
      <c r="K64" t="str">
        <f>"60009357"</f>
        <v>60009357</v>
      </c>
    </row>
    <row r="65" spans="1:11" x14ac:dyDescent="0.25">
      <c r="A65">
        <v>2021</v>
      </c>
      <c r="B65" t="s">
        <v>566</v>
      </c>
      <c r="C65" t="s">
        <v>567</v>
      </c>
      <c r="D65" t="s">
        <v>19</v>
      </c>
      <c r="E65" t="s">
        <v>20</v>
      </c>
      <c r="F65" t="str">
        <f>"43614"</f>
        <v>43614</v>
      </c>
      <c r="G65" t="str">
        <f>"402018"</f>
        <v>402018</v>
      </c>
      <c r="H65" s="2">
        <f>16.57</f>
        <v>16.57</v>
      </c>
      <c r="I65" t="s">
        <v>27</v>
      </c>
      <c r="J65" t="s">
        <v>171</v>
      </c>
      <c r="K65" t="str">
        <f>"517324"</f>
        <v>517324</v>
      </c>
    </row>
    <row r="66" spans="1:11" x14ac:dyDescent="0.25">
      <c r="A66">
        <v>2021</v>
      </c>
      <c r="B66" t="s">
        <v>568</v>
      </c>
      <c r="C66" t="s">
        <v>569</v>
      </c>
      <c r="D66" t="s">
        <v>19</v>
      </c>
      <c r="E66" t="s">
        <v>20</v>
      </c>
      <c r="F66" t="str">
        <f>"43605"</f>
        <v>43605</v>
      </c>
      <c r="G66" t="str">
        <f>"Pio448069"</f>
        <v>Pio448069</v>
      </c>
      <c r="H66" s="2">
        <f>0.29</f>
        <v>0.28999999999999998</v>
      </c>
      <c r="I66" t="s">
        <v>86</v>
      </c>
      <c r="J66" t="s">
        <v>87</v>
      </c>
      <c r="K66" t="str">
        <f>"0"</f>
        <v>0</v>
      </c>
    </row>
    <row r="67" spans="1:11" x14ac:dyDescent="0.25">
      <c r="A67">
        <v>2021</v>
      </c>
      <c r="B67" t="s">
        <v>572</v>
      </c>
      <c r="C67" t="s">
        <v>573</v>
      </c>
      <c r="D67" t="s">
        <v>58</v>
      </c>
      <c r="E67" t="s">
        <v>20</v>
      </c>
      <c r="F67" t="str">
        <f>"43616"</f>
        <v>43616</v>
      </c>
      <c r="G67" t="str">
        <f>"Pio448069"</f>
        <v>Pio448069</v>
      </c>
      <c r="H67" s="2">
        <f>2</f>
        <v>2</v>
      </c>
      <c r="I67" t="s">
        <v>86</v>
      </c>
      <c r="J67" t="s">
        <v>87</v>
      </c>
      <c r="K67" t="str">
        <f>"0"</f>
        <v>0</v>
      </c>
    </row>
    <row r="68" spans="1:11" x14ac:dyDescent="0.25">
      <c r="A68">
        <v>2021</v>
      </c>
      <c r="B68" t="s">
        <v>594</v>
      </c>
      <c r="C68" t="s">
        <v>595</v>
      </c>
      <c r="D68" t="s">
        <v>19</v>
      </c>
      <c r="E68" t="s">
        <v>20</v>
      </c>
      <c r="F68" t="str">
        <f>"43612"</f>
        <v>43612</v>
      </c>
      <c r="G68" t="str">
        <f>"Je110321"</f>
        <v>Je110321</v>
      </c>
      <c r="H68" s="2">
        <f>7.69</f>
        <v>7.69</v>
      </c>
      <c r="I68" t="s">
        <v>15</v>
      </c>
      <c r="J68" t="s">
        <v>596</v>
      </c>
      <c r="K68" t="str">
        <f>"60019841"</f>
        <v>60019841</v>
      </c>
    </row>
    <row r="69" spans="1:11" x14ac:dyDescent="0.25">
      <c r="A69">
        <v>2021</v>
      </c>
      <c r="B69" t="s">
        <v>594</v>
      </c>
      <c r="C69" t="s">
        <v>595</v>
      </c>
      <c r="D69" t="s">
        <v>19</v>
      </c>
      <c r="E69" t="s">
        <v>20</v>
      </c>
      <c r="F69" t="str">
        <f>"43612"</f>
        <v>43612</v>
      </c>
      <c r="G69" t="str">
        <f>"Je110321"</f>
        <v>Je110321</v>
      </c>
      <c r="H69" s="2">
        <f>7.69</f>
        <v>7.69</v>
      </c>
      <c r="I69" t="s">
        <v>15</v>
      </c>
      <c r="J69" t="s">
        <v>596</v>
      </c>
      <c r="K69" t="str">
        <f>"60023328"</f>
        <v>60023328</v>
      </c>
    </row>
    <row r="70" spans="1:11" x14ac:dyDescent="0.25">
      <c r="A70">
        <v>2021</v>
      </c>
      <c r="B70" t="s">
        <v>594</v>
      </c>
      <c r="C70" t="s">
        <v>595</v>
      </c>
      <c r="D70" t="s">
        <v>19</v>
      </c>
      <c r="E70" t="s">
        <v>20</v>
      </c>
      <c r="F70" t="str">
        <f>"43612"</f>
        <v>43612</v>
      </c>
      <c r="G70" t="str">
        <f>"Je092221"</f>
        <v>Je092221</v>
      </c>
      <c r="H70" s="2">
        <f>9.24</f>
        <v>9.24</v>
      </c>
      <c r="I70" t="s">
        <v>15</v>
      </c>
      <c r="J70" t="s">
        <v>114</v>
      </c>
      <c r="K70" t="str">
        <f>"60009361"</f>
        <v>60009361</v>
      </c>
    </row>
    <row r="71" spans="1:11" x14ac:dyDescent="0.25">
      <c r="A71">
        <v>2021</v>
      </c>
      <c r="B71" t="s">
        <v>597</v>
      </c>
      <c r="C71" t="s">
        <v>595</v>
      </c>
      <c r="D71" t="s">
        <v>19</v>
      </c>
      <c r="E71" t="s">
        <v>20</v>
      </c>
      <c r="F71" t="str">
        <f>"43612-2106"</f>
        <v>43612-2106</v>
      </c>
      <c r="G71" t="str">
        <f>"Swucf4621"</f>
        <v>Swucf4621</v>
      </c>
      <c r="H71" s="2">
        <f>9.23</f>
        <v>9.23</v>
      </c>
      <c r="I71" t="s">
        <v>15</v>
      </c>
      <c r="J71" t="s">
        <v>81</v>
      </c>
      <c r="K71" t="str">
        <f>"6290164"</f>
        <v>6290164</v>
      </c>
    </row>
    <row r="72" spans="1:11" x14ac:dyDescent="0.25">
      <c r="A72">
        <v>2021</v>
      </c>
      <c r="B72" t="s">
        <v>597</v>
      </c>
      <c r="C72" t="s">
        <v>595</v>
      </c>
      <c r="D72" t="s">
        <v>19</v>
      </c>
      <c r="E72" t="s">
        <v>20</v>
      </c>
      <c r="F72" t="str">
        <f>"43612-2106"</f>
        <v>43612-2106</v>
      </c>
      <c r="G72" t="str">
        <f>"Swucf4621"</f>
        <v>Swucf4621</v>
      </c>
      <c r="H72" s="2">
        <f>9.23</f>
        <v>9.23</v>
      </c>
      <c r="I72" t="s">
        <v>15</v>
      </c>
      <c r="J72" t="s">
        <v>81</v>
      </c>
      <c r="K72" t="str">
        <f>"6291705"</f>
        <v>6291705</v>
      </c>
    </row>
    <row r="73" spans="1:11" x14ac:dyDescent="0.25">
      <c r="A73">
        <v>2021</v>
      </c>
      <c r="B73" t="s">
        <v>597</v>
      </c>
      <c r="C73" t="s">
        <v>595</v>
      </c>
      <c r="D73" t="s">
        <v>19</v>
      </c>
      <c r="E73" t="s">
        <v>20</v>
      </c>
      <c r="F73" t="str">
        <f>"43612-2106"</f>
        <v>43612-2106</v>
      </c>
      <c r="G73" t="str">
        <f>"Swucf4621"</f>
        <v>Swucf4621</v>
      </c>
      <c r="H73" s="2">
        <f>9.23</f>
        <v>9.23</v>
      </c>
      <c r="I73" t="s">
        <v>15</v>
      </c>
      <c r="J73" t="s">
        <v>81</v>
      </c>
      <c r="K73" t="str">
        <f>"6288535"</f>
        <v>6288535</v>
      </c>
    </row>
    <row r="74" spans="1:11" x14ac:dyDescent="0.25">
      <c r="A74">
        <v>2021</v>
      </c>
      <c r="B74" t="s">
        <v>597</v>
      </c>
      <c r="C74" t="s">
        <v>595</v>
      </c>
      <c r="D74" t="s">
        <v>19</v>
      </c>
      <c r="E74" t="s">
        <v>20</v>
      </c>
      <c r="F74" t="str">
        <f>"43612-2106"</f>
        <v>43612-2106</v>
      </c>
      <c r="G74" t="str">
        <f>"Swucf4621"</f>
        <v>Swucf4621</v>
      </c>
      <c r="H74" s="2">
        <f>9.24</f>
        <v>9.24</v>
      </c>
      <c r="I74" t="s">
        <v>15</v>
      </c>
      <c r="J74" t="s">
        <v>81</v>
      </c>
      <c r="K74" t="str">
        <f>"6298085"</f>
        <v>6298085</v>
      </c>
    </row>
    <row r="75" spans="1:11" x14ac:dyDescent="0.25">
      <c r="A75">
        <v>2021</v>
      </c>
      <c r="B75" t="s">
        <v>597</v>
      </c>
      <c r="C75" t="s">
        <v>595</v>
      </c>
      <c r="D75" t="s">
        <v>19</v>
      </c>
      <c r="E75" t="s">
        <v>20</v>
      </c>
      <c r="F75" t="str">
        <f>"43612-2106"</f>
        <v>43612-2106</v>
      </c>
      <c r="G75" t="str">
        <f>"Swucf4621"</f>
        <v>Swucf4621</v>
      </c>
      <c r="H75" s="2">
        <f>9.24</f>
        <v>9.24</v>
      </c>
      <c r="I75" t="s">
        <v>15</v>
      </c>
      <c r="J75" t="s">
        <v>81</v>
      </c>
      <c r="K75" t="str">
        <f>"6295500"</f>
        <v>6295500</v>
      </c>
    </row>
    <row r="76" spans="1:11" x14ac:dyDescent="0.25">
      <c r="A76">
        <v>2021</v>
      </c>
      <c r="B76" t="s">
        <v>594</v>
      </c>
      <c r="C76" t="s">
        <v>595</v>
      </c>
      <c r="D76" t="s">
        <v>19</v>
      </c>
      <c r="E76" t="s">
        <v>20</v>
      </c>
      <c r="F76" t="str">
        <f>"43612"</f>
        <v>43612</v>
      </c>
      <c r="G76" t="str">
        <f>"Je061721"</f>
        <v>Je061721</v>
      </c>
      <c r="H76" s="2">
        <f>9.24</f>
        <v>9.24</v>
      </c>
      <c r="I76" t="s">
        <v>15</v>
      </c>
      <c r="J76" t="s">
        <v>137</v>
      </c>
      <c r="K76" t="str">
        <f>"60000217"</f>
        <v>60000217</v>
      </c>
    </row>
    <row r="77" spans="1:11" x14ac:dyDescent="0.25">
      <c r="A77">
        <v>2021</v>
      </c>
      <c r="B77" t="s">
        <v>594</v>
      </c>
      <c r="C77" t="s">
        <v>595</v>
      </c>
      <c r="D77" t="s">
        <v>19</v>
      </c>
      <c r="E77" t="s">
        <v>20</v>
      </c>
      <c r="F77" t="str">
        <f>"43612"</f>
        <v>43612</v>
      </c>
      <c r="G77" t="str">
        <f>"Je061721"</f>
        <v>Je061721</v>
      </c>
      <c r="H77" s="2">
        <f>9.24</f>
        <v>9.24</v>
      </c>
      <c r="I77" t="s">
        <v>15</v>
      </c>
      <c r="J77" t="s">
        <v>137</v>
      </c>
      <c r="K77" t="str">
        <f>"60006316"</f>
        <v>60006316</v>
      </c>
    </row>
    <row r="78" spans="1:11" x14ac:dyDescent="0.25">
      <c r="A78">
        <v>2021</v>
      </c>
      <c r="B78" t="s">
        <v>594</v>
      </c>
      <c r="C78" t="s">
        <v>595</v>
      </c>
      <c r="D78" t="s">
        <v>19</v>
      </c>
      <c r="E78" t="s">
        <v>20</v>
      </c>
      <c r="F78" t="str">
        <f>"43612"</f>
        <v>43612</v>
      </c>
      <c r="G78" t="str">
        <f>"Je061721"</f>
        <v>Je061721</v>
      </c>
      <c r="H78" s="2">
        <f>9.24</f>
        <v>9.24</v>
      </c>
      <c r="I78" t="s">
        <v>15</v>
      </c>
      <c r="J78" t="s">
        <v>137</v>
      </c>
      <c r="K78" t="str">
        <f>"60003214"</f>
        <v>60003214</v>
      </c>
    </row>
    <row r="79" spans="1:11" x14ac:dyDescent="0.25">
      <c r="A79">
        <v>2021</v>
      </c>
      <c r="B79" t="s">
        <v>594</v>
      </c>
      <c r="C79" t="s">
        <v>595</v>
      </c>
      <c r="D79" t="s">
        <v>19</v>
      </c>
      <c r="E79" t="s">
        <v>20</v>
      </c>
      <c r="F79" t="str">
        <f>"43612"</f>
        <v>43612</v>
      </c>
      <c r="G79" t="str">
        <f>"Je092221"</f>
        <v>Je092221</v>
      </c>
      <c r="H79" s="2">
        <f>7.69</f>
        <v>7.69</v>
      </c>
      <c r="I79" t="s">
        <v>15</v>
      </c>
      <c r="J79" t="s">
        <v>114</v>
      </c>
      <c r="K79" t="str">
        <f>"60012979"</f>
        <v>60012979</v>
      </c>
    </row>
    <row r="80" spans="1:11" x14ac:dyDescent="0.25">
      <c r="A80">
        <v>2021</v>
      </c>
      <c r="B80" t="s">
        <v>601</v>
      </c>
      <c r="C80" t="s">
        <v>602</v>
      </c>
      <c r="D80" t="s">
        <v>19</v>
      </c>
      <c r="E80" t="s">
        <v>20</v>
      </c>
      <c r="F80" t="str">
        <f>"43615"</f>
        <v>43615</v>
      </c>
      <c r="G80" t="str">
        <f>"Je092221"</f>
        <v>Je092221</v>
      </c>
      <c r="H80" s="2">
        <f>75</f>
        <v>75</v>
      </c>
      <c r="I80" t="s">
        <v>15</v>
      </c>
      <c r="J80" t="s">
        <v>114</v>
      </c>
      <c r="K80" t="str">
        <f>"60010579"</f>
        <v>60010579</v>
      </c>
    </row>
    <row r="81" spans="1:11" x14ac:dyDescent="0.25">
      <c r="A81">
        <v>2021</v>
      </c>
      <c r="B81" t="s">
        <v>609</v>
      </c>
      <c r="C81" t="s">
        <v>610</v>
      </c>
      <c r="D81" t="s">
        <v>19</v>
      </c>
      <c r="E81" t="s">
        <v>20</v>
      </c>
      <c r="F81" t="str">
        <f>"43613-4327"</f>
        <v>43613-4327</v>
      </c>
      <c r="G81" t="str">
        <f>"402019"</f>
        <v>402019</v>
      </c>
      <c r="H81" s="2">
        <f>10</f>
        <v>10</v>
      </c>
      <c r="I81" t="s">
        <v>27</v>
      </c>
      <c r="J81" t="s">
        <v>42</v>
      </c>
      <c r="K81" t="str">
        <f>"115034"</f>
        <v>115034</v>
      </c>
    </row>
    <row r="82" spans="1:11" x14ac:dyDescent="0.25">
      <c r="A82">
        <v>2021</v>
      </c>
      <c r="B82" t="s">
        <v>615</v>
      </c>
      <c r="C82" t="s">
        <v>616</v>
      </c>
      <c r="D82" t="s">
        <v>617</v>
      </c>
      <c r="E82" t="s">
        <v>20</v>
      </c>
      <c r="F82" t="str">
        <f>"45424-7014"</f>
        <v>45424-7014</v>
      </c>
      <c r="G82" t="str">
        <f>"Swucf4621"</f>
        <v>Swucf4621</v>
      </c>
      <c r="H82" s="2">
        <f>147.92</f>
        <v>147.91999999999999</v>
      </c>
      <c r="I82" t="s">
        <v>15</v>
      </c>
      <c r="J82" t="s">
        <v>81</v>
      </c>
      <c r="K82" t="str">
        <f>"6293294"</f>
        <v>6293294</v>
      </c>
    </row>
    <row r="83" spans="1:11" x14ac:dyDescent="0.25">
      <c r="A83">
        <v>2021</v>
      </c>
      <c r="B83" t="s">
        <v>634</v>
      </c>
      <c r="C83" t="s">
        <v>635</v>
      </c>
      <c r="D83" t="s">
        <v>19</v>
      </c>
      <c r="E83" t="s">
        <v>20</v>
      </c>
      <c r="F83" t="str">
        <f>"43614-2723"</f>
        <v>43614-2723</v>
      </c>
      <c r="G83" t="str">
        <f t="shared" ref="G83:G89" si="0">"402019"</f>
        <v>402019</v>
      </c>
      <c r="H83" s="2">
        <f>50</f>
        <v>50</v>
      </c>
      <c r="I83" t="s">
        <v>27</v>
      </c>
      <c r="J83" t="s">
        <v>42</v>
      </c>
      <c r="K83" t="str">
        <f>"114280"</f>
        <v>114280</v>
      </c>
    </row>
    <row r="84" spans="1:11" x14ac:dyDescent="0.25">
      <c r="A84">
        <v>2021</v>
      </c>
      <c r="B84" t="s">
        <v>634</v>
      </c>
      <c r="C84" t="s">
        <v>635</v>
      </c>
      <c r="D84" t="s">
        <v>19</v>
      </c>
      <c r="E84" t="s">
        <v>20</v>
      </c>
      <c r="F84" t="str">
        <f>"43614-2723"</f>
        <v>43614-2723</v>
      </c>
      <c r="G84" t="str">
        <f t="shared" si="0"/>
        <v>402019</v>
      </c>
      <c r="H84" s="2">
        <f>40</f>
        <v>40</v>
      </c>
      <c r="I84" t="s">
        <v>27</v>
      </c>
      <c r="J84" t="s">
        <v>42</v>
      </c>
      <c r="K84" t="str">
        <f>"114331"</f>
        <v>114331</v>
      </c>
    </row>
    <row r="85" spans="1:11" x14ac:dyDescent="0.25">
      <c r="A85">
        <v>2021</v>
      </c>
      <c r="B85" t="s">
        <v>636</v>
      </c>
      <c r="C85" t="s">
        <v>637</v>
      </c>
      <c r="D85" t="s">
        <v>19</v>
      </c>
      <c r="E85" t="s">
        <v>20</v>
      </c>
      <c r="F85" t="str">
        <f>"43614-4240"</f>
        <v>43614-4240</v>
      </c>
      <c r="G85" t="str">
        <f t="shared" si="0"/>
        <v>402019</v>
      </c>
      <c r="H85" s="2">
        <f>20</f>
        <v>20</v>
      </c>
      <c r="I85" t="s">
        <v>27</v>
      </c>
      <c r="J85" t="s">
        <v>42</v>
      </c>
      <c r="K85" t="str">
        <f>"114864"</f>
        <v>114864</v>
      </c>
    </row>
    <row r="86" spans="1:11" x14ac:dyDescent="0.25">
      <c r="A86">
        <v>2021</v>
      </c>
      <c r="B86" t="s">
        <v>638</v>
      </c>
      <c r="C86" t="s">
        <v>639</v>
      </c>
      <c r="D86" t="s">
        <v>64</v>
      </c>
      <c r="E86" t="s">
        <v>20</v>
      </c>
      <c r="F86" t="str">
        <f>"43566-9528"</f>
        <v>43566-9528</v>
      </c>
      <c r="G86" t="str">
        <f t="shared" si="0"/>
        <v>402019</v>
      </c>
      <c r="H86" s="2">
        <f>10</f>
        <v>10</v>
      </c>
      <c r="I86" t="s">
        <v>27</v>
      </c>
      <c r="J86" t="s">
        <v>42</v>
      </c>
      <c r="K86" t="str">
        <f>"112991"</f>
        <v>112991</v>
      </c>
    </row>
    <row r="87" spans="1:11" x14ac:dyDescent="0.25">
      <c r="A87">
        <v>2021</v>
      </c>
      <c r="B87" t="s">
        <v>659</v>
      </c>
      <c r="C87" t="s">
        <v>660</v>
      </c>
      <c r="D87" t="s">
        <v>19</v>
      </c>
      <c r="E87" t="s">
        <v>20</v>
      </c>
      <c r="F87" t="str">
        <f>"43615"</f>
        <v>43615</v>
      </c>
      <c r="G87" t="str">
        <f t="shared" si="0"/>
        <v>402019</v>
      </c>
      <c r="H87" s="2">
        <f>20</f>
        <v>20</v>
      </c>
      <c r="I87" t="s">
        <v>27</v>
      </c>
      <c r="J87" t="s">
        <v>42</v>
      </c>
      <c r="K87" t="str">
        <f>"111871"</f>
        <v>111871</v>
      </c>
    </row>
    <row r="88" spans="1:11" x14ac:dyDescent="0.25">
      <c r="A88">
        <v>2021</v>
      </c>
      <c r="B88" t="s">
        <v>661</v>
      </c>
      <c r="C88" t="s">
        <v>662</v>
      </c>
      <c r="D88" t="s">
        <v>19</v>
      </c>
      <c r="E88" t="s">
        <v>20</v>
      </c>
      <c r="F88" t="str">
        <f>"43613-2613"</f>
        <v>43613-2613</v>
      </c>
      <c r="G88" t="str">
        <f t="shared" si="0"/>
        <v>402019</v>
      </c>
      <c r="H88" s="2">
        <f>20</f>
        <v>20</v>
      </c>
      <c r="I88" t="s">
        <v>27</v>
      </c>
      <c r="J88" t="s">
        <v>42</v>
      </c>
      <c r="K88" t="str">
        <f>"115553"</f>
        <v>115553</v>
      </c>
    </row>
    <row r="89" spans="1:11" x14ac:dyDescent="0.25">
      <c r="A89">
        <v>2021</v>
      </c>
      <c r="B89" t="s">
        <v>663</v>
      </c>
      <c r="C89" t="s">
        <v>664</v>
      </c>
      <c r="D89" t="s">
        <v>19</v>
      </c>
      <c r="E89" t="s">
        <v>20</v>
      </c>
      <c r="F89" t="str">
        <f>"43614-3314"</f>
        <v>43614-3314</v>
      </c>
      <c r="G89" t="str">
        <f t="shared" si="0"/>
        <v>402019</v>
      </c>
      <c r="H89" s="2">
        <f>10</f>
        <v>10</v>
      </c>
      <c r="I89" t="s">
        <v>27</v>
      </c>
      <c r="J89" t="s">
        <v>42</v>
      </c>
      <c r="K89" t="str">
        <f>"112021"</f>
        <v>112021</v>
      </c>
    </row>
    <row r="90" spans="1:11" x14ac:dyDescent="0.25">
      <c r="A90">
        <v>2021</v>
      </c>
      <c r="B90" t="s">
        <v>675</v>
      </c>
      <c r="C90" t="s">
        <v>676</v>
      </c>
      <c r="D90" t="s">
        <v>19</v>
      </c>
      <c r="E90" t="s">
        <v>20</v>
      </c>
      <c r="F90" t="str">
        <f>"43605"</f>
        <v>43605</v>
      </c>
      <c r="G90" t="str">
        <f>"402063"</f>
        <v>402063</v>
      </c>
      <c r="H90" s="2">
        <f>5.25</f>
        <v>5.25</v>
      </c>
      <c r="I90" t="s">
        <v>27</v>
      </c>
      <c r="J90" t="s">
        <v>71</v>
      </c>
      <c r="K90" t="str">
        <f>"44008062"</f>
        <v>44008062</v>
      </c>
    </row>
    <row r="91" spans="1:11" x14ac:dyDescent="0.25">
      <c r="A91">
        <v>2021</v>
      </c>
      <c r="B91" t="s">
        <v>681</v>
      </c>
      <c r="C91" t="s">
        <v>682</v>
      </c>
      <c r="D91" t="s">
        <v>19</v>
      </c>
      <c r="E91" t="s">
        <v>20</v>
      </c>
      <c r="F91" t="str">
        <f>"43615-2507"</f>
        <v>43615-2507</v>
      </c>
      <c r="G91" t="str">
        <f>"402019"</f>
        <v>402019</v>
      </c>
      <c r="H91" s="2">
        <f>10</f>
        <v>10</v>
      </c>
      <c r="I91" t="s">
        <v>27</v>
      </c>
      <c r="J91" t="s">
        <v>42</v>
      </c>
      <c r="K91" t="str">
        <f>"113931"</f>
        <v>113931</v>
      </c>
    </row>
    <row r="92" spans="1:11" x14ac:dyDescent="0.25">
      <c r="A92">
        <v>2021</v>
      </c>
      <c r="B92" t="s">
        <v>685</v>
      </c>
      <c r="C92" t="s">
        <v>686</v>
      </c>
      <c r="D92" t="s">
        <v>19</v>
      </c>
      <c r="E92" t="s">
        <v>20</v>
      </c>
      <c r="F92" t="str">
        <f>"43607-1305"</f>
        <v>43607-1305</v>
      </c>
      <c r="G92" t="str">
        <f>"402019"</f>
        <v>402019</v>
      </c>
      <c r="H92" s="2">
        <f>10</f>
        <v>10</v>
      </c>
      <c r="I92" t="s">
        <v>27</v>
      </c>
      <c r="J92" t="s">
        <v>42</v>
      </c>
      <c r="K92" t="str">
        <f>"115121"</f>
        <v>115121</v>
      </c>
    </row>
    <row r="93" spans="1:11" x14ac:dyDescent="0.25">
      <c r="A93">
        <v>2021</v>
      </c>
      <c r="B93" t="s">
        <v>696</v>
      </c>
      <c r="C93" t="s">
        <v>697</v>
      </c>
      <c r="D93" t="s">
        <v>19</v>
      </c>
      <c r="E93" t="s">
        <v>20</v>
      </c>
      <c r="F93" t="str">
        <f>"43615-1014"</f>
        <v>43615-1014</v>
      </c>
      <c r="G93" t="str">
        <f>"402019"</f>
        <v>402019</v>
      </c>
      <c r="H93" s="2">
        <f>50</f>
        <v>50</v>
      </c>
      <c r="I93" t="s">
        <v>27</v>
      </c>
      <c r="J93" t="s">
        <v>42</v>
      </c>
      <c r="K93" t="str">
        <f>"115992"</f>
        <v>115992</v>
      </c>
    </row>
    <row r="94" spans="1:11" x14ac:dyDescent="0.25">
      <c r="A94">
        <v>2021</v>
      </c>
      <c r="B94" t="s">
        <v>696</v>
      </c>
      <c r="C94" t="s">
        <v>697</v>
      </c>
      <c r="D94" t="s">
        <v>19</v>
      </c>
      <c r="E94" t="s">
        <v>20</v>
      </c>
      <c r="F94" t="str">
        <f>"43615-1014"</f>
        <v>43615-1014</v>
      </c>
      <c r="G94" t="str">
        <f>"402019"</f>
        <v>402019</v>
      </c>
      <c r="H94" s="2">
        <f>30</f>
        <v>30</v>
      </c>
      <c r="I94" t="s">
        <v>27</v>
      </c>
      <c r="J94" t="s">
        <v>42</v>
      </c>
      <c r="K94" t="str">
        <f>"116052"</f>
        <v>116052</v>
      </c>
    </row>
    <row r="95" spans="1:11" x14ac:dyDescent="0.25">
      <c r="A95">
        <v>2021</v>
      </c>
      <c r="B95" t="s">
        <v>700</v>
      </c>
      <c r="C95" t="s">
        <v>701</v>
      </c>
      <c r="D95" t="s">
        <v>50</v>
      </c>
      <c r="E95" t="s">
        <v>20</v>
      </c>
      <c r="F95" t="str">
        <f>"43560-9466"</f>
        <v>43560-9466</v>
      </c>
      <c r="G95" t="str">
        <f>"402019"</f>
        <v>402019</v>
      </c>
      <c r="H95" s="2">
        <f>10</f>
        <v>10</v>
      </c>
      <c r="I95" t="s">
        <v>27</v>
      </c>
      <c r="J95" t="s">
        <v>42</v>
      </c>
      <c r="K95" t="str">
        <f>"113938"</f>
        <v>113938</v>
      </c>
    </row>
    <row r="96" spans="1:11" x14ac:dyDescent="0.25">
      <c r="A96">
        <v>2021</v>
      </c>
      <c r="B96" t="s">
        <v>708</v>
      </c>
      <c r="C96" t="s">
        <v>709</v>
      </c>
      <c r="D96" t="s">
        <v>710</v>
      </c>
      <c r="E96" t="s">
        <v>20</v>
      </c>
      <c r="F96" t="str">
        <f>"44270-9702"</f>
        <v>44270-9702</v>
      </c>
      <c r="G96" t="str">
        <f>"Swucf4621"</f>
        <v>Swucf4621</v>
      </c>
      <c r="H96" s="2">
        <f>110.72</f>
        <v>110.72</v>
      </c>
      <c r="I96" t="s">
        <v>15</v>
      </c>
      <c r="J96" t="s">
        <v>81</v>
      </c>
      <c r="K96" t="str">
        <f>"6288547"</f>
        <v>6288547</v>
      </c>
    </row>
    <row r="97" spans="1:11" x14ac:dyDescent="0.25">
      <c r="A97">
        <v>2021</v>
      </c>
      <c r="B97" t="s">
        <v>708</v>
      </c>
      <c r="C97" t="s">
        <v>709</v>
      </c>
      <c r="D97" t="s">
        <v>710</v>
      </c>
      <c r="E97" t="s">
        <v>20</v>
      </c>
      <c r="F97" t="str">
        <f>"44270-9702"</f>
        <v>44270-9702</v>
      </c>
      <c r="G97" t="str">
        <f>"Swucf4621"</f>
        <v>Swucf4621</v>
      </c>
      <c r="H97" s="2">
        <f>110.72</f>
        <v>110.72</v>
      </c>
      <c r="I97" t="s">
        <v>15</v>
      </c>
      <c r="J97" t="s">
        <v>81</v>
      </c>
      <c r="K97" t="str">
        <f>"6291714"</f>
        <v>6291714</v>
      </c>
    </row>
    <row r="98" spans="1:11" x14ac:dyDescent="0.25">
      <c r="A98">
        <v>2021</v>
      </c>
      <c r="B98" t="s">
        <v>713</v>
      </c>
      <c r="C98" t="s">
        <v>714</v>
      </c>
      <c r="D98" t="s">
        <v>19</v>
      </c>
      <c r="E98" t="s">
        <v>20</v>
      </c>
      <c r="F98" t="str">
        <f>"43613-2153"</f>
        <v>43613-2153</v>
      </c>
      <c r="G98" t="str">
        <f>"402019"</f>
        <v>402019</v>
      </c>
      <c r="H98" s="2">
        <f>20</f>
        <v>20</v>
      </c>
      <c r="I98" t="s">
        <v>27</v>
      </c>
      <c r="J98" t="s">
        <v>42</v>
      </c>
      <c r="K98" t="str">
        <f>"114920"</f>
        <v>114920</v>
      </c>
    </row>
    <row r="99" spans="1:11" x14ac:dyDescent="0.25">
      <c r="A99">
        <v>2021</v>
      </c>
      <c r="B99" t="s">
        <v>729</v>
      </c>
      <c r="C99" t="s">
        <v>730</v>
      </c>
      <c r="D99" t="s">
        <v>19</v>
      </c>
      <c r="E99" t="s">
        <v>20</v>
      </c>
      <c r="F99" t="str">
        <f>"43611-1220"</f>
        <v>43611-1220</v>
      </c>
      <c r="G99" t="str">
        <f>"402019"</f>
        <v>402019</v>
      </c>
      <c r="H99" s="2">
        <f>10</f>
        <v>10</v>
      </c>
      <c r="I99" t="s">
        <v>27</v>
      </c>
      <c r="J99" t="s">
        <v>42</v>
      </c>
      <c r="K99" t="str">
        <f>"111826"</f>
        <v>111826</v>
      </c>
    </row>
    <row r="100" spans="1:11" x14ac:dyDescent="0.25">
      <c r="A100">
        <v>2021</v>
      </c>
      <c r="B100" t="s">
        <v>757</v>
      </c>
      <c r="C100" t="s">
        <v>758</v>
      </c>
      <c r="D100" t="s">
        <v>19</v>
      </c>
      <c r="E100" t="s">
        <v>20</v>
      </c>
      <c r="F100" t="str">
        <f>"43615-1867"</f>
        <v>43615-1867</v>
      </c>
      <c r="G100" t="str">
        <f>"402019"</f>
        <v>402019</v>
      </c>
      <c r="H100" s="2">
        <f>10</f>
        <v>10</v>
      </c>
      <c r="I100" t="s">
        <v>27</v>
      </c>
      <c r="J100" t="s">
        <v>42</v>
      </c>
      <c r="K100" t="str">
        <f>"112013"</f>
        <v>112013</v>
      </c>
    </row>
    <row r="101" spans="1:11" x14ac:dyDescent="0.25">
      <c r="A101">
        <v>2021</v>
      </c>
      <c r="B101" t="s">
        <v>759</v>
      </c>
      <c r="C101" t="s">
        <v>760</v>
      </c>
      <c r="D101" t="s">
        <v>125</v>
      </c>
      <c r="E101" t="s">
        <v>20</v>
      </c>
      <c r="F101" t="str">
        <f>"43537"</f>
        <v>43537</v>
      </c>
      <c r="G101" t="str">
        <f>"Swucf4621"</f>
        <v>Swucf4621</v>
      </c>
      <c r="H101" s="2">
        <f>160</f>
        <v>160</v>
      </c>
      <c r="I101" t="s">
        <v>15</v>
      </c>
      <c r="J101" t="s">
        <v>81</v>
      </c>
      <c r="K101" t="str">
        <f>"6294265"</f>
        <v>6294265</v>
      </c>
    </row>
    <row r="102" spans="1:11" x14ac:dyDescent="0.25">
      <c r="A102">
        <v>2021</v>
      </c>
      <c r="B102" t="s">
        <v>759</v>
      </c>
      <c r="C102" t="s">
        <v>760</v>
      </c>
      <c r="D102" t="s">
        <v>125</v>
      </c>
      <c r="E102" t="s">
        <v>20</v>
      </c>
      <c r="F102" t="str">
        <f>"43537"</f>
        <v>43537</v>
      </c>
      <c r="G102" t="str">
        <f>"Swucf4621"</f>
        <v>Swucf4621</v>
      </c>
      <c r="H102" s="2">
        <f>160</f>
        <v>160</v>
      </c>
      <c r="I102" t="s">
        <v>15</v>
      </c>
      <c r="J102" t="s">
        <v>81</v>
      </c>
      <c r="K102" t="str">
        <f>"6296531"</f>
        <v>6296531</v>
      </c>
    </row>
    <row r="103" spans="1:11" x14ac:dyDescent="0.25">
      <c r="A103">
        <v>2021</v>
      </c>
      <c r="B103" t="s">
        <v>761</v>
      </c>
      <c r="C103" t="s">
        <v>762</v>
      </c>
      <c r="D103" t="s">
        <v>19</v>
      </c>
      <c r="E103" t="s">
        <v>20</v>
      </c>
      <c r="F103" t="str">
        <f>"43605-1926"</f>
        <v>43605-1926</v>
      </c>
      <c r="G103" t="str">
        <f>"402019"</f>
        <v>402019</v>
      </c>
      <c r="H103" s="2">
        <f>80</f>
        <v>80</v>
      </c>
      <c r="I103" t="s">
        <v>27</v>
      </c>
      <c r="J103" t="s">
        <v>42</v>
      </c>
      <c r="K103" t="str">
        <f>"113655"</f>
        <v>113655</v>
      </c>
    </row>
    <row r="104" spans="1:11" x14ac:dyDescent="0.25">
      <c r="A104">
        <v>2021</v>
      </c>
      <c r="B104" t="s">
        <v>784</v>
      </c>
      <c r="C104" t="s">
        <v>785</v>
      </c>
      <c r="D104" t="s">
        <v>19</v>
      </c>
      <c r="E104" t="s">
        <v>20</v>
      </c>
      <c r="F104" t="str">
        <f>"43608"</f>
        <v>43608</v>
      </c>
      <c r="G104" t="str">
        <f>"Je110321"</f>
        <v>Je110321</v>
      </c>
      <c r="H104" s="2">
        <f>1</f>
        <v>1</v>
      </c>
      <c r="I104" t="s">
        <v>15</v>
      </c>
      <c r="J104" t="s">
        <v>596</v>
      </c>
      <c r="K104" t="str">
        <f>"60024237"</f>
        <v>60024237</v>
      </c>
    </row>
    <row r="105" spans="1:11" x14ac:dyDescent="0.25">
      <c r="A105">
        <v>2021</v>
      </c>
      <c r="B105" t="s">
        <v>788</v>
      </c>
      <c r="C105" t="s">
        <v>789</v>
      </c>
      <c r="D105" t="s">
        <v>105</v>
      </c>
      <c r="E105" t="s">
        <v>20</v>
      </c>
      <c r="F105" t="str">
        <f>"43528"</f>
        <v>43528</v>
      </c>
      <c r="G105" t="str">
        <f>"402017"</f>
        <v>402017</v>
      </c>
      <c r="H105" s="2">
        <f>3.55</f>
        <v>3.55</v>
      </c>
      <c r="I105" t="s">
        <v>27</v>
      </c>
      <c r="J105" t="s">
        <v>212</v>
      </c>
      <c r="K105" t="str">
        <f>"33869"</f>
        <v>33869</v>
      </c>
    </row>
    <row r="106" spans="1:11" x14ac:dyDescent="0.25">
      <c r="A106">
        <v>2021</v>
      </c>
      <c r="B106" t="s">
        <v>821</v>
      </c>
      <c r="C106" t="s">
        <v>822</v>
      </c>
      <c r="D106" t="s">
        <v>19</v>
      </c>
      <c r="E106" t="s">
        <v>20</v>
      </c>
      <c r="F106" t="str">
        <f>"43620"</f>
        <v>43620</v>
      </c>
      <c r="G106" t="str">
        <f>"Je092221"</f>
        <v>Je092221</v>
      </c>
      <c r="H106" s="2">
        <f>15</f>
        <v>15</v>
      </c>
      <c r="I106" t="s">
        <v>15</v>
      </c>
      <c r="J106" t="s">
        <v>114</v>
      </c>
      <c r="K106" t="str">
        <f>"60009165"</f>
        <v>60009165</v>
      </c>
    </row>
    <row r="107" spans="1:11" x14ac:dyDescent="0.25">
      <c r="A107">
        <v>2021</v>
      </c>
      <c r="B107" t="s">
        <v>823</v>
      </c>
      <c r="C107" t="s">
        <v>824</v>
      </c>
      <c r="D107" t="s">
        <v>19</v>
      </c>
      <c r="E107" t="s">
        <v>20</v>
      </c>
      <c r="F107" t="str">
        <f>"43607-1734"</f>
        <v>43607-1734</v>
      </c>
      <c r="G107" t="str">
        <f>"402019"</f>
        <v>402019</v>
      </c>
      <c r="H107" s="2">
        <f>20</f>
        <v>20</v>
      </c>
      <c r="I107" t="s">
        <v>27</v>
      </c>
      <c r="J107" t="s">
        <v>42</v>
      </c>
      <c r="K107" t="str">
        <f>"112001"</f>
        <v>112001</v>
      </c>
    </row>
    <row r="108" spans="1:11" x14ac:dyDescent="0.25">
      <c r="A108">
        <v>2021</v>
      </c>
      <c r="B108" t="s">
        <v>830</v>
      </c>
      <c r="C108" t="s">
        <v>831</v>
      </c>
      <c r="D108" t="s">
        <v>19</v>
      </c>
      <c r="E108" t="s">
        <v>20</v>
      </c>
      <c r="F108" t="str">
        <f>"43606-3724"</f>
        <v>43606-3724</v>
      </c>
      <c r="G108" t="str">
        <f>"402019"</f>
        <v>402019</v>
      </c>
      <c r="H108" s="2">
        <f>10</f>
        <v>10</v>
      </c>
      <c r="I108" t="s">
        <v>27</v>
      </c>
      <c r="J108" t="s">
        <v>42</v>
      </c>
      <c r="K108" t="str">
        <f>"115269"</f>
        <v>115269</v>
      </c>
    </row>
    <row r="109" spans="1:11" x14ac:dyDescent="0.25">
      <c r="A109">
        <v>2021</v>
      </c>
      <c r="B109" t="s">
        <v>856</v>
      </c>
      <c r="C109" t="s">
        <v>857</v>
      </c>
      <c r="D109" t="s">
        <v>19</v>
      </c>
      <c r="E109" t="s">
        <v>20</v>
      </c>
      <c r="F109" t="str">
        <f>"43623"</f>
        <v>43623</v>
      </c>
      <c r="G109" t="str">
        <f>"402018"</f>
        <v>402018</v>
      </c>
      <c r="H109" s="2">
        <f>23.33</f>
        <v>23.33</v>
      </c>
      <c r="I109" t="s">
        <v>27</v>
      </c>
      <c r="J109" t="s">
        <v>171</v>
      </c>
      <c r="K109" t="str">
        <f>"516811"</f>
        <v>516811</v>
      </c>
    </row>
    <row r="110" spans="1:11" x14ac:dyDescent="0.25">
      <c r="A110">
        <v>2021</v>
      </c>
      <c r="B110" t="s">
        <v>856</v>
      </c>
      <c r="C110" t="s">
        <v>857</v>
      </c>
      <c r="D110" t="s">
        <v>19</v>
      </c>
      <c r="E110" t="s">
        <v>20</v>
      </c>
      <c r="F110" t="str">
        <f>"43623"</f>
        <v>43623</v>
      </c>
      <c r="G110" t="str">
        <f>"402018"</f>
        <v>402018</v>
      </c>
      <c r="H110" s="2">
        <f>5.34</f>
        <v>5.34</v>
      </c>
      <c r="I110" t="s">
        <v>27</v>
      </c>
      <c r="J110" t="s">
        <v>171</v>
      </c>
      <c r="K110" t="str">
        <f>"517021"</f>
        <v>517021</v>
      </c>
    </row>
    <row r="111" spans="1:11" x14ac:dyDescent="0.25">
      <c r="A111">
        <v>2021</v>
      </c>
      <c r="B111" t="s">
        <v>872</v>
      </c>
      <c r="C111" t="s">
        <v>873</v>
      </c>
      <c r="D111" t="s">
        <v>19</v>
      </c>
      <c r="E111" t="s">
        <v>20</v>
      </c>
      <c r="F111" t="str">
        <f>"43607"</f>
        <v>43607</v>
      </c>
      <c r="G111" t="str">
        <f>"402017"</f>
        <v>402017</v>
      </c>
      <c r="H111" s="2">
        <f>64.75</f>
        <v>64.75</v>
      </c>
      <c r="I111" t="s">
        <v>27</v>
      </c>
      <c r="J111" t="s">
        <v>212</v>
      </c>
      <c r="K111" t="str">
        <f>"32975"</f>
        <v>32975</v>
      </c>
    </row>
    <row r="112" spans="1:11" x14ac:dyDescent="0.25">
      <c r="A112">
        <v>2021</v>
      </c>
      <c r="B112" t="s">
        <v>874</v>
      </c>
      <c r="C112" t="s">
        <v>875</v>
      </c>
      <c r="D112" t="s">
        <v>19</v>
      </c>
      <c r="E112" t="s">
        <v>20</v>
      </c>
      <c r="F112" t="str">
        <f>"43605"</f>
        <v>43605</v>
      </c>
      <c r="G112" t="str">
        <f>"Pio448069"</f>
        <v>Pio448069</v>
      </c>
      <c r="H112" s="2">
        <f>25</f>
        <v>25</v>
      </c>
      <c r="I112" t="s">
        <v>86</v>
      </c>
      <c r="J112" t="s">
        <v>87</v>
      </c>
      <c r="K112" t="str">
        <f>"0"</f>
        <v>0</v>
      </c>
    </row>
    <row r="113" spans="1:11" x14ac:dyDescent="0.25">
      <c r="A113">
        <v>2021</v>
      </c>
      <c r="B113" t="s">
        <v>880</v>
      </c>
      <c r="C113" t="s">
        <v>881</v>
      </c>
      <c r="D113" t="s">
        <v>19</v>
      </c>
      <c r="E113" t="s">
        <v>20</v>
      </c>
      <c r="F113" t="str">
        <f>"43612"</f>
        <v>43612</v>
      </c>
      <c r="G113" t="str">
        <f>"Pio448069"</f>
        <v>Pio448069</v>
      </c>
      <c r="H113" s="2">
        <f>1</f>
        <v>1</v>
      </c>
      <c r="I113" t="s">
        <v>86</v>
      </c>
      <c r="J113" t="s">
        <v>87</v>
      </c>
      <c r="K113" t="str">
        <f>"0"</f>
        <v>0</v>
      </c>
    </row>
    <row r="114" spans="1:11" x14ac:dyDescent="0.25">
      <c r="A114">
        <v>2021</v>
      </c>
      <c r="B114" t="s">
        <v>890</v>
      </c>
      <c r="C114" t="s">
        <v>891</v>
      </c>
      <c r="D114" t="s">
        <v>19</v>
      </c>
      <c r="E114" t="s">
        <v>20</v>
      </c>
      <c r="F114" t="str">
        <f>"43614-3631"</f>
        <v>43614-3631</v>
      </c>
      <c r="G114" t="str">
        <f>"402019"</f>
        <v>402019</v>
      </c>
      <c r="H114" s="2">
        <f>40</f>
        <v>40</v>
      </c>
      <c r="I114" t="s">
        <v>27</v>
      </c>
      <c r="J114" t="s">
        <v>42</v>
      </c>
      <c r="K114" t="str">
        <f>"111156"</f>
        <v>111156</v>
      </c>
    </row>
    <row r="115" spans="1:11" x14ac:dyDescent="0.25">
      <c r="A115">
        <v>2021</v>
      </c>
      <c r="B115" t="s">
        <v>894</v>
      </c>
      <c r="C115" t="s">
        <v>895</v>
      </c>
      <c r="D115" t="s">
        <v>895</v>
      </c>
      <c r="F115" t="str">
        <f>""</f>
        <v/>
      </c>
      <c r="G115" t="str">
        <f>"385483"</f>
        <v>385483</v>
      </c>
      <c r="H115" s="2">
        <f>592.08</f>
        <v>592.08000000000004</v>
      </c>
      <c r="I115" t="s">
        <v>148</v>
      </c>
      <c r="J115" t="s">
        <v>896</v>
      </c>
      <c r="K115" t="str">
        <f>"24855"</f>
        <v>24855</v>
      </c>
    </row>
    <row r="116" spans="1:11" x14ac:dyDescent="0.25">
      <c r="A116">
        <v>2021</v>
      </c>
      <c r="B116" t="s">
        <v>897</v>
      </c>
      <c r="C116" t="s">
        <v>898</v>
      </c>
      <c r="D116" t="s">
        <v>899</v>
      </c>
      <c r="E116" t="s">
        <v>20</v>
      </c>
      <c r="F116" t="str">
        <f>"43412-9732"</f>
        <v>43412-9732</v>
      </c>
      <c r="G116" t="str">
        <f>"402019"</f>
        <v>402019</v>
      </c>
      <c r="H116" s="2">
        <f>10</f>
        <v>10</v>
      </c>
      <c r="I116" t="s">
        <v>27</v>
      </c>
      <c r="J116" t="s">
        <v>42</v>
      </c>
      <c r="K116" t="str">
        <f>"112746"</f>
        <v>112746</v>
      </c>
    </row>
    <row r="117" spans="1:11" x14ac:dyDescent="0.25">
      <c r="A117">
        <v>2021</v>
      </c>
      <c r="B117" t="s">
        <v>900</v>
      </c>
      <c r="C117" t="s">
        <v>901</v>
      </c>
      <c r="D117" t="s">
        <v>19</v>
      </c>
      <c r="E117" t="s">
        <v>20</v>
      </c>
      <c r="F117" t="str">
        <f>"43608"</f>
        <v>43608</v>
      </c>
      <c r="G117" t="str">
        <f>"Pio448069"</f>
        <v>Pio448069</v>
      </c>
      <c r="H117" s="2">
        <f>9</f>
        <v>9</v>
      </c>
      <c r="I117" t="s">
        <v>86</v>
      </c>
      <c r="J117" t="s">
        <v>87</v>
      </c>
      <c r="K117" t="str">
        <f>"0"</f>
        <v>0</v>
      </c>
    </row>
    <row r="118" spans="1:11" x14ac:dyDescent="0.25">
      <c r="A118">
        <v>2021</v>
      </c>
      <c r="B118" t="s">
        <v>904</v>
      </c>
      <c r="C118" t="s">
        <v>153</v>
      </c>
      <c r="D118" t="s">
        <v>19</v>
      </c>
      <c r="E118" t="s">
        <v>20</v>
      </c>
      <c r="F118" t="str">
        <f>"43604"</f>
        <v>43604</v>
      </c>
      <c r="G118" t="str">
        <f>"Pio448069"</f>
        <v>Pio448069</v>
      </c>
      <c r="H118" s="2">
        <f>46.31</f>
        <v>46.31</v>
      </c>
      <c r="I118" t="s">
        <v>86</v>
      </c>
      <c r="J118" t="s">
        <v>87</v>
      </c>
      <c r="K118" t="str">
        <f>"0"</f>
        <v>0</v>
      </c>
    </row>
    <row r="119" spans="1:11" x14ac:dyDescent="0.25">
      <c r="A119">
        <v>2021</v>
      </c>
      <c r="B119" t="s">
        <v>912</v>
      </c>
      <c r="C119" t="s">
        <v>911</v>
      </c>
      <c r="D119" t="s">
        <v>19</v>
      </c>
      <c r="E119" t="s">
        <v>20</v>
      </c>
      <c r="F119" t="str">
        <f>"43617"</f>
        <v>43617</v>
      </c>
      <c r="G119" t="str">
        <f>"402018"</f>
        <v>402018</v>
      </c>
      <c r="H119" s="2">
        <f>9.08</f>
        <v>9.08</v>
      </c>
      <c r="I119" t="s">
        <v>27</v>
      </c>
      <c r="J119" t="s">
        <v>171</v>
      </c>
      <c r="K119" t="str">
        <f>"517597"</f>
        <v>517597</v>
      </c>
    </row>
    <row r="120" spans="1:11" x14ac:dyDescent="0.25">
      <c r="A120">
        <v>2021</v>
      </c>
      <c r="B120" t="s">
        <v>915</v>
      </c>
      <c r="C120" t="s">
        <v>914</v>
      </c>
      <c r="D120" t="s">
        <v>19</v>
      </c>
      <c r="E120" t="s">
        <v>20</v>
      </c>
      <c r="F120" t="str">
        <f>"43617"</f>
        <v>43617</v>
      </c>
      <c r="G120" t="str">
        <f>"402018"</f>
        <v>402018</v>
      </c>
      <c r="H120" s="2">
        <f>9.08</f>
        <v>9.08</v>
      </c>
      <c r="I120" t="s">
        <v>27</v>
      </c>
      <c r="J120" t="s">
        <v>171</v>
      </c>
      <c r="K120" t="str">
        <f>"517598"</f>
        <v>517598</v>
      </c>
    </row>
    <row r="121" spans="1:11" x14ac:dyDescent="0.25">
      <c r="A121">
        <v>2021</v>
      </c>
      <c r="B121" t="s">
        <v>916</v>
      </c>
      <c r="C121" t="s">
        <v>917</v>
      </c>
      <c r="D121" t="s">
        <v>19</v>
      </c>
      <c r="E121" t="s">
        <v>20</v>
      </c>
      <c r="F121" t="str">
        <f>"43612"</f>
        <v>43612</v>
      </c>
      <c r="G121" t="str">
        <f>"Pio448069"</f>
        <v>Pio448069</v>
      </c>
      <c r="H121" s="2">
        <f>3</f>
        <v>3</v>
      </c>
      <c r="I121" t="s">
        <v>86</v>
      </c>
      <c r="J121" t="s">
        <v>87</v>
      </c>
      <c r="K121" t="str">
        <f>"0"</f>
        <v>0</v>
      </c>
    </row>
    <row r="122" spans="1:11" x14ac:dyDescent="0.25">
      <c r="A122">
        <v>2021</v>
      </c>
      <c r="B122" t="s">
        <v>933</v>
      </c>
      <c r="C122" t="s">
        <v>934</v>
      </c>
      <c r="D122" t="s">
        <v>105</v>
      </c>
      <c r="E122" t="s">
        <v>20</v>
      </c>
      <c r="F122" t="str">
        <f>"43528"</f>
        <v>43528</v>
      </c>
      <c r="G122" t="str">
        <f>"Je110321"</f>
        <v>Je110321</v>
      </c>
      <c r="H122" s="2">
        <f>599.96</f>
        <v>599.96</v>
      </c>
      <c r="I122" t="s">
        <v>15</v>
      </c>
      <c r="J122" t="s">
        <v>596</v>
      </c>
      <c r="K122" t="str">
        <f>"60022015"</f>
        <v>60022015</v>
      </c>
    </row>
    <row r="123" spans="1:11" x14ac:dyDescent="0.25">
      <c r="A123">
        <v>2021</v>
      </c>
      <c r="B123" t="s">
        <v>935</v>
      </c>
      <c r="C123" t="s">
        <v>936</v>
      </c>
      <c r="D123" t="s">
        <v>19</v>
      </c>
      <c r="E123" t="s">
        <v>20</v>
      </c>
      <c r="F123" t="str">
        <f>"43608"</f>
        <v>43608</v>
      </c>
      <c r="G123" t="str">
        <f>"Pio448069"</f>
        <v>Pio448069</v>
      </c>
      <c r="H123" s="2">
        <f>19.6</f>
        <v>19.600000000000001</v>
      </c>
      <c r="I123" t="s">
        <v>86</v>
      </c>
      <c r="J123" t="s">
        <v>87</v>
      </c>
      <c r="K123" t="str">
        <f>"0"</f>
        <v>0</v>
      </c>
    </row>
    <row r="124" spans="1:11" x14ac:dyDescent="0.25">
      <c r="A124">
        <v>2021</v>
      </c>
      <c r="B124" t="s">
        <v>937</v>
      </c>
      <c r="C124" t="s">
        <v>938</v>
      </c>
      <c r="D124" t="s">
        <v>19</v>
      </c>
      <c r="E124" t="s">
        <v>20</v>
      </c>
      <c r="F124" t="str">
        <f>"43609"</f>
        <v>43609</v>
      </c>
      <c r="G124" t="str">
        <f>"Pio448069"</f>
        <v>Pio448069</v>
      </c>
      <c r="H124" s="2">
        <f>55</f>
        <v>55</v>
      </c>
      <c r="I124" t="s">
        <v>86</v>
      </c>
      <c r="J124" t="s">
        <v>87</v>
      </c>
      <c r="K124" t="str">
        <f>"0"</f>
        <v>0</v>
      </c>
    </row>
    <row r="125" spans="1:11" x14ac:dyDescent="0.25">
      <c r="A125">
        <v>2021</v>
      </c>
      <c r="B125" t="s">
        <v>961</v>
      </c>
      <c r="C125" t="s">
        <v>962</v>
      </c>
      <c r="D125" t="s">
        <v>58</v>
      </c>
      <c r="E125" t="s">
        <v>20</v>
      </c>
      <c r="F125" t="str">
        <f>"43616-1648"</f>
        <v>43616-1648</v>
      </c>
      <c r="G125" t="str">
        <f>"402019"</f>
        <v>402019</v>
      </c>
      <c r="H125" s="2">
        <f>10</f>
        <v>10</v>
      </c>
      <c r="I125" t="s">
        <v>27</v>
      </c>
      <c r="J125" t="s">
        <v>42</v>
      </c>
      <c r="K125" t="str">
        <f>"114807"</f>
        <v>114807</v>
      </c>
    </row>
    <row r="126" spans="1:11" x14ac:dyDescent="0.25">
      <c r="A126">
        <v>2021</v>
      </c>
      <c r="B126" t="s">
        <v>965</v>
      </c>
      <c r="C126" t="s">
        <v>966</v>
      </c>
      <c r="D126" t="s">
        <v>19</v>
      </c>
      <c r="E126" t="s">
        <v>20</v>
      </c>
      <c r="F126" t="str">
        <f>"43614-3539"</f>
        <v>43614-3539</v>
      </c>
      <c r="G126" t="str">
        <f>"402019"</f>
        <v>402019</v>
      </c>
      <c r="H126" s="2">
        <f>40</f>
        <v>40</v>
      </c>
      <c r="I126" t="s">
        <v>27</v>
      </c>
      <c r="J126" t="s">
        <v>42</v>
      </c>
      <c r="K126" t="str">
        <f>"114502"</f>
        <v>114502</v>
      </c>
    </row>
    <row r="127" spans="1:11" x14ac:dyDescent="0.25">
      <c r="A127">
        <v>2021</v>
      </c>
      <c r="B127" t="s">
        <v>1006</v>
      </c>
      <c r="C127" t="s">
        <v>1007</v>
      </c>
      <c r="D127" t="s">
        <v>19</v>
      </c>
      <c r="E127" t="s">
        <v>20</v>
      </c>
      <c r="F127" t="str">
        <f>"43613"</f>
        <v>43613</v>
      </c>
      <c r="G127" t="str">
        <f>"Pio448069"</f>
        <v>Pio448069</v>
      </c>
      <c r="H127" s="2">
        <f>20</f>
        <v>20</v>
      </c>
      <c r="I127" t="s">
        <v>86</v>
      </c>
      <c r="J127" t="s">
        <v>87</v>
      </c>
      <c r="K127" t="str">
        <f>"0"</f>
        <v>0</v>
      </c>
    </row>
    <row r="128" spans="1:11" x14ac:dyDescent="0.25">
      <c r="A128">
        <v>2021</v>
      </c>
      <c r="B128" t="s">
        <v>1031</v>
      </c>
      <c r="C128" t="s">
        <v>1032</v>
      </c>
      <c r="D128" t="s">
        <v>50</v>
      </c>
      <c r="E128" t="s">
        <v>20</v>
      </c>
      <c r="F128" t="str">
        <f>"43560-1247"</f>
        <v>43560-1247</v>
      </c>
      <c r="G128" t="str">
        <f>"402019"</f>
        <v>402019</v>
      </c>
      <c r="H128" s="2">
        <f>20</f>
        <v>20</v>
      </c>
      <c r="I128" t="s">
        <v>27</v>
      </c>
      <c r="J128" t="s">
        <v>42</v>
      </c>
      <c r="K128" t="str">
        <f>"113583"</f>
        <v>113583</v>
      </c>
    </row>
    <row r="129" spans="1:11" x14ac:dyDescent="0.25">
      <c r="A129">
        <v>2021</v>
      </c>
      <c r="B129" t="s">
        <v>1039</v>
      </c>
      <c r="C129" t="s">
        <v>1040</v>
      </c>
      <c r="D129" t="s">
        <v>19</v>
      </c>
      <c r="E129" t="s">
        <v>20</v>
      </c>
      <c r="F129" t="str">
        <f>"43612-2377"</f>
        <v>43612-2377</v>
      </c>
      <c r="G129" t="str">
        <f>"402019"</f>
        <v>402019</v>
      </c>
      <c r="H129" s="2">
        <f>10</f>
        <v>10</v>
      </c>
      <c r="I129" t="s">
        <v>27</v>
      </c>
      <c r="J129" t="s">
        <v>42</v>
      </c>
      <c r="K129" t="str">
        <f>"114491"</f>
        <v>114491</v>
      </c>
    </row>
    <row r="130" spans="1:11" x14ac:dyDescent="0.25">
      <c r="A130">
        <v>2021</v>
      </c>
      <c r="B130" t="s">
        <v>1049</v>
      </c>
      <c r="C130" t="s">
        <v>1050</v>
      </c>
      <c r="D130" t="s">
        <v>19</v>
      </c>
      <c r="E130" t="s">
        <v>20</v>
      </c>
      <c r="F130" t="str">
        <f>"43613"</f>
        <v>43613</v>
      </c>
      <c r="G130" t="str">
        <f>"402063"</f>
        <v>402063</v>
      </c>
      <c r="H130" s="2">
        <f>235.19</f>
        <v>235.19</v>
      </c>
      <c r="I130" t="s">
        <v>27</v>
      </c>
      <c r="J130" t="s">
        <v>71</v>
      </c>
      <c r="K130" t="str">
        <f>"22020549"</f>
        <v>22020549</v>
      </c>
    </row>
    <row r="131" spans="1:11" x14ac:dyDescent="0.25">
      <c r="A131">
        <v>2021</v>
      </c>
      <c r="B131" t="s">
        <v>1049</v>
      </c>
      <c r="C131" t="s">
        <v>1053</v>
      </c>
      <c r="D131" t="s">
        <v>1054</v>
      </c>
      <c r="E131" t="s">
        <v>14</v>
      </c>
      <c r="F131" t="str">
        <f>"48182"</f>
        <v>48182</v>
      </c>
      <c r="G131" t="str">
        <f>"402063"</f>
        <v>402063</v>
      </c>
      <c r="H131" s="2">
        <f>22.23</f>
        <v>22.23</v>
      </c>
      <c r="I131" t="s">
        <v>27</v>
      </c>
      <c r="J131" t="s">
        <v>71</v>
      </c>
      <c r="K131" t="str">
        <f>"22017561"</f>
        <v>22017561</v>
      </c>
    </row>
    <row r="132" spans="1:11" x14ac:dyDescent="0.25">
      <c r="A132">
        <v>2021</v>
      </c>
      <c r="B132" t="s">
        <v>1049</v>
      </c>
      <c r="C132" t="s">
        <v>1053</v>
      </c>
      <c r="D132" t="s">
        <v>1054</v>
      </c>
      <c r="E132" t="s">
        <v>14</v>
      </c>
      <c r="F132" t="str">
        <f>"48182"</f>
        <v>48182</v>
      </c>
      <c r="G132" t="str">
        <f>"402063"</f>
        <v>402063</v>
      </c>
      <c r="H132" s="2">
        <f>143.38</f>
        <v>143.38</v>
      </c>
      <c r="I132" t="s">
        <v>27</v>
      </c>
      <c r="J132" t="s">
        <v>71</v>
      </c>
      <c r="K132" t="str">
        <f>"22018941"</f>
        <v>22018941</v>
      </c>
    </row>
    <row r="133" spans="1:11" x14ac:dyDescent="0.25">
      <c r="A133">
        <v>2021</v>
      </c>
      <c r="B133" t="s">
        <v>1072</v>
      </c>
      <c r="C133" t="s">
        <v>1073</v>
      </c>
      <c r="D133" t="s">
        <v>1074</v>
      </c>
      <c r="E133" t="s">
        <v>20</v>
      </c>
      <c r="F133" t="str">
        <f>"43552"</f>
        <v>43552</v>
      </c>
      <c r="G133" t="str">
        <f>"396747"</f>
        <v>396747</v>
      </c>
      <c r="H133" s="2">
        <f>2771.93</f>
        <v>2771.93</v>
      </c>
      <c r="I133" t="s">
        <v>86</v>
      </c>
      <c r="J133" t="s">
        <v>1075</v>
      </c>
      <c r="K133" t="str">
        <f>"N/A"</f>
        <v>N/A</v>
      </c>
    </row>
    <row r="134" spans="1:11" x14ac:dyDescent="0.25">
      <c r="A134">
        <v>2021</v>
      </c>
      <c r="B134" t="s">
        <v>1080</v>
      </c>
      <c r="C134" t="s">
        <v>1081</v>
      </c>
      <c r="D134" t="s">
        <v>19</v>
      </c>
      <c r="E134" t="s">
        <v>20</v>
      </c>
      <c r="F134" t="str">
        <f>"43607-1415"</f>
        <v>43607-1415</v>
      </c>
      <c r="G134" t="str">
        <f>"Swucf4621"</f>
        <v>Swucf4621</v>
      </c>
      <c r="H134" s="2">
        <f>20</f>
        <v>20</v>
      </c>
      <c r="I134" t="s">
        <v>15</v>
      </c>
      <c r="J134" t="s">
        <v>81</v>
      </c>
      <c r="K134" t="str">
        <f>"6298116"</f>
        <v>6298116</v>
      </c>
    </row>
    <row r="135" spans="1:11" x14ac:dyDescent="0.25">
      <c r="A135">
        <v>2021</v>
      </c>
      <c r="B135" t="s">
        <v>1086</v>
      </c>
      <c r="C135" t="s">
        <v>1087</v>
      </c>
      <c r="D135" t="s">
        <v>19</v>
      </c>
      <c r="E135" t="s">
        <v>20</v>
      </c>
      <c r="F135" t="str">
        <f>"43613"</f>
        <v>43613</v>
      </c>
      <c r="G135" t="str">
        <f>"Pio448069"</f>
        <v>Pio448069</v>
      </c>
      <c r="H135" s="2">
        <f>56.32</f>
        <v>56.32</v>
      </c>
      <c r="I135" t="s">
        <v>86</v>
      </c>
      <c r="J135" t="s">
        <v>87</v>
      </c>
      <c r="K135" t="str">
        <f>"0"</f>
        <v>0</v>
      </c>
    </row>
    <row r="136" spans="1:11" x14ac:dyDescent="0.25">
      <c r="A136">
        <v>2021</v>
      </c>
      <c r="B136" t="s">
        <v>1088</v>
      </c>
      <c r="C136" t="s">
        <v>1089</v>
      </c>
      <c r="D136" t="s">
        <v>105</v>
      </c>
      <c r="E136" t="s">
        <v>20</v>
      </c>
      <c r="F136" t="str">
        <f>"43528"</f>
        <v>43528</v>
      </c>
      <c r="G136" t="str">
        <f>"Pio448069"</f>
        <v>Pio448069</v>
      </c>
      <c r="H136" s="2">
        <f>1</f>
        <v>1</v>
      </c>
      <c r="I136" t="s">
        <v>86</v>
      </c>
      <c r="J136" t="s">
        <v>87</v>
      </c>
      <c r="K136" t="str">
        <f>"0"</f>
        <v>0</v>
      </c>
    </row>
    <row r="137" spans="1:11" x14ac:dyDescent="0.25">
      <c r="A137">
        <v>2021</v>
      </c>
      <c r="B137" t="s">
        <v>1100</v>
      </c>
      <c r="C137" t="s">
        <v>1101</v>
      </c>
      <c r="D137" t="s">
        <v>1005</v>
      </c>
      <c r="E137" t="s">
        <v>20</v>
      </c>
      <c r="F137" t="str">
        <f>"44139"</f>
        <v>44139</v>
      </c>
      <c r="G137" t="str">
        <f>"402017"</f>
        <v>402017</v>
      </c>
      <c r="H137" s="2">
        <f>544</f>
        <v>544</v>
      </c>
      <c r="I137" t="s">
        <v>27</v>
      </c>
      <c r="J137" t="s">
        <v>212</v>
      </c>
      <c r="K137" t="str">
        <f>"35661"</f>
        <v>35661</v>
      </c>
    </row>
    <row r="138" spans="1:11" x14ac:dyDescent="0.25">
      <c r="A138">
        <v>2021</v>
      </c>
      <c r="B138" t="s">
        <v>1105</v>
      </c>
      <c r="C138" t="s">
        <v>1106</v>
      </c>
      <c r="D138" t="s">
        <v>19</v>
      </c>
      <c r="E138" t="s">
        <v>20</v>
      </c>
      <c r="F138" t="str">
        <f>"43613"</f>
        <v>43613</v>
      </c>
      <c r="G138" t="str">
        <f>"Pio448069"</f>
        <v>Pio448069</v>
      </c>
      <c r="H138" s="2">
        <f>1.35</f>
        <v>1.35</v>
      </c>
      <c r="I138" t="s">
        <v>86</v>
      </c>
      <c r="J138" t="s">
        <v>87</v>
      </c>
      <c r="K138" t="str">
        <f>"0"</f>
        <v>0</v>
      </c>
    </row>
    <row r="139" spans="1:11" x14ac:dyDescent="0.25">
      <c r="A139">
        <v>2021</v>
      </c>
      <c r="B139" t="s">
        <v>1107</v>
      </c>
      <c r="C139" t="s">
        <v>1108</v>
      </c>
      <c r="D139" t="s">
        <v>19</v>
      </c>
      <c r="E139" t="s">
        <v>20</v>
      </c>
      <c r="F139" t="str">
        <f>"43607"</f>
        <v>43607</v>
      </c>
      <c r="G139" t="str">
        <f>"Pio448069"</f>
        <v>Pio448069</v>
      </c>
      <c r="H139" s="2">
        <f>0.01</f>
        <v>0.01</v>
      </c>
      <c r="I139" t="s">
        <v>86</v>
      </c>
      <c r="J139" t="s">
        <v>87</v>
      </c>
      <c r="K139" t="str">
        <f>"0"</f>
        <v>0</v>
      </c>
    </row>
    <row r="140" spans="1:11" x14ac:dyDescent="0.25">
      <c r="A140">
        <v>2021</v>
      </c>
      <c r="B140" t="s">
        <v>1119</v>
      </c>
      <c r="C140" t="s">
        <v>1120</v>
      </c>
      <c r="D140" t="s">
        <v>125</v>
      </c>
      <c r="E140" t="s">
        <v>20</v>
      </c>
      <c r="F140" t="str">
        <f>"43537-2955"</f>
        <v>43537-2955</v>
      </c>
      <c r="G140" t="str">
        <f>"402019"</f>
        <v>402019</v>
      </c>
      <c r="H140" s="2">
        <f>10</f>
        <v>10</v>
      </c>
      <c r="I140" t="s">
        <v>27</v>
      </c>
      <c r="J140" t="s">
        <v>42</v>
      </c>
      <c r="K140" t="str">
        <f>"114210"</f>
        <v>114210</v>
      </c>
    </row>
    <row r="141" spans="1:11" x14ac:dyDescent="0.25">
      <c r="A141">
        <v>2021</v>
      </c>
      <c r="B141" t="s">
        <v>1121</v>
      </c>
      <c r="C141" t="s">
        <v>1122</v>
      </c>
      <c r="D141" t="s">
        <v>19</v>
      </c>
      <c r="E141" t="s">
        <v>20</v>
      </c>
      <c r="F141" t="str">
        <f>"43607"</f>
        <v>43607</v>
      </c>
      <c r="G141" t="str">
        <f>"Je110321"</f>
        <v>Je110321</v>
      </c>
      <c r="H141" s="2">
        <f>384.75</f>
        <v>384.75</v>
      </c>
      <c r="I141" t="s">
        <v>15</v>
      </c>
      <c r="J141" t="s">
        <v>596</v>
      </c>
      <c r="K141" t="str">
        <f>"60017343"</f>
        <v>60017343</v>
      </c>
    </row>
    <row r="142" spans="1:11" x14ac:dyDescent="0.25">
      <c r="A142">
        <v>2021</v>
      </c>
      <c r="B142" t="s">
        <v>1123</v>
      </c>
      <c r="C142" t="s">
        <v>1124</v>
      </c>
      <c r="D142" t="s">
        <v>19</v>
      </c>
      <c r="E142" t="s">
        <v>20</v>
      </c>
      <c r="F142" t="str">
        <f>"43609-2916"</f>
        <v>43609-2916</v>
      </c>
      <c r="G142" t="str">
        <f>"402019"</f>
        <v>402019</v>
      </c>
      <c r="H142" s="2">
        <f>10</f>
        <v>10</v>
      </c>
      <c r="I142" t="s">
        <v>27</v>
      </c>
      <c r="J142" t="s">
        <v>42</v>
      </c>
      <c r="K142" t="str">
        <f>"115522"</f>
        <v>115522</v>
      </c>
    </row>
    <row r="143" spans="1:11" x14ac:dyDescent="0.25">
      <c r="A143">
        <v>2021</v>
      </c>
      <c r="B143" t="s">
        <v>1125</v>
      </c>
      <c r="C143" t="s">
        <v>1126</v>
      </c>
      <c r="D143" t="s">
        <v>19</v>
      </c>
      <c r="E143" t="s">
        <v>20</v>
      </c>
      <c r="F143" t="str">
        <f>"43617-1901"</f>
        <v>43617-1901</v>
      </c>
      <c r="G143" t="str">
        <f>"402019"</f>
        <v>402019</v>
      </c>
      <c r="H143" s="2">
        <f>10</f>
        <v>10</v>
      </c>
      <c r="I143" t="s">
        <v>27</v>
      </c>
      <c r="J143" t="s">
        <v>42</v>
      </c>
      <c r="K143" t="str">
        <f>"112144"</f>
        <v>112144</v>
      </c>
    </row>
    <row r="144" spans="1:11" x14ac:dyDescent="0.25">
      <c r="A144">
        <v>2021</v>
      </c>
      <c r="B144" t="s">
        <v>1129</v>
      </c>
      <c r="C144" t="s">
        <v>1130</v>
      </c>
      <c r="D144" t="s">
        <v>19</v>
      </c>
      <c r="E144" t="s">
        <v>20</v>
      </c>
      <c r="F144" t="str">
        <f>"43605"</f>
        <v>43605</v>
      </c>
      <c r="G144" t="str">
        <f>"Pio448069"</f>
        <v>Pio448069</v>
      </c>
      <c r="H144" s="2">
        <f>4</f>
        <v>4</v>
      </c>
      <c r="I144" t="s">
        <v>86</v>
      </c>
      <c r="J144" t="s">
        <v>87</v>
      </c>
      <c r="K144" t="str">
        <f>"0"</f>
        <v>0</v>
      </c>
    </row>
    <row r="145" spans="1:11" x14ac:dyDescent="0.25">
      <c r="A145">
        <v>2021</v>
      </c>
      <c r="B145" t="s">
        <v>1131</v>
      </c>
      <c r="C145" t="s">
        <v>1132</v>
      </c>
      <c r="D145" t="s">
        <v>164</v>
      </c>
      <c r="E145" t="s">
        <v>20</v>
      </c>
      <c r="F145" t="str">
        <f>"43558"</f>
        <v>43558</v>
      </c>
      <c r="G145" t="str">
        <f>"Pio448069"</f>
        <v>Pio448069</v>
      </c>
      <c r="H145" s="2">
        <f>1.58</f>
        <v>1.58</v>
      </c>
      <c r="I145" t="s">
        <v>86</v>
      </c>
      <c r="J145" t="s">
        <v>87</v>
      </c>
      <c r="K145" t="str">
        <f>"0"</f>
        <v>0</v>
      </c>
    </row>
    <row r="146" spans="1:11" x14ac:dyDescent="0.25">
      <c r="A146">
        <v>2021</v>
      </c>
      <c r="B146" t="s">
        <v>1147</v>
      </c>
      <c r="C146" t="s">
        <v>1148</v>
      </c>
      <c r="D146" t="s">
        <v>19</v>
      </c>
      <c r="E146" t="s">
        <v>20</v>
      </c>
      <c r="F146" t="str">
        <f>"43606"</f>
        <v>43606</v>
      </c>
      <c r="G146" t="str">
        <f>"Pio448069"</f>
        <v>Pio448069</v>
      </c>
      <c r="H146" s="2">
        <f>100</f>
        <v>100</v>
      </c>
      <c r="I146" t="s">
        <v>86</v>
      </c>
      <c r="J146" t="s">
        <v>87</v>
      </c>
      <c r="K146" t="str">
        <f>"0"</f>
        <v>0</v>
      </c>
    </row>
    <row r="147" spans="1:11" x14ac:dyDescent="0.25">
      <c r="A147">
        <v>2021</v>
      </c>
      <c r="B147" t="s">
        <v>1171</v>
      </c>
      <c r="C147" t="s">
        <v>1172</v>
      </c>
      <c r="D147" t="s">
        <v>19</v>
      </c>
      <c r="E147" t="s">
        <v>20</v>
      </c>
      <c r="F147" t="str">
        <f>"43620"</f>
        <v>43620</v>
      </c>
      <c r="G147" t="str">
        <f>"Bwucf4621"</f>
        <v>Bwucf4621</v>
      </c>
      <c r="H147" s="2">
        <f>585</f>
        <v>585</v>
      </c>
      <c r="I147" t="s">
        <v>15</v>
      </c>
      <c r="J147" t="s">
        <v>295</v>
      </c>
      <c r="K147" t="str">
        <f>"01446560"</f>
        <v>01446560</v>
      </c>
    </row>
    <row r="148" spans="1:11" x14ac:dyDescent="0.25">
      <c r="A148">
        <v>2021</v>
      </c>
      <c r="B148" t="s">
        <v>1173</v>
      </c>
      <c r="C148" t="s">
        <v>1174</v>
      </c>
      <c r="D148" t="s">
        <v>19</v>
      </c>
      <c r="E148" t="s">
        <v>20</v>
      </c>
      <c r="F148" t="str">
        <f>"43606"</f>
        <v>43606</v>
      </c>
      <c r="G148" t="str">
        <f>"Pio448069"</f>
        <v>Pio448069</v>
      </c>
      <c r="H148" s="2">
        <f>13.9</f>
        <v>13.9</v>
      </c>
      <c r="I148" t="s">
        <v>86</v>
      </c>
      <c r="J148" t="s">
        <v>87</v>
      </c>
      <c r="K148" t="str">
        <f>"0"</f>
        <v>0</v>
      </c>
    </row>
    <row r="149" spans="1:11" x14ac:dyDescent="0.25">
      <c r="A149">
        <v>2021</v>
      </c>
      <c r="B149" t="s">
        <v>1181</v>
      </c>
      <c r="C149" t="s">
        <v>1182</v>
      </c>
      <c r="D149" t="s">
        <v>19</v>
      </c>
      <c r="E149" t="s">
        <v>20</v>
      </c>
      <c r="F149" t="str">
        <f>"43613"</f>
        <v>43613</v>
      </c>
      <c r="G149" t="str">
        <f>"Swucf4621"</f>
        <v>Swucf4621</v>
      </c>
      <c r="H149" s="2">
        <f>10</f>
        <v>10</v>
      </c>
      <c r="I149" t="s">
        <v>15</v>
      </c>
      <c r="J149" t="s">
        <v>81</v>
      </c>
      <c r="K149" t="str">
        <f>"6298023"</f>
        <v>6298023</v>
      </c>
    </row>
    <row r="150" spans="1:11" x14ac:dyDescent="0.25">
      <c r="A150">
        <v>2021</v>
      </c>
      <c r="B150" t="s">
        <v>1183</v>
      </c>
      <c r="C150" t="s">
        <v>1184</v>
      </c>
      <c r="D150" t="s">
        <v>19</v>
      </c>
      <c r="E150" t="s">
        <v>20</v>
      </c>
      <c r="F150" t="str">
        <f>"43623"</f>
        <v>43623</v>
      </c>
      <c r="G150" t="str">
        <f>"402018"</f>
        <v>402018</v>
      </c>
      <c r="H150" s="2">
        <f>30</f>
        <v>30</v>
      </c>
      <c r="I150" t="s">
        <v>27</v>
      </c>
      <c r="J150" t="s">
        <v>171</v>
      </c>
      <c r="K150" t="str">
        <f>"515401"</f>
        <v>515401</v>
      </c>
    </row>
    <row r="151" spans="1:11" x14ac:dyDescent="0.25">
      <c r="A151">
        <v>2021</v>
      </c>
      <c r="B151" t="s">
        <v>1185</v>
      </c>
      <c r="C151" t="s">
        <v>1186</v>
      </c>
      <c r="D151" t="s">
        <v>19</v>
      </c>
      <c r="E151" t="s">
        <v>20</v>
      </c>
      <c r="F151" t="str">
        <f>"43604-2304"</f>
        <v>43604-2304</v>
      </c>
      <c r="G151" t="str">
        <f>"402018"</f>
        <v>402018</v>
      </c>
      <c r="H151" s="2">
        <f>9.08</f>
        <v>9.08</v>
      </c>
      <c r="I151" t="s">
        <v>27</v>
      </c>
      <c r="J151" t="s">
        <v>171</v>
      </c>
      <c r="K151" t="str">
        <f>"517599"</f>
        <v>517599</v>
      </c>
    </row>
    <row r="152" spans="1:11" x14ac:dyDescent="0.25">
      <c r="A152">
        <v>2021</v>
      </c>
      <c r="B152" t="s">
        <v>1197</v>
      </c>
      <c r="C152" t="s">
        <v>1198</v>
      </c>
      <c r="D152" t="s">
        <v>19</v>
      </c>
      <c r="E152" t="s">
        <v>20</v>
      </c>
      <c r="F152" t="str">
        <f>"43604-1758"</f>
        <v>43604-1758</v>
      </c>
      <c r="G152" t="str">
        <f>"402019"</f>
        <v>402019</v>
      </c>
      <c r="H152" s="2">
        <f>7.5</f>
        <v>7.5</v>
      </c>
      <c r="I152" t="s">
        <v>27</v>
      </c>
      <c r="J152" t="s">
        <v>42</v>
      </c>
      <c r="K152" t="str">
        <f>"113963"</f>
        <v>113963</v>
      </c>
    </row>
    <row r="153" spans="1:11" x14ac:dyDescent="0.25">
      <c r="A153">
        <v>2021</v>
      </c>
      <c r="B153" t="s">
        <v>1201</v>
      </c>
      <c r="C153" t="s">
        <v>1202</v>
      </c>
      <c r="D153" t="s">
        <v>1203</v>
      </c>
      <c r="E153" t="s">
        <v>20</v>
      </c>
      <c r="F153" t="str">
        <f>"43135"</f>
        <v>43135</v>
      </c>
      <c r="G153" t="str">
        <f>"Pio448069"</f>
        <v>Pio448069</v>
      </c>
      <c r="H153" s="2">
        <f>20</f>
        <v>20</v>
      </c>
      <c r="I153" t="s">
        <v>86</v>
      </c>
      <c r="J153" t="s">
        <v>87</v>
      </c>
      <c r="K153" t="str">
        <f>"0"</f>
        <v>0</v>
      </c>
    </row>
    <row r="154" spans="1:11" x14ac:dyDescent="0.25">
      <c r="A154">
        <v>2021</v>
      </c>
      <c r="B154" t="s">
        <v>1208</v>
      </c>
      <c r="C154" t="s">
        <v>1209</v>
      </c>
      <c r="D154" t="s">
        <v>19</v>
      </c>
      <c r="E154" t="s">
        <v>20</v>
      </c>
      <c r="F154" t="str">
        <f>"43613"</f>
        <v>43613</v>
      </c>
      <c r="G154" t="str">
        <f>"Pio448069"</f>
        <v>Pio448069</v>
      </c>
      <c r="H154" s="2">
        <f>0.9</f>
        <v>0.9</v>
      </c>
      <c r="I154" t="s">
        <v>86</v>
      </c>
      <c r="J154" t="s">
        <v>87</v>
      </c>
      <c r="K154" t="str">
        <f>"0"</f>
        <v>0</v>
      </c>
    </row>
    <row r="155" spans="1:11" x14ac:dyDescent="0.25">
      <c r="A155">
        <v>2021</v>
      </c>
      <c r="B155" t="s">
        <v>1210</v>
      </c>
      <c r="C155" t="s">
        <v>1211</v>
      </c>
      <c r="D155" t="s">
        <v>105</v>
      </c>
      <c r="E155" t="s">
        <v>20</v>
      </c>
      <c r="F155" t="str">
        <f>"43528"</f>
        <v>43528</v>
      </c>
      <c r="G155" t="str">
        <f>"Pio448069"</f>
        <v>Pio448069</v>
      </c>
      <c r="H155" s="2">
        <f>0.03</f>
        <v>0.03</v>
      </c>
      <c r="I155" t="s">
        <v>86</v>
      </c>
      <c r="J155" t="s">
        <v>87</v>
      </c>
      <c r="K155" t="str">
        <f>"0"</f>
        <v>0</v>
      </c>
    </row>
    <row r="156" spans="1:11" x14ac:dyDescent="0.25">
      <c r="A156">
        <v>2021</v>
      </c>
      <c r="B156" t="s">
        <v>1237</v>
      </c>
      <c r="C156" t="s">
        <v>1238</v>
      </c>
      <c r="D156" t="s">
        <v>1239</v>
      </c>
      <c r="E156" t="s">
        <v>20</v>
      </c>
      <c r="F156" t="str">
        <f>"43402"</f>
        <v>43402</v>
      </c>
      <c r="G156" t="str">
        <f t="shared" ref="G156:G165" si="1">"402018"</f>
        <v>402018</v>
      </c>
      <c r="H156" s="2">
        <f>32.5</f>
        <v>32.5</v>
      </c>
      <c r="I156" t="s">
        <v>27</v>
      </c>
      <c r="J156" t="s">
        <v>171</v>
      </c>
      <c r="K156" t="str">
        <f>"517805"</f>
        <v>517805</v>
      </c>
    </row>
    <row r="157" spans="1:11" x14ac:dyDescent="0.25">
      <c r="A157">
        <v>2021</v>
      </c>
      <c r="B157" t="s">
        <v>1237</v>
      </c>
      <c r="C157" t="s">
        <v>1238</v>
      </c>
      <c r="D157" t="s">
        <v>1239</v>
      </c>
      <c r="E157" t="s">
        <v>20</v>
      </c>
      <c r="F157" t="str">
        <f>"43402"</f>
        <v>43402</v>
      </c>
      <c r="G157" t="str">
        <f t="shared" si="1"/>
        <v>402018</v>
      </c>
      <c r="H157" s="2">
        <f>16.25</f>
        <v>16.25</v>
      </c>
      <c r="I157" t="s">
        <v>27</v>
      </c>
      <c r="J157" t="s">
        <v>171</v>
      </c>
      <c r="K157" t="str">
        <f>"517096"</f>
        <v>517096</v>
      </c>
    </row>
    <row r="158" spans="1:11" x14ac:dyDescent="0.25">
      <c r="A158">
        <v>2021</v>
      </c>
      <c r="B158" t="s">
        <v>1237</v>
      </c>
      <c r="C158" t="s">
        <v>1238</v>
      </c>
      <c r="D158" t="s">
        <v>1239</v>
      </c>
      <c r="E158" t="s">
        <v>20</v>
      </c>
      <c r="F158" t="str">
        <f>"43402"</f>
        <v>43402</v>
      </c>
      <c r="G158" t="str">
        <f t="shared" si="1"/>
        <v>402018</v>
      </c>
      <c r="H158" s="2">
        <f>112.5</f>
        <v>112.5</v>
      </c>
      <c r="I158" t="s">
        <v>27</v>
      </c>
      <c r="J158" t="s">
        <v>171</v>
      </c>
      <c r="K158" t="str">
        <f>"515687"</f>
        <v>515687</v>
      </c>
    </row>
    <row r="159" spans="1:11" x14ac:dyDescent="0.25">
      <c r="A159">
        <v>2021</v>
      </c>
      <c r="B159" t="s">
        <v>1237</v>
      </c>
      <c r="C159" t="s">
        <v>1238</v>
      </c>
      <c r="D159" t="s">
        <v>1239</v>
      </c>
      <c r="E159" t="s">
        <v>20</v>
      </c>
      <c r="F159" t="str">
        <f>"43402"</f>
        <v>43402</v>
      </c>
      <c r="G159" t="str">
        <f t="shared" si="1"/>
        <v>402018</v>
      </c>
      <c r="H159" s="2">
        <f>25</f>
        <v>25</v>
      </c>
      <c r="I159" t="s">
        <v>27</v>
      </c>
      <c r="J159" t="s">
        <v>171</v>
      </c>
      <c r="K159" t="str">
        <f>"516190"</f>
        <v>516190</v>
      </c>
    </row>
    <row r="160" spans="1:11" x14ac:dyDescent="0.25">
      <c r="A160">
        <v>2021</v>
      </c>
      <c r="B160" t="s">
        <v>1237</v>
      </c>
      <c r="C160" t="s">
        <v>1238</v>
      </c>
      <c r="D160" t="s">
        <v>1239</v>
      </c>
      <c r="E160" t="s">
        <v>20</v>
      </c>
      <c r="F160" t="str">
        <f>"43402"</f>
        <v>43402</v>
      </c>
      <c r="G160" t="str">
        <f t="shared" si="1"/>
        <v>402018</v>
      </c>
      <c r="H160" s="2">
        <f>16.25</f>
        <v>16.25</v>
      </c>
      <c r="I160" t="s">
        <v>27</v>
      </c>
      <c r="J160" t="s">
        <v>171</v>
      </c>
      <c r="K160" t="str">
        <f>"518170"</f>
        <v>518170</v>
      </c>
    </row>
    <row r="161" spans="1:11" x14ac:dyDescent="0.25">
      <c r="A161">
        <v>2021</v>
      </c>
      <c r="B161" t="s">
        <v>1244</v>
      </c>
      <c r="C161" t="s">
        <v>1245</v>
      </c>
      <c r="D161" t="s">
        <v>19</v>
      </c>
      <c r="E161" t="s">
        <v>20</v>
      </c>
      <c r="F161" t="str">
        <f>"43609"</f>
        <v>43609</v>
      </c>
      <c r="G161" t="str">
        <f t="shared" si="1"/>
        <v>402018</v>
      </c>
      <c r="H161" s="2">
        <f>238.62</f>
        <v>238.62</v>
      </c>
      <c r="I161" t="s">
        <v>27</v>
      </c>
      <c r="J161" t="s">
        <v>171</v>
      </c>
      <c r="K161" t="str">
        <f>"516561"</f>
        <v>516561</v>
      </c>
    </row>
    <row r="162" spans="1:11" x14ac:dyDescent="0.25">
      <c r="A162">
        <v>2021</v>
      </c>
      <c r="B162" t="s">
        <v>1244</v>
      </c>
      <c r="C162" t="s">
        <v>1246</v>
      </c>
      <c r="D162" t="s">
        <v>19</v>
      </c>
      <c r="E162" t="s">
        <v>20</v>
      </c>
      <c r="F162" t="str">
        <f>"43609"</f>
        <v>43609</v>
      </c>
      <c r="G162" t="str">
        <f t="shared" si="1"/>
        <v>402018</v>
      </c>
      <c r="H162" s="2">
        <f>100</f>
        <v>100</v>
      </c>
      <c r="I162" t="s">
        <v>27</v>
      </c>
      <c r="J162" t="s">
        <v>171</v>
      </c>
      <c r="K162" t="str">
        <f>"516086"</f>
        <v>516086</v>
      </c>
    </row>
    <row r="163" spans="1:11" x14ac:dyDescent="0.25">
      <c r="A163">
        <v>2021</v>
      </c>
      <c r="B163" t="s">
        <v>1244</v>
      </c>
      <c r="C163" t="s">
        <v>1245</v>
      </c>
      <c r="D163" t="s">
        <v>19</v>
      </c>
      <c r="E163" t="s">
        <v>20</v>
      </c>
      <c r="F163" t="str">
        <f>"43609"</f>
        <v>43609</v>
      </c>
      <c r="G163" t="str">
        <f t="shared" si="1"/>
        <v>402018</v>
      </c>
      <c r="H163" s="2">
        <f>200</f>
        <v>200</v>
      </c>
      <c r="I163" t="s">
        <v>27</v>
      </c>
      <c r="J163" t="s">
        <v>171</v>
      </c>
      <c r="K163" t="str">
        <f>"516455"</f>
        <v>516455</v>
      </c>
    </row>
    <row r="164" spans="1:11" x14ac:dyDescent="0.25">
      <c r="A164">
        <v>2021</v>
      </c>
      <c r="B164" t="s">
        <v>1244</v>
      </c>
      <c r="C164" t="s">
        <v>1245</v>
      </c>
      <c r="D164" t="s">
        <v>19</v>
      </c>
      <c r="E164" t="s">
        <v>20</v>
      </c>
      <c r="F164" t="str">
        <f>"43609"</f>
        <v>43609</v>
      </c>
      <c r="G164" t="str">
        <f t="shared" si="1"/>
        <v>402018</v>
      </c>
      <c r="H164" s="2">
        <f>110</f>
        <v>110</v>
      </c>
      <c r="I164" t="s">
        <v>27</v>
      </c>
      <c r="J164" t="s">
        <v>171</v>
      </c>
      <c r="K164" t="str">
        <f>"516367"</f>
        <v>516367</v>
      </c>
    </row>
    <row r="165" spans="1:11" x14ac:dyDescent="0.25">
      <c r="A165">
        <v>2021</v>
      </c>
      <c r="B165" t="s">
        <v>1244</v>
      </c>
      <c r="C165" t="s">
        <v>1245</v>
      </c>
      <c r="D165" t="s">
        <v>19</v>
      </c>
      <c r="E165" t="s">
        <v>20</v>
      </c>
      <c r="F165" t="str">
        <f>"43609"</f>
        <v>43609</v>
      </c>
      <c r="G165" t="str">
        <f t="shared" si="1"/>
        <v>402018</v>
      </c>
      <c r="H165" s="2">
        <f>180</f>
        <v>180</v>
      </c>
      <c r="I165" t="s">
        <v>27</v>
      </c>
      <c r="J165" t="s">
        <v>171</v>
      </c>
      <c r="K165" t="str">
        <f>"516181"</f>
        <v>516181</v>
      </c>
    </row>
    <row r="166" spans="1:11" x14ac:dyDescent="0.25">
      <c r="A166">
        <v>2021</v>
      </c>
      <c r="B166" t="s">
        <v>1253</v>
      </c>
      <c r="C166" t="s">
        <v>245</v>
      </c>
      <c r="D166" t="s">
        <v>19</v>
      </c>
      <c r="E166" t="s">
        <v>20</v>
      </c>
      <c r="F166" t="str">
        <f>"43617"</f>
        <v>43617</v>
      </c>
      <c r="G166" t="str">
        <f>"402017"</f>
        <v>402017</v>
      </c>
      <c r="H166" s="2">
        <f>20</f>
        <v>20</v>
      </c>
      <c r="I166" t="s">
        <v>27</v>
      </c>
      <c r="J166" t="s">
        <v>212</v>
      </c>
      <c r="K166" t="str">
        <f>"33379"</f>
        <v>33379</v>
      </c>
    </row>
    <row r="167" spans="1:11" x14ac:dyDescent="0.25">
      <c r="A167">
        <v>2021</v>
      </c>
      <c r="B167" t="s">
        <v>1254</v>
      </c>
      <c r="C167" t="s">
        <v>1255</v>
      </c>
      <c r="D167" t="s">
        <v>19</v>
      </c>
      <c r="E167" t="s">
        <v>20</v>
      </c>
      <c r="F167" t="str">
        <f>"43613-4403"</f>
        <v>43613-4403</v>
      </c>
      <c r="G167" t="str">
        <f>"402019"</f>
        <v>402019</v>
      </c>
      <c r="H167" s="2">
        <f>50</f>
        <v>50</v>
      </c>
      <c r="I167" t="s">
        <v>27</v>
      </c>
      <c r="J167" t="s">
        <v>42</v>
      </c>
      <c r="K167" t="str">
        <f>"115486"</f>
        <v>115486</v>
      </c>
    </row>
    <row r="168" spans="1:11" x14ac:dyDescent="0.25">
      <c r="A168">
        <v>2021</v>
      </c>
      <c r="B168" t="s">
        <v>1254</v>
      </c>
      <c r="C168" t="s">
        <v>1255</v>
      </c>
      <c r="D168" t="s">
        <v>19</v>
      </c>
      <c r="E168" t="s">
        <v>20</v>
      </c>
      <c r="F168" t="str">
        <f>"43613-4403"</f>
        <v>43613-4403</v>
      </c>
      <c r="G168" t="str">
        <f>"402019"</f>
        <v>402019</v>
      </c>
      <c r="H168" s="2">
        <f>30</f>
        <v>30</v>
      </c>
      <c r="I168" t="s">
        <v>27</v>
      </c>
      <c r="J168" t="s">
        <v>42</v>
      </c>
      <c r="K168" t="str">
        <f>"115580"</f>
        <v>115580</v>
      </c>
    </row>
    <row r="169" spans="1:11" x14ac:dyDescent="0.25">
      <c r="A169">
        <v>2021</v>
      </c>
      <c r="B169" t="s">
        <v>1256</v>
      </c>
      <c r="C169" t="s">
        <v>1257</v>
      </c>
      <c r="D169" t="s">
        <v>50</v>
      </c>
      <c r="E169" t="s">
        <v>20</v>
      </c>
      <c r="F169" t="str">
        <f>"43560-3613"</f>
        <v>43560-3613</v>
      </c>
      <c r="G169" t="str">
        <f>"402019"</f>
        <v>402019</v>
      </c>
      <c r="H169" s="2">
        <f>10</f>
        <v>10</v>
      </c>
      <c r="I169" t="s">
        <v>27</v>
      </c>
      <c r="J169" t="s">
        <v>42</v>
      </c>
      <c r="K169" t="str">
        <f>"113419"</f>
        <v>113419</v>
      </c>
    </row>
    <row r="170" spans="1:11" x14ac:dyDescent="0.25">
      <c r="A170">
        <v>2021</v>
      </c>
      <c r="B170" t="s">
        <v>1262</v>
      </c>
      <c r="C170" t="s">
        <v>1263</v>
      </c>
      <c r="D170" t="s">
        <v>19</v>
      </c>
      <c r="E170" t="s">
        <v>20</v>
      </c>
      <c r="F170" t="str">
        <f>"43623"</f>
        <v>43623</v>
      </c>
      <c r="G170" t="str">
        <f>"402018"</f>
        <v>402018</v>
      </c>
      <c r="H170" s="2">
        <f>80</f>
        <v>80</v>
      </c>
      <c r="I170" t="s">
        <v>27</v>
      </c>
      <c r="J170" t="s">
        <v>171</v>
      </c>
      <c r="K170" t="str">
        <f>"517907"</f>
        <v>517907</v>
      </c>
    </row>
    <row r="171" spans="1:11" x14ac:dyDescent="0.25">
      <c r="A171">
        <v>2021</v>
      </c>
      <c r="B171" t="s">
        <v>1264</v>
      </c>
      <c r="C171" t="s">
        <v>1265</v>
      </c>
      <c r="D171" t="s">
        <v>19</v>
      </c>
      <c r="E171" t="s">
        <v>20</v>
      </c>
      <c r="F171" t="str">
        <f>"43606"</f>
        <v>43606</v>
      </c>
      <c r="G171" t="str">
        <f>"402018"</f>
        <v>402018</v>
      </c>
      <c r="H171" s="2">
        <f>5</f>
        <v>5</v>
      </c>
      <c r="I171" t="s">
        <v>27</v>
      </c>
      <c r="J171" t="s">
        <v>171</v>
      </c>
      <c r="K171" t="str">
        <f>"516335"</f>
        <v>516335</v>
      </c>
    </row>
    <row r="172" spans="1:11" x14ac:dyDescent="0.25">
      <c r="A172">
        <v>2021</v>
      </c>
      <c r="B172" t="s">
        <v>1264</v>
      </c>
      <c r="C172" t="s">
        <v>1265</v>
      </c>
      <c r="D172" t="s">
        <v>19</v>
      </c>
      <c r="E172" t="s">
        <v>20</v>
      </c>
      <c r="F172" t="str">
        <f>"43606"</f>
        <v>43606</v>
      </c>
      <c r="G172" t="str">
        <f>"402018"</f>
        <v>402018</v>
      </c>
      <c r="H172" s="2">
        <f>5</f>
        <v>5</v>
      </c>
      <c r="I172" t="s">
        <v>27</v>
      </c>
      <c r="J172" t="s">
        <v>171</v>
      </c>
      <c r="K172" t="str">
        <f>"516624"</f>
        <v>516624</v>
      </c>
    </row>
    <row r="173" spans="1:11" x14ac:dyDescent="0.25">
      <c r="A173">
        <v>2021</v>
      </c>
      <c r="B173" t="s">
        <v>1264</v>
      </c>
      <c r="C173" t="s">
        <v>1265</v>
      </c>
      <c r="D173" t="s">
        <v>19</v>
      </c>
      <c r="E173" t="s">
        <v>20</v>
      </c>
      <c r="F173" t="str">
        <f>"43606"</f>
        <v>43606</v>
      </c>
      <c r="G173" t="str">
        <f>"402018"</f>
        <v>402018</v>
      </c>
      <c r="H173" s="2">
        <f>5</f>
        <v>5</v>
      </c>
      <c r="I173" t="s">
        <v>27</v>
      </c>
      <c r="J173" t="s">
        <v>171</v>
      </c>
      <c r="K173" t="str">
        <f>"515527"</f>
        <v>515527</v>
      </c>
    </row>
    <row r="174" spans="1:11" x14ac:dyDescent="0.25">
      <c r="A174">
        <v>2021</v>
      </c>
      <c r="B174" t="s">
        <v>1270</v>
      </c>
      <c r="C174" t="s">
        <v>1271</v>
      </c>
      <c r="D174" t="s">
        <v>19</v>
      </c>
      <c r="E174" t="s">
        <v>20</v>
      </c>
      <c r="F174" t="str">
        <f>"43612-2537"</f>
        <v>43612-2537</v>
      </c>
      <c r="G174" t="str">
        <f>"Swucf4621"</f>
        <v>Swucf4621</v>
      </c>
      <c r="H174" s="2">
        <f>30</f>
        <v>30</v>
      </c>
      <c r="I174" t="s">
        <v>15</v>
      </c>
      <c r="J174" t="s">
        <v>81</v>
      </c>
      <c r="K174" t="str">
        <f>"6298133"</f>
        <v>6298133</v>
      </c>
    </row>
    <row r="175" spans="1:11" x14ac:dyDescent="0.25">
      <c r="A175">
        <v>2021</v>
      </c>
      <c r="B175" t="s">
        <v>1274</v>
      </c>
      <c r="C175" t="s">
        <v>1275</v>
      </c>
      <c r="D175" t="s">
        <v>58</v>
      </c>
      <c r="E175" t="s">
        <v>20</v>
      </c>
      <c r="F175" t="str">
        <f>"43616-5855"</f>
        <v>43616-5855</v>
      </c>
      <c r="G175" t="str">
        <f>"402019"</f>
        <v>402019</v>
      </c>
      <c r="H175" s="2">
        <f>10</f>
        <v>10</v>
      </c>
      <c r="I175" t="s">
        <v>27</v>
      </c>
      <c r="J175" t="s">
        <v>42</v>
      </c>
      <c r="K175" t="str">
        <f>"115953"</f>
        <v>115953</v>
      </c>
    </row>
    <row r="176" spans="1:11" x14ac:dyDescent="0.25">
      <c r="A176">
        <v>2021</v>
      </c>
      <c r="B176" t="s">
        <v>1282</v>
      </c>
      <c r="C176" t="s">
        <v>1283</v>
      </c>
      <c r="D176" t="s">
        <v>19</v>
      </c>
      <c r="E176" t="s">
        <v>20</v>
      </c>
      <c r="F176" t="str">
        <f>"43612"</f>
        <v>43612</v>
      </c>
      <c r="G176" t="str">
        <f>"402018"</f>
        <v>402018</v>
      </c>
      <c r="H176" s="2">
        <f>9.08</f>
        <v>9.08</v>
      </c>
      <c r="I176" t="s">
        <v>27</v>
      </c>
      <c r="J176" t="s">
        <v>171</v>
      </c>
      <c r="K176" t="str">
        <f>"517603"</f>
        <v>517603</v>
      </c>
    </row>
    <row r="177" spans="1:11" x14ac:dyDescent="0.25">
      <c r="A177">
        <v>2021</v>
      </c>
      <c r="B177" t="s">
        <v>1284</v>
      </c>
      <c r="C177" t="s">
        <v>1285</v>
      </c>
      <c r="D177" t="s">
        <v>1286</v>
      </c>
      <c r="E177" t="s">
        <v>20</v>
      </c>
      <c r="F177" t="str">
        <f>"43567"</f>
        <v>43567</v>
      </c>
      <c r="G177" t="str">
        <f>"Pio448069"</f>
        <v>Pio448069</v>
      </c>
      <c r="H177" s="2">
        <f>0.03</f>
        <v>0.03</v>
      </c>
      <c r="I177" t="s">
        <v>86</v>
      </c>
      <c r="J177" t="s">
        <v>87</v>
      </c>
      <c r="K177" t="str">
        <f>"0"</f>
        <v>0</v>
      </c>
    </row>
    <row r="178" spans="1:11" x14ac:dyDescent="0.25">
      <c r="A178">
        <v>2021</v>
      </c>
      <c r="B178" t="s">
        <v>1287</v>
      </c>
      <c r="C178" t="s">
        <v>1288</v>
      </c>
      <c r="D178" t="s">
        <v>19</v>
      </c>
      <c r="E178" t="s">
        <v>20</v>
      </c>
      <c r="F178" t="str">
        <f>"43623"</f>
        <v>43623</v>
      </c>
      <c r="G178" t="str">
        <f>"402063"</f>
        <v>402063</v>
      </c>
      <c r="H178" s="2">
        <f>32.5</f>
        <v>32.5</v>
      </c>
      <c r="I178" t="s">
        <v>27</v>
      </c>
      <c r="J178" t="s">
        <v>71</v>
      </c>
      <c r="K178" t="str">
        <f>"44006790"</f>
        <v>44006790</v>
      </c>
    </row>
    <row r="179" spans="1:11" x14ac:dyDescent="0.25">
      <c r="A179">
        <v>2021</v>
      </c>
      <c r="B179" t="s">
        <v>1289</v>
      </c>
      <c r="C179" t="s">
        <v>1290</v>
      </c>
      <c r="D179" t="s">
        <v>19</v>
      </c>
      <c r="E179" t="s">
        <v>20</v>
      </c>
      <c r="F179" t="str">
        <f>"43611"</f>
        <v>43611</v>
      </c>
      <c r="G179" t="str">
        <f>"402018"</f>
        <v>402018</v>
      </c>
      <c r="H179" s="2">
        <f>25</f>
        <v>25</v>
      </c>
      <c r="I179" t="s">
        <v>27</v>
      </c>
      <c r="J179" t="s">
        <v>171</v>
      </c>
      <c r="K179" t="str">
        <f>"517977"</f>
        <v>517977</v>
      </c>
    </row>
    <row r="180" spans="1:11" x14ac:dyDescent="0.25">
      <c r="A180">
        <v>2021</v>
      </c>
      <c r="B180" t="s">
        <v>1303</v>
      </c>
      <c r="C180" t="s">
        <v>1304</v>
      </c>
      <c r="D180" t="s">
        <v>19</v>
      </c>
      <c r="E180" t="s">
        <v>20</v>
      </c>
      <c r="F180" t="str">
        <f>"43605"</f>
        <v>43605</v>
      </c>
      <c r="G180" t="str">
        <f>"Pio448069"</f>
        <v>Pio448069</v>
      </c>
      <c r="H180" s="2">
        <f>0.3</f>
        <v>0.3</v>
      </c>
      <c r="I180" t="s">
        <v>86</v>
      </c>
      <c r="J180" t="s">
        <v>87</v>
      </c>
      <c r="K180" t="str">
        <f>"0"</f>
        <v>0</v>
      </c>
    </row>
    <row r="181" spans="1:11" x14ac:dyDescent="0.25">
      <c r="A181">
        <v>2021</v>
      </c>
      <c r="B181" t="s">
        <v>1322</v>
      </c>
      <c r="C181" t="s">
        <v>1323</v>
      </c>
      <c r="D181" t="s">
        <v>19</v>
      </c>
      <c r="E181" t="s">
        <v>20</v>
      </c>
      <c r="F181" t="str">
        <f>"43612"</f>
        <v>43612</v>
      </c>
      <c r="G181" t="str">
        <f>"402018"</f>
        <v>402018</v>
      </c>
      <c r="H181" s="2">
        <f>100</f>
        <v>100</v>
      </c>
      <c r="I181" t="s">
        <v>27</v>
      </c>
      <c r="J181" t="s">
        <v>171</v>
      </c>
      <c r="K181" t="str">
        <f>"515812"</f>
        <v>515812</v>
      </c>
    </row>
    <row r="182" spans="1:11" x14ac:dyDescent="0.25">
      <c r="A182">
        <v>2021</v>
      </c>
      <c r="B182" t="s">
        <v>1327</v>
      </c>
      <c r="C182" t="s">
        <v>1328</v>
      </c>
      <c r="D182" t="s">
        <v>1329</v>
      </c>
      <c r="E182" t="s">
        <v>20</v>
      </c>
      <c r="F182" t="str">
        <f>"43443"</f>
        <v>43443</v>
      </c>
      <c r="G182" t="str">
        <f>"402018"</f>
        <v>402018</v>
      </c>
      <c r="H182" s="2">
        <f>25</f>
        <v>25</v>
      </c>
      <c r="I182" t="s">
        <v>27</v>
      </c>
      <c r="J182" t="s">
        <v>171</v>
      </c>
      <c r="K182" t="str">
        <f>"517319"</f>
        <v>517319</v>
      </c>
    </row>
    <row r="183" spans="1:11" x14ac:dyDescent="0.25">
      <c r="A183">
        <v>2021</v>
      </c>
      <c r="B183" t="s">
        <v>1342</v>
      </c>
      <c r="C183" t="s">
        <v>1343</v>
      </c>
      <c r="D183" t="s">
        <v>19</v>
      </c>
      <c r="E183" t="s">
        <v>20</v>
      </c>
      <c r="F183" t="str">
        <f>"43615-5618"</f>
        <v>43615-5618</v>
      </c>
      <c r="G183" t="str">
        <f>"402019"</f>
        <v>402019</v>
      </c>
      <c r="H183" s="2">
        <f>10</f>
        <v>10</v>
      </c>
      <c r="I183" t="s">
        <v>27</v>
      </c>
      <c r="J183" t="s">
        <v>42</v>
      </c>
      <c r="K183" t="str">
        <f>"112424"</f>
        <v>112424</v>
      </c>
    </row>
    <row r="184" spans="1:11" x14ac:dyDescent="0.25">
      <c r="A184">
        <v>2021</v>
      </c>
      <c r="B184" t="s">
        <v>1348</v>
      </c>
      <c r="C184" t="s">
        <v>1349</v>
      </c>
      <c r="D184" t="s">
        <v>19</v>
      </c>
      <c r="E184" t="s">
        <v>20</v>
      </c>
      <c r="F184" t="str">
        <f>"43607"</f>
        <v>43607</v>
      </c>
      <c r="G184" t="str">
        <f>"402018"</f>
        <v>402018</v>
      </c>
      <c r="H184" s="2">
        <f>64</f>
        <v>64</v>
      </c>
      <c r="I184" t="s">
        <v>27</v>
      </c>
      <c r="J184" t="s">
        <v>171</v>
      </c>
      <c r="K184" t="str">
        <f>"517942"</f>
        <v>517942</v>
      </c>
    </row>
    <row r="185" spans="1:11" x14ac:dyDescent="0.25">
      <c r="A185">
        <v>2021</v>
      </c>
      <c r="B185" t="s">
        <v>1352</v>
      </c>
      <c r="C185" t="s">
        <v>1353</v>
      </c>
      <c r="D185" t="s">
        <v>19</v>
      </c>
      <c r="E185" t="s">
        <v>20</v>
      </c>
      <c r="F185" t="str">
        <f>"43607"</f>
        <v>43607</v>
      </c>
      <c r="G185" t="str">
        <f>"Pio448069"</f>
        <v>Pio448069</v>
      </c>
      <c r="H185" s="2">
        <f>6.61</f>
        <v>6.61</v>
      </c>
      <c r="I185" t="s">
        <v>86</v>
      </c>
      <c r="J185" t="s">
        <v>87</v>
      </c>
      <c r="K185" t="str">
        <f>"0"</f>
        <v>0</v>
      </c>
    </row>
    <row r="186" spans="1:11" x14ac:dyDescent="0.25">
      <c r="A186">
        <v>2021</v>
      </c>
      <c r="B186" t="s">
        <v>1354</v>
      </c>
      <c r="C186" t="s">
        <v>1355</v>
      </c>
      <c r="D186" t="s">
        <v>19</v>
      </c>
      <c r="E186" t="s">
        <v>20</v>
      </c>
      <c r="F186" t="str">
        <f>"43609"</f>
        <v>43609</v>
      </c>
      <c r="G186" t="str">
        <f>"Pio448069"</f>
        <v>Pio448069</v>
      </c>
      <c r="H186" s="2">
        <f>20</f>
        <v>20</v>
      </c>
      <c r="I186" t="s">
        <v>86</v>
      </c>
      <c r="J186" t="s">
        <v>87</v>
      </c>
      <c r="K186" t="str">
        <f>"0"</f>
        <v>0</v>
      </c>
    </row>
    <row r="187" spans="1:11" x14ac:dyDescent="0.25">
      <c r="A187">
        <v>2021</v>
      </c>
      <c r="B187" t="s">
        <v>1356</v>
      </c>
      <c r="C187" t="s">
        <v>1357</v>
      </c>
      <c r="D187" t="s">
        <v>19</v>
      </c>
      <c r="E187" t="s">
        <v>20</v>
      </c>
      <c r="F187" t="str">
        <f>"43605"</f>
        <v>43605</v>
      </c>
      <c r="G187" t="str">
        <f>"Pio448069"</f>
        <v>Pio448069</v>
      </c>
      <c r="H187" s="2">
        <f>10</f>
        <v>10</v>
      </c>
      <c r="I187" t="s">
        <v>86</v>
      </c>
      <c r="J187" t="s">
        <v>87</v>
      </c>
      <c r="K187" t="str">
        <f>"0"</f>
        <v>0</v>
      </c>
    </row>
    <row r="188" spans="1:11" x14ac:dyDescent="0.25">
      <c r="A188">
        <v>2021</v>
      </c>
      <c r="B188" t="s">
        <v>1362</v>
      </c>
      <c r="C188" t="s">
        <v>1363</v>
      </c>
      <c r="D188" t="s">
        <v>19</v>
      </c>
      <c r="E188" t="s">
        <v>20</v>
      </c>
      <c r="F188" t="str">
        <f>"43606"</f>
        <v>43606</v>
      </c>
      <c r="G188" t="str">
        <f>"Pio448069"</f>
        <v>Pio448069</v>
      </c>
      <c r="H188" s="2">
        <f>0.83</f>
        <v>0.83</v>
      </c>
      <c r="I188" t="s">
        <v>86</v>
      </c>
      <c r="J188" t="s">
        <v>87</v>
      </c>
      <c r="K188" t="str">
        <f>"0"</f>
        <v>0</v>
      </c>
    </row>
    <row r="189" spans="1:11" x14ac:dyDescent="0.25">
      <c r="A189">
        <v>2021</v>
      </c>
      <c r="B189" t="s">
        <v>1364</v>
      </c>
      <c r="C189" t="s">
        <v>1365</v>
      </c>
      <c r="D189" t="s">
        <v>19</v>
      </c>
      <c r="E189" t="s">
        <v>20</v>
      </c>
      <c r="F189" t="str">
        <f>"43611"</f>
        <v>43611</v>
      </c>
      <c r="G189" t="str">
        <f>"Pio448069"</f>
        <v>Pio448069</v>
      </c>
      <c r="H189" s="2">
        <f>70.26</f>
        <v>70.260000000000005</v>
      </c>
      <c r="I189" t="s">
        <v>86</v>
      </c>
      <c r="J189" t="s">
        <v>87</v>
      </c>
      <c r="K189" t="str">
        <f>"0"</f>
        <v>0</v>
      </c>
    </row>
    <row r="190" spans="1:11" x14ac:dyDescent="0.25">
      <c r="A190">
        <v>2021</v>
      </c>
      <c r="B190" t="s">
        <v>1368</v>
      </c>
      <c r="C190" t="s">
        <v>1369</v>
      </c>
      <c r="D190" t="s">
        <v>19</v>
      </c>
      <c r="E190" t="s">
        <v>20</v>
      </c>
      <c r="F190" t="str">
        <f>"43614"</f>
        <v>43614</v>
      </c>
      <c r="G190" t="str">
        <f>"402018"</f>
        <v>402018</v>
      </c>
      <c r="H190" s="2">
        <f>100</f>
        <v>100</v>
      </c>
      <c r="I190" t="s">
        <v>27</v>
      </c>
      <c r="J190" t="s">
        <v>171</v>
      </c>
      <c r="K190" t="str">
        <f>"516083"</f>
        <v>516083</v>
      </c>
    </row>
    <row r="191" spans="1:11" x14ac:dyDescent="0.25">
      <c r="A191">
        <v>2021</v>
      </c>
      <c r="B191" t="s">
        <v>1368</v>
      </c>
      <c r="C191" t="s">
        <v>1369</v>
      </c>
      <c r="D191" t="s">
        <v>19</v>
      </c>
      <c r="E191" t="s">
        <v>20</v>
      </c>
      <c r="F191" t="str">
        <f>"43614"</f>
        <v>43614</v>
      </c>
      <c r="G191" t="str">
        <f>"402018"</f>
        <v>402018</v>
      </c>
      <c r="H191" s="2">
        <f>100</f>
        <v>100</v>
      </c>
      <c r="I191" t="s">
        <v>27</v>
      </c>
      <c r="J191" t="s">
        <v>171</v>
      </c>
      <c r="K191" t="str">
        <f>"515368"</f>
        <v>515368</v>
      </c>
    </row>
    <row r="192" spans="1:11" x14ac:dyDescent="0.25">
      <c r="A192">
        <v>2021</v>
      </c>
      <c r="B192" t="s">
        <v>1370</v>
      </c>
      <c r="C192" t="s">
        <v>1371</v>
      </c>
      <c r="D192" t="s">
        <v>19</v>
      </c>
      <c r="E192" t="s">
        <v>20</v>
      </c>
      <c r="F192" t="str">
        <f>"43614"</f>
        <v>43614</v>
      </c>
      <c r="G192" t="str">
        <f>"402018"</f>
        <v>402018</v>
      </c>
      <c r="H192" s="2">
        <f>1.82</f>
        <v>1.82</v>
      </c>
      <c r="I192" t="s">
        <v>27</v>
      </c>
      <c r="J192" t="s">
        <v>171</v>
      </c>
      <c r="K192" t="str">
        <f>"517924"</f>
        <v>517924</v>
      </c>
    </row>
    <row r="193" spans="1:11" x14ac:dyDescent="0.25">
      <c r="A193">
        <v>2021</v>
      </c>
      <c r="B193" t="s">
        <v>1370</v>
      </c>
      <c r="C193" t="s">
        <v>1371</v>
      </c>
      <c r="D193" t="s">
        <v>19</v>
      </c>
      <c r="E193" t="s">
        <v>20</v>
      </c>
      <c r="F193" t="str">
        <f>"43614"</f>
        <v>43614</v>
      </c>
      <c r="G193" t="str">
        <f>"402018"</f>
        <v>402018</v>
      </c>
      <c r="H193" s="2">
        <f>1.82</f>
        <v>1.82</v>
      </c>
      <c r="I193" t="s">
        <v>27</v>
      </c>
      <c r="J193" t="s">
        <v>171</v>
      </c>
      <c r="K193" t="str">
        <f>"517782"</f>
        <v>517782</v>
      </c>
    </row>
    <row r="194" spans="1:11" x14ac:dyDescent="0.25">
      <c r="A194">
        <v>2021</v>
      </c>
      <c r="B194" t="s">
        <v>1370</v>
      </c>
      <c r="C194" t="s">
        <v>1371</v>
      </c>
      <c r="D194" t="s">
        <v>19</v>
      </c>
      <c r="E194" t="s">
        <v>20</v>
      </c>
      <c r="F194" t="str">
        <f>"43614"</f>
        <v>43614</v>
      </c>
      <c r="G194" t="str">
        <f>"402018"</f>
        <v>402018</v>
      </c>
      <c r="H194" s="2">
        <f>2.09</f>
        <v>2.09</v>
      </c>
      <c r="I194" t="s">
        <v>27</v>
      </c>
      <c r="J194" t="s">
        <v>171</v>
      </c>
      <c r="K194" t="str">
        <f>"516550"</f>
        <v>516550</v>
      </c>
    </row>
    <row r="195" spans="1:11" x14ac:dyDescent="0.25">
      <c r="A195">
        <v>2021</v>
      </c>
      <c r="B195" t="s">
        <v>1403</v>
      </c>
      <c r="C195" t="s">
        <v>1404</v>
      </c>
      <c r="D195" t="s">
        <v>1405</v>
      </c>
      <c r="E195" t="s">
        <v>1406</v>
      </c>
      <c r="F195" t="str">
        <f>"25918"</f>
        <v>25918</v>
      </c>
      <c r="G195" t="str">
        <f>"Pio448069"</f>
        <v>Pio448069</v>
      </c>
      <c r="H195" s="2">
        <f>3.5</f>
        <v>3.5</v>
      </c>
      <c r="I195" t="s">
        <v>86</v>
      </c>
      <c r="J195" t="s">
        <v>87</v>
      </c>
      <c r="K195" t="str">
        <f>"0"</f>
        <v>0</v>
      </c>
    </row>
    <row r="196" spans="1:11" x14ac:dyDescent="0.25">
      <c r="A196">
        <v>2021</v>
      </c>
      <c r="B196" t="s">
        <v>1409</v>
      </c>
      <c r="C196" t="s">
        <v>1410</v>
      </c>
      <c r="D196" t="s">
        <v>19</v>
      </c>
      <c r="E196" t="s">
        <v>20</v>
      </c>
      <c r="F196" t="str">
        <f>"43615"</f>
        <v>43615</v>
      </c>
      <c r="G196" t="str">
        <f>"Pio448069"</f>
        <v>Pio448069</v>
      </c>
      <c r="H196" s="2">
        <f>20</f>
        <v>20</v>
      </c>
      <c r="I196" t="s">
        <v>86</v>
      </c>
      <c r="J196" t="s">
        <v>87</v>
      </c>
      <c r="K196" t="str">
        <f>"0"</f>
        <v>0</v>
      </c>
    </row>
    <row r="197" spans="1:11" x14ac:dyDescent="0.25">
      <c r="A197">
        <v>2021</v>
      </c>
      <c r="B197" t="s">
        <v>1418</v>
      </c>
      <c r="C197" t="s">
        <v>1419</v>
      </c>
      <c r="D197" t="s">
        <v>19</v>
      </c>
      <c r="E197" t="s">
        <v>20</v>
      </c>
      <c r="F197" t="str">
        <f>"43612-2007"</f>
        <v>43612-2007</v>
      </c>
      <c r="G197" t="str">
        <f>"402019"</f>
        <v>402019</v>
      </c>
      <c r="H197" s="2">
        <f>20</f>
        <v>20</v>
      </c>
      <c r="I197" t="s">
        <v>27</v>
      </c>
      <c r="J197" t="s">
        <v>42</v>
      </c>
      <c r="K197" t="str">
        <f>"112130"</f>
        <v>112130</v>
      </c>
    </row>
    <row r="198" spans="1:11" x14ac:dyDescent="0.25">
      <c r="A198">
        <v>2021</v>
      </c>
      <c r="B198" t="s">
        <v>1442</v>
      </c>
      <c r="C198" t="s">
        <v>1443</v>
      </c>
      <c r="D198" t="s">
        <v>19</v>
      </c>
      <c r="E198" t="s">
        <v>20</v>
      </c>
      <c r="F198" t="str">
        <f>"43617"</f>
        <v>43617</v>
      </c>
      <c r="G198" t="str">
        <f>"402018"</f>
        <v>402018</v>
      </c>
      <c r="H198" s="2">
        <f>5.56</f>
        <v>5.56</v>
      </c>
      <c r="I198" t="s">
        <v>27</v>
      </c>
      <c r="J198" t="s">
        <v>171</v>
      </c>
      <c r="K198" t="str">
        <f>"517226"</f>
        <v>517226</v>
      </c>
    </row>
    <row r="199" spans="1:11" x14ac:dyDescent="0.25">
      <c r="A199">
        <v>2021</v>
      </c>
      <c r="B199" t="s">
        <v>1442</v>
      </c>
      <c r="C199" t="s">
        <v>1443</v>
      </c>
      <c r="D199" t="s">
        <v>19</v>
      </c>
      <c r="E199" t="s">
        <v>20</v>
      </c>
      <c r="F199" t="str">
        <f>"43617"</f>
        <v>43617</v>
      </c>
      <c r="G199" t="str">
        <f>"402018"</f>
        <v>402018</v>
      </c>
      <c r="H199" s="2">
        <f>47.97</f>
        <v>47.97</v>
      </c>
      <c r="I199" t="s">
        <v>27</v>
      </c>
      <c r="J199" t="s">
        <v>171</v>
      </c>
      <c r="K199" t="str">
        <f>"517590"</f>
        <v>517590</v>
      </c>
    </row>
    <row r="200" spans="1:11" x14ac:dyDescent="0.25">
      <c r="A200">
        <v>2021</v>
      </c>
      <c r="B200" t="s">
        <v>1442</v>
      </c>
      <c r="C200" t="s">
        <v>1443</v>
      </c>
      <c r="D200" t="s">
        <v>19</v>
      </c>
      <c r="E200" t="s">
        <v>20</v>
      </c>
      <c r="F200" t="str">
        <f>"43617"</f>
        <v>43617</v>
      </c>
      <c r="G200" t="str">
        <f>"402018"</f>
        <v>402018</v>
      </c>
      <c r="H200" s="2">
        <f>5.56</f>
        <v>5.56</v>
      </c>
      <c r="I200" t="s">
        <v>27</v>
      </c>
      <c r="J200" t="s">
        <v>171</v>
      </c>
      <c r="K200" t="str">
        <f>"516310"</f>
        <v>516310</v>
      </c>
    </row>
    <row r="201" spans="1:11" x14ac:dyDescent="0.25">
      <c r="A201">
        <v>2021</v>
      </c>
      <c r="B201" t="s">
        <v>1442</v>
      </c>
      <c r="C201" t="s">
        <v>1443</v>
      </c>
      <c r="D201" t="s">
        <v>19</v>
      </c>
      <c r="E201" t="s">
        <v>20</v>
      </c>
      <c r="F201" t="str">
        <f>"43617"</f>
        <v>43617</v>
      </c>
      <c r="G201" t="str">
        <f>"402018"</f>
        <v>402018</v>
      </c>
      <c r="H201" s="2">
        <f>5.56</f>
        <v>5.56</v>
      </c>
      <c r="I201" t="s">
        <v>27</v>
      </c>
      <c r="J201" t="s">
        <v>171</v>
      </c>
      <c r="K201" t="str">
        <f>"515770"</f>
        <v>515770</v>
      </c>
    </row>
    <row r="202" spans="1:11" x14ac:dyDescent="0.25">
      <c r="A202">
        <v>2021</v>
      </c>
      <c r="B202" t="s">
        <v>1442</v>
      </c>
      <c r="C202" t="s">
        <v>1443</v>
      </c>
      <c r="D202" t="s">
        <v>19</v>
      </c>
      <c r="E202" t="s">
        <v>20</v>
      </c>
      <c r="F202" t="str">
        <f>"43617"</f>
        <v>43617</v>
      </c>
      <c r="G202" t="str">
        <f>"402018"</f>
        <v>402018</v>
      </c>
      <c r="H202" s="2">
        <f>5.56</f>
        <v>5.56</v>
      </c>
      <c r="I202" t="s">
        <v>27</v>
      </c>
      <c r="J202" t="s">
        <v>171</v>
      </c>
      <c r="K202" t="str">
        <f>"516046"</f>
        <v>516046</v>
      </c>
    </row>
    <row r="203" spans="1:11" x14ac:dyDescent="0.25">
      <c r="A203">
        <v>2021</v>
      </c>
      <c r="B203" t="s">
        <v>1450</v>
      </c>
      <c r="C203" t="s">
        <v>1451</v>
      </c>
      <c r="D203" t="s">
        <v>125</v>
      </c>
      <c r="E203" t="s">
        <v>20</v>
      </c>
      <c r="F203" t="str">
        <f>"43537-2148"</f>
        <v>43537-2148</v>
      </c>
      <c r="G203" t="str">
        <f>"402019"</f>
        <v>402019</v>
      </c>
      <c r="H203" s="2">
        <f>10</f>
        <v>10</v>
      </c>
      <c r="I203" t="s">
        <v>27</v>
      </c>
      <c r="J203" t="s">
        <v>42</v>
      </c>
      <c r="K203" t="str">
        <f>"113976"</f>
        <v>113976</v>
      </c>
    </row>
    <row r="204" spans="1:11" x14ac:dyDescent="0.25">
      <c r="A204">
        <v>2021</v>
      </c>
      <c r="B204" t="s">
        <v>1464</v>
      </c>
      <c r="C204" t="s">
        <v>1465</v>
      </c>
      <c r="D204" t="s">
        <v>19</v>
      </c>
      <c r="E204" t="s">
        <v>20</v>
      </c>
      <c r="F204" t="str">
        <f>"43614"</f>
        <v>43614</v>
      </c>
      <c r="G204" t="str">
        <f>"402018"</f>
        <v>402018</v>
      </c>
      <c r="H204" s="2">
        <f>5</f>
        <v>5</v>
      </c>
      <c r="I204" t="s">
        <v>27</v>
      </c>
      <c r="J204" t="s">
        <v>171</v>
      </c>
      <c r="K204" t="str">
        <f>"517774"</f>
        <v>517774</v>
      </c>
    </row>
    <row r="205" spans="1:11" x14ac:dyDescent="0.25">
      <c r="A205">
        <v>2021</v>
      </c>
      <c r="B205" t="s">
        <v>1472</v>
      </c>
      <c r="C205" t="s">
        <v>1473</v>
      </c>
      <c r="D205" t="s">
        <v>50</v>
      </c>
      <c r="E205" t="s">
        <v>20</v>
      </c>
      <c r="F205" t="str">
        <f>"43560-2863"</f>
        <v>43560-2863</v>
      </c>
      <c r="G205" t="str">
        <f>"402019"</f>
        <v>402019</v>
      </c>
      <c r="H205" s="2">
        <f>10</f>
        <v>10</v>
      </c>
      <c r="I205" t="s">
        <v>27</v>
      </c>
      <c r="J205" t="s">
        <v>42</v>
      </c>
      <c r="K205" t="str">
        <f>"112579"</f>
        <v>112579</v>
      </c>
    </row>
    <row r="206" spans="1:11" x14ac:dyDescent="0.25">
      <c r="A206">
        <v>2021</v>
      </c>
      <c r="B206" t="s">
        <v>1482</v>
      </c>
      <c r="C206" t="s">
        <v>1483</v>
      </c>
      <c r="D206" t="s">
        <v>1074</v>
      </c>
      <c r="E206" t="s">
        <v>20</v>
      </c>
      <c r="F206" t="str">
        <f>"43551"</f>
        <v>43551</v>
      </c>
      <c r="G206" t="str">
        <f>"Je092221"</f>
        <v>Je092221</v>
      </c>
      <c r="H206" s="2">
        <f>92</f>
        <v>92</v>
      </c>
      <c r="I206" t="s">
        <v>15</v>
      </c>
      <c r="J206" t="s">
        <v>114</v>
      </c>
      <c r="K206" t="str">
        <f>"60014650"</f>
        <v>60014650</v>
      </c>
    </row>
    <row r="207" spans="1:11" x14ac:dyDescent="0.25">
      <c r="A207">
        <v>2021</v>
      </c>
      <c r="B207" t="s">
        <v>1494</v>
      </c>
      <c r="C207" t="s">
        <v>1495</v>
      </c>
      <c r="D207" t="s">
        <v>125</v>
      </c>
      <c r="E207" t="s">
        <v>20</v>
      </c>
      <c r="F207" t="str">
        <f>"43537-1137"</f>
        <v>43537-1137</v>
      </c>
      <c r="G207" t="str">
        <f>"402019"</f>
        <v>402019</v>
      </c>
      <c r="H207" s="2">
        <f>10</f>
        <v>10</v>
      </c>
      <c r="I207" t="s">
        <v>27</v>
      </c>
      <c r="J207" t="s">
        <v>42</v>
      </c>
      <c r="K207" t="str">
        <f>"114332"</f>
        <v>114332</v>
      </c>
    </row>
    <row r="208" spans="1:11" x14ac:dyDescent="0.25">
      <c r="A208">
        <v>2021</v>
      </c>
      <c r="B208" t="s">
        <v>1500</v>
      </c>
      <c r="C208" t="s">
        <v>1501</v>
      </c>
      <c r="D208" t="s">
        <v>105</v>
      </c>
      <c r="E208" t="s">
        <v>20</v>
      </c>
      <c r="F208" t="str">
        <f>"43528-8171"</f>
        <v>43528-8171</v>
      </c>
      <c r="G208" t="str">
        <f>"402019"</f>
        <v>402019</v>
      </c>
      <c r="H208" s="2">
        <f>10</f>
        <v>10</v>
      </c>
      <c r="I208" t="s">
        <v>27</v>
      </c>
      <c r="J208" t="s">
        <v>42</v>
      </c>
      <c r="K208" t="str">
        <f>"114226"</f>
        <v>114226</v>
      </c>
    </row>
    <row r="209" spans="1:11" x14ac:dyDescent="0.25">
      <c r="A209">
        <v>2021</v>
      </c>
      <c r="B209" t="s">
        <v>1507</v>
      </c>
      <c r="C209" t="s">
        <v>1508</v>
      </c>
      <c r="D209" t="s">
        <v>19</v>
      </c>
      <c r="E209" t="s">
        <v>20</v>
      </c>
      <c r="F209" t="str">
        <f>"43609"</f>
        <v>43609</v>
      </c>
      <c r="G209" t="str">
        <f>"Pio448069"</f>
        <v>Pio448069</v>
      </c>
      <c r="H209" s="2">
        <f>59.32</f>
        <v>59.32</v>
      </c>
      <c r="I209" t="s">
        <v>86</v>
      </c>
      <c r="J209" t="s">
        <v>87</v>
      </c>
      <c r="K209" t="str">
        <f>"0"</f>
        <v>0</v>
      </c>
    </row>
    <row r="210" spans="1:11" x14ac:dyDescent="0.25">
      <c r="A210">
        <v>2021</v>
      </c>
      <c r="B210" t="s">
        <v>1511</v>
      </c>
      <c r="C210" t="s">
        <v>1512</v>
      </c>
      <c r="D210" t="s">
        <v>19</v>
      </c>
      <c r="E210" t="s">
        <v>20</v>
      </c>
      <c r="F210" t="str">
        <f>"43613-1909"</f>
        <v>43613-1909</v>
      </c>
      <c r="G210" t="str">
        <f t="shared" ref="G210:G215" si="2">"402019"</f>
        <v>402019</v>
      </c>
      <c r="H210" s="2">
        <f>10</f>
        <v>10</v>
      </c>
      <c r="I210" t="s">
        <v>27</v>
      </c>
      <c r="J210" t="s">
        <v>42</v>
      </c>
      <c r="K210" t="str">
        <f>"114735"</f>
        <v>114735</v>
      </c>
    </row>
    <row r="211" spans="1:11" x14ac:dyDescent="0.25">
      <c r="A211">
        <v>2021</v>
      </c>
      <c r="B211" t="s">
        <v>1533</v>
      </c>
      <c r="C211" t="s">
        <v>1534</v>
      </c>
      <c r="D211" t="s">
        <v>19</v>
      </c>
      <c r="E211" t="s">
        <v>20</v>
      </c>
      <c r="F211" t="str">
        <f>"43623-1825"</f>
        <v>43623-1825</v>
      </c>
      <c r="G211" t="str">
        <f t="shared" si="2"/>
        <v>402019</v>
      </c>
      <c r="H211" s="2">
        <f>10</f>
        <v>10</v>
      </c>
      <c r="I211" t="s">
        <v>27</v>
      </c>
      <c r="J211" t="s">
        <v>42</v>
      </c>
      <c r="K211" t="str">
        <f>"113183"</f>
        <v>113183</v>
      </c>
    </row>
    <row r="212" spans="1:11" x14ac:dyDescent="0.25">
      <c r="A212">
        <v>2021</v>
      </c>
      <c r="B212" t="s">
        <v>1549</v>
      </c>
      <c r="C212" t="s">
        <v>1550</v>
      </c>
      <c r="D212" t="s">
        <v>1299</v>
      </c>
      <c r="E212" t="s">
        <v>20</v>
      </c>
      <c r="F212" t="str">
        <f>"43504"</f>
        <v>43504</v>
      </c>
      <c r="G212" t="str">
        <f t="shared" si="2"/>
        <v>402019</v>
      </c>
      <c r="H212" s="2">
        <f>10</f>
        <v>10</v>
      </c>
      <c r="I212" t="s">
        <v>27</v>
      </c>
      <c r="J212" t="s">
        <v>42</v>
      </c>
      <c r="K212" t="str">
        <f>"115258"</f>
        <v>115258</v>
      </c>
    </row>
    <row r="213" spans="1:11" x14ac:dyDescent="0.25">
      <c r="A213">
        <v>2021</v>
      </c>
      <c r="B213" t="s">
        <v>1554</v>
      </c>
      <c r="C213" t="s">
        <v>1555</v>
      </c>
      <c r="D213" t="s">
        <v>19</v>
      </c>
      <c r="E213" t="s">
        <v>20</v>
      </c>
      <c r="F213" t="str">
        <f>"43614-1110"</f>
        <v>43614-1110</v>
      </c>
      <c r="G213" t="str">
        <f t="shared" si="2"/>
        <v>402019</v>
      </c>
      <c r="H213" s="2">
        <f>10</f>
        <v>10</v>
      </c>
      <c r="I213" t="s">
        <v>27</v>
      </c>
      <c r="J213" t="s">
        <v>42</v>
      </c>
      <c r="K213" t="str">
        <f>"115047"</f>
        <v>115047</v>
      </c>
    </row>
    <row r="214" spans="1:11" x14ac:dyDescent="0.25">
      <c r="A214">
        <v>2021</v>
      </c>
      <c r="B214" t="s">
        <v>1556</v>
      </c>
      <c r="C214" t="s">
        <v>1557</v>
      </c>
      <c r="D214" t="s">
        <v>64</v>
      </c>
      <c r="E214" t="s">
        <v>20</v>
      </c>
      <c r="F214" t="str">
        <f>"43566-1215"</f>
        <v>43566-1215</v>
      </c>
      <c r="G214" t="str">
        <f t="shared" si="2"/>
        <v>402019</v>
      </c>
      <c r="H214" s="2">
        <f>20</f>
        <v>20</v>
      </c>
      <c r="I214" t="s">
        <v>27</v>
      </c>
      <c r="J214" t="s">
        <v>42</v>
      </c>
      <c r="K214" t="str">
        <f>"111972"</f>
        <v>111972</v>
      </c>
    </row>
    <row r="215" spans="1:11" x14ac:dyDescent="0.25">
      <c r="A215">
        <v>2021</v>
      </c>
      <c r="B215" t="s">
        <v>1558</v>
      </c>
      <c r="C215" t="s">
        <v>1559</v>
      </c>
      <c r="D215" t="s">
        <v>105</v>
      </c>
      <c r="E215" t="s">
        <v>20</v>
      </c>
      <c r="F215" t="str">
        <f>"43528-9562"</f>
        <v>43528-9562</v>
      </c>
      <c r="G215" t="str">
        <f t="shared" si="2"/>
        <v>402019</v>
      </c>
      <c r="H215" s="2">
        <f>40</f>
        <v>40</v>
      </c>
      <c r="I215" t="s">
        <v>27</v>
      </c>
      <c r="J215" t="s">
        <v>42</v>
      </c>
      <c r="K215" t="str">
        <f>"115933"</f>
        <v>115933</v>
      </c>
    </row>
    <row r="216" spans="1:11" x14ac:dyDescent="0.25">
      <c r="A216">
        <v>2021</v>
      </c>
      <c r="B216" t="s">
        <v>1583</v>
      </c>
      <c r="C216" t="s">
        <v>1584</v>
      </c>
      <c r="D216" t="s">
        <v>19</v>
      </c>
      <c r="E216" t="s">
        <v>20</v>
      </c>
      <c r="F216" t="str">
        <f t="shared" ref="F216:F227" si="3">"43612"</f>
        <v>43612</v>
      </c>
      <c r="G216" t="str">
        <f t="shared" ref="G216:G227" si="4">"402018"</f>
        <v>402018</v>
      </c>
      <c r="H216" s="2">
        <f>10</f>
        <v>10</v>
      </c>
      <c r="I216" t="s">
        <v>27</v>
      </c>
      <c r="J216" t="s">
        <v>171</v>
      </c>
      <c r="K216" t="str">
        <f>"518032"</f>
        <v>518032</v>
      </c>
    </row>
    <row r="217" spans="1:11" x14ac:dyDescent="0.25">
      <c r="A217">
        <v>2021</v>
      </c>
      <c r="B217" t="s">
        <v>1583</v>
      </c>
      <c r="C217" t="s">
        <v>1584</v>
      </c>
      <c r="D217" t="s">
        <v>19</v>
      </c>
      <c r="E217" t="s">
        <v>20</v>
      </c>
      <c r="F217" t="str">
        <f t="shared" si="3"/>
        <v>43612</v>
      </c>
      <c r="G217" t="str">
        <f t="shared" si="4"/>
        <v>402018</v>
      </c>
      <c r="H217" s="2">
        <f>20</f>
        <v>20</v>
      </c>
      <c r="I217" t="s">
        <v>27</v>
      </c>
      <c r="J217" t="s">
        <v>171</v>
      </c>
      <c r="K217" t="str">
        <f>"517038"</f>
        <v>517038</v>
      </c>
    </row>
    <row r="218" spans="1:11" x14ac:dyDescent="0.25">
      <c r="A218">
        <v>2021</v>
      </c>
      <c r="B218" t="s">
        <v>1583</v>
      </c>
      <c r="C218" t="s">
        <v>1584</v>
      </c>
      <c r="D218" t="s">
        <v>19</v>
      </c>
      <c r="E218" t="s">
        <v>20</v>
      </c>
      <c r="F218" t="str">
        <f t="shared" si="3"/>
        <v>43612</v>
      </c>
      <c r="G218" t="str">
        <f t="shared" si="4"/>
        <v>402018</v>
      </c>
      <c r="H218" s="2">
        <f>20.39</f>
        <v>20.39</v>
      </c>
      <c r="I218" t="s">
        <v>27</v>
      </c>
      <c r="J218" t="s">
        <v>171</v>
      </c>
      <c r="K218" t="str">
        <f>"517848"</f>
        <v>517848</v>
      </c>
    </row>
    <row r="219" spans="1:11" x14ac:dyDescent="0.25">
      <c r="A219">
        <v>2021</v>
      </c>
      <c r="B219" t="s">
        <v>1583</v>
      </c>
      <c r="C219" t="s">
        <v>1584</v>
      </c>
      <c r="D219" t="s">
        <v>19</v>
      </c>
      <c r="E219" t="s">
        <v>20</v>
      </c>
      <c r="F219" t="str">
        <f t="shared" si="3"/>
        <v>43612</v>
      </c>
      <c r="G219" t="str">
        <f t="shared" si="4"/>
        <v>402018</v>
      </c>
      <c r="H219" s="2">
        <f>30</f>
        <v>30</v>
      </c>
      <c r="I219" t="s">
        <v>27</v>
      </c>
      <c r="J219" t="s">
        <v>171</v>
      </c>
      <c r="K219" t="str">
        <f>"517294"</f>
        <v>517294</v>
      </c>
    </row>
    <row r="220" spans="1:11" x14ac:dyDescent="0.25">
      <c r="A220">
        <v>2021</v>
      </c>
      <c r="B220" t="s">
        <v>1583</v>
      </c>
      <c r="C220" t="s">
        <v>1584</v>
      </c>
      <c r="D220" t="s">
        <v>19</v>
      </c>
      <c r="E220" t="s">
        <v>20</v>
      </c>
      <c r="F220" t="str">
        <f t="shared" si="3"/>
        <v>43612</v>
      </c>
      <c r="G220" t="str">
        <f t="shared" si="4"/>
        <v>402018</v>
      </c>
      <c r="H220" s="2">
        <f>10</f>
        <v>10</v>
      </c>
      <c r="I220" t="s">
        <v>27</v>
      </c>
      <c r="J220" t="s">
        <v>171</v>
      </c>
      <c r="K220" t="str">
        <f>"517559"</f>
        <v>517559</v>
      </c>
    </row>
    <row r="221" spans="1:11" x14ac:dyDescent="0.25">
      <c r="A221">
        <v>2021</v>
      </c>
      <c r="B221" t="s">
        <v>1583</v>
      </c>
      <c r="C221" t="s">
        <v>1584</v>
      </c>
      <c r="D221" t="s">
        <v>19</v>
      </c>
      <c r="E221" t="s">
        <v>20</v>
      </c>
      <c r="F221" t="str">
        <f t="shared" si="3"/>
        <v>43612</v>
      </c>
      <c r="G221" t="str">
        <f t="shared" si="4"/>
        <v>402018</v>
      </c>
      <c r="H221" s="2">
        <f>30</f>
        <v>30</v>
      </c>
      <c r="I221" t="s">
        <v>27</v>
      </c>
      <c r="J221" t="s">
        <v>171</v>
      </c>
      <c r="K221" t="str">
        <f>"517430"</f>
        <v>517430</v>
      </c>
    </row>
    <row r="222" spans="1:11" x14ac:dyDescent="0.25">
      <c r="A222">
        <v>2021</v>
      </c>
      <c r="B222" t="s">
        <v>1585</v>
      </c>
      <c r="C222" t="s">
        <v>1586</v>
      </c>
      <c r="D222" t="s">
        <v>19</v>
      </c>
      <c r="E222" t="s">
        <v>20</v>
      </c>
      <c r="F222" t="str">
        <f t="shared" si="3"/>
        <v>43612</v>
      </c>
      <c r="G222" t="str">
        <f t="shared" si="4"/>
        <v>402018</v>
      </c>
      <c r="H222" s="2">
        <f>20</f>
        <v>20</v>
      </c>
      <c r="I222" t="s">
        <v>27</v>
      </c>
      <c r="J222" t="s">
        <v>171</v>
      </c>
      <c r="K222" t="str">
        <f>"517251"</f>
        <v>517251</v>
      </c>
    </row>
    <row r="223" spans="1:11" x14ac:dyDescent="0.25">
      <c r="A223">
        <v>2021</v>
      </c>
      <c r="B223" t="s">
        <v>1585</v>
      </c>
      <c r="C223" t="s">
        <v>1586</v>
      </c>
      <c r="D223" t="s">
        <v>19</v>
      </c>
      <c r="E223" t="s">
        <v>20</v>
      </c>
      <c r="F223" t="str">
        <f t="shared" si="3"/>
        <v>43612</v>
      </c>
      <c r="G223" t="str">
        <f t="shared" si="4"/>
        <v>402018</v>
      </c>
      <c r="H223" s="2">
        <f>20</f>
        <v>20</v>
      </c>
      <c r="I223" t="s">
        <v>27</v>
      </c>
      <c r="J223" t="s">
        <v>171</v>
      </c>
      <c r="K223" t="str">
        <f>"516853"</f>
        <v>516853</v>
      </c>
    </row>
    <row r="224" spans="1:11" x14ac:dyDescent="0.25">
      <c r="A224">
        <v>2021</v>
      </c>
      <c r="B224" t="s">
        <v>1585</v>
      </c>
      <c r="C224" t="s">
        <v>1586</v>
      </c>
      <c r="D224" t="s">
        <v>19</v>
      </c>
      <c r="E224" t="s">
        <v>20</v>
      </c>
      <c r="F224" t="str">
        <f t="shared" si="3"/>
        <v>43612</v>
      </c>
      <c r="G224" t="str">
        <f t="shared" si="4"/>
        <v>402018</v>
      </c>
      <c r="H224" s="2">
        <f>20</f>
        <v>20</v>
      </c>
      <c r="I224" t="s">
        <v>27</v>
      </c>
      <c r="J224" t="s">
        <v>171</v>
      </c>
      <c r="K224" t="str">
        <f>"516538"</f>
        <v>516538</v>
      </c>
    </row>
    <row r="225" spans="1:11" x14ac:dyDescent="0.25">
      <c r="A225">
        <v>2021</v>
      </c>
      <c r="B225" t="s">
        <v>1585</v>
      </c>
      <c r="C225" t="s">
        <v>1586</v>
      </c>
      <c r="D225" t="s">
        <v>19</v>
      </c>
      <c r="E225" t="s">
        <v>20</v>
      </c>
      <c r="F225" t="str">
        <f t="shared" si="3"/>
        <v>43612</v>
      </c>
      <c r="G225" t="str">
        <f t="shared" si="4"/>
        <v>402018</v>
      </c>
      <c r="H225" s="2">
        <f>30</f>
        <v>30</v>
      </c>
      <c r="I225" t="s">
        <v>27</v>
      </c>
      <c r="J225" t="s">
        <v>171</v>
      </c>
      <c r="K225" t="str">
        <f>"516763"</f>
        <v>516763</v>
      </c>
    </row>
    <row r="226" spans="1:11" x14ac:dyDescent="0.25">
      <c r="A226">
        <v>2021</v>
      </c>
      <c r="B226" t="s">
        <v>1585</v>
      </c>
      <c r="C226" t="s">
        <v>1586</v>
      </c>
      <c r="D226" t="s">
        <v>19</v>
      </c>
      <c r="E226" t="s">
        <v>20</v>
      </c>
      <c r="F226" t="str">
        <f t="shared" si="3"/>
        <v>43612</v>
      </c>
      <c r="G226" t="str">
        <f t="shared" si="4"/>
        <v>402018</v>
      </c>
      <c r="H226" s="2">
        <f>20</f>
        <v>20</v>
      </c>
      <c r="I226" t="s">
        <v>27</v>
      </c>
      <c r="J226" t="s">
        <v>171</v>
      </c>
      <c r="K226" t="str">
        <f>"517515"</f>
        <v>517515</v>
      </c>
    </row>
    <row r="227" spans="1:11" x14ac:dyDescent="0.25">
      <c r="A227">
        <v>2021</v>
      </c>
      <c r="B227" t="s">
        <v>1585</v>
      </c>
      <c r="C227" t="s">
        <v>1586</v>
      </c>
      <c r="D227" t="s">
        <v>19</v>
      </c>
      <c r="E227" t="s">
        <v>20</v>
      </c>
      <c r="F227" t="str">
        <f t="shared" si="3"/>
        <v>43612</v>
      </c>
      <c r="G227" t="str">
        <f t="shared" si="4"/>
        <v>402018</v>
      </c>
      <c r="H227" s="2">
        <f>10</f>
        <v>10</v>
      </c>
      <c r="I227" t="s">
        <v>27</v>
      </c>
      <c r="J227" t="s">
        <v>171</v>
      </c>
      <c r="K227" t="str">
        <f>"517914"</f>
        <v>517914</v>
      </c>
    </row>
    <row r="228" spans="1:11" x14ac:dyDescent="0.25">
      <c r="A228">
        <v>2021</v>
      </c>
      <c r="B228" t="s">
        <v>1587</v>
      </c>
      <c r="C228" t="s">
        <v>1588</v>
      </c>
      <c r="D228" t="s">
        <v>19</v>
      </c>
      <c r="E228" t="s">
        <v>20</v>
      </c>
      <c r="F228" t="str">
        <f>"43607"</f>
        <v>43607</v>
      </c>
      <c r="G228" t="str">
        <f>"Pio448069"</f>
        <v>Pio448069</v>
      </c>
      <c r="H228" s="2">
        <f>0.51</f>
        <v>0.51</v>
      </c>
      <c r="I228" t="s">
        <v>86</v>
      </c>
      <c r="J228" t="s">
        <v>87</v>
      </c>
      <c r="K228" t="str">
        <f>"0"</f>
        <v>0</v>
      </c>
    </row>
    <row r="229" spans="1:11" x14ac:dyDescent="0.25">
      <c r="A229">
        <v>2021</v>
      </c>
      <c r="B229" t="s">
        <v>1595</v>
      </c>
      <c r="C229" t="s">
        <v>1596</v>
      </c>
      <c r="D229" t="s">
        <v>125</v>
      </c>
      <c r="E229" t="s">
        <v>20</v>
      </c>
      <c r="F229" t="str">
        <f>"43537"</f>
        <v>43537</v>
      </c>
      <c r="G229" t="str">
        <f>"402019"</f>
        <v>402019</v>
      </c>
      <c r="H229" s="2">
        <f>10</f>
        <v>10</v>
      </c>
      <c r="I229" t="s">
        <v>27</v>
      </c>
      <c r="J229" t="s">
        <v>42</v>
      </c>
      <c r="K229" t="str">
        <f>"111525"</f>
        <v>111525</v>
      </c>
    </row>
    <row r="230" spans="1:11" x14ac:dyDescent="0.25">
      <c r="A230">
        <v>2021</v>
      </c>
      <c r="B230" t="s">
        <v>1599</v>
      </c>
      <c r="C230" t="s">
        <v>1600</v>
      </c>
      <c r="D230" t="s">
        <v>19</v>
      </c>
      <c r="E230" t="s">
        <v>20</v>
      </c>
      <c r="F230" t="str">
        <f>"43617-1614"</f>
        <v>43617-1614</v>
      </c>
      <c r="G230" t="str">
        <f>"402019"</f>
        <v>402019</v>
      </c>
      <c r="H230" s="2">
        <f>10</f>
        <v>10</v>
      </c>
      <c r="I230" t="s">
        <v>27</v>
      </c>
      <c r="J230" t="s">
        <v>42</v>
      </c>
      <c r="K230" t="str">
        <f>"113172"</f>
        <v>113172</v>
      </c>
    </row>
    <row r="231" spans="1:11" x14ac:dyDescent="0.25">
      <c r="A231">
        <v>2021</v>
      </c>
      <c r="B231" t="s">
        <v>1613</v>
      </c>
      <c r="C231" t="s">
        <v>1614</v>
      </c>
      <c r="D231" t="s">
        <v>19</v>
      </c>
      <c r="E231" t="s">
        <v>20</v>
      </c>
      <c r="F231" t="str">
        <f>"43606"</f>
        <v>43606</v>
      </c>
      <c r="G231" t="str">
        <f>"Pio448069"</f>
        <v>Pio448069</v>
      </c>
      <c r="H231" s="2">
        <f>242</f>
        <v>242</v>
      </c>
      <c r="I231" t="s">
        <v>86</v>
      </c>
      <c r="J231" t="s">
        <v>87</v>
      </c>
      <c r="K231" t="str">
        <f>"0"</f>
        <v>0</v>
      </c>
    </row>
    <row r="232" spans="1:11" x14ac:dyDescent="0.25">
      <c r="A232">
        <v>2021</v>
      </c>
      <c r="B232" t="s">
        <v>1627</v>
      </c>
      <c r="C232" t="s">
        <v>1628</v>
      </c>
      <c r="D232" t="s">
        <v>19</v>
      </c>
      <c r="E232" t="s">
        <v>20</v>
      </c>
      <c r="F232" t="str">
        <f>"43615"</f>
        <v>43615</v>
      </c>
      <c r="G232" t="str">
        <f>"402063"</f>
        <v>402063</v>
      </c>
      <c r="H232" s="2">
        <f>239.43</f>
        <v>239.43</v>
      </c>
      <c r="I232" t="s">
        <v>27</v>
      </c>
      <c r="J232" t="s">
        <v>71</v>
      </c>
      <c r="K232" t="str">
        <f>"22020433"</f>
        <v>22020433</v>
      </c>
    </row>
    <row r="233" spans="1:11" x14ac:dyDescent="0.25">
      <c r="A233">
        <v>2021</v>
      </c>
      <c r="B233" t="s">
        <v>1629</v>
      </c>
      <c r="C233" t="s">
        <v>1630</v>
      </c>
      <c r="D233" t="s">
        <v>19</v>
      </c>
      <c r="E233" t="s">
        <v>20</v>
      </c>
      <c r="F233" t="str">
        <f>"43611"</f>
        <v>43611</v>
      </c>
      <c r="G233" t="str">
        <f>"Pio448069"</f>
        <v>Pio448069</v>
      </c>
      <c r="H233" s="2">
        <f>10.92</f>
        <v>10.92</v>
      </c>
      <c r="I233" t="s">
        <v>86</v>
      </c>
      <c r="J233" t="s">
        <v>87</v>
      </c>
      <c r="K233" t="str">
        <f>"0"</f>
        <v>0</v>
      </c>
    </row>
    <row r="234" spans="1:11" x14ac:dyDescent="0.25">
      <c r="A234">
        <v>2021</v>
      </c>
      <c r="B234" t="s">
        <v>1631</v>
      </c>
      <c r="C234" t="s">
        <v>1632</v>
      </c>
      <c r="D234" t="s">
        <v>19</v>
      </c>
      <c r="E234" t="s">
        <v>20</v>
      </c>
      <c r="F234" t="str">
        <f>"43612"</f>
        <v>43612</v>
      </c>
      <c r="G234" t="str">
        <f>"Pio448069"</f>
        <v>Pio448069</v>
      </c>
      <c r="H234" s="2">
        <f>60.05</f>
        <v>60.05</v>
      </c>
      <c r="I234" t="s">
        <v>86</v>
      </c>
      <c r="J234" t="s">
        <v>87</v>
      </c>
      <c r="K234" t="str">
        <f>"0"</f>
        <v>0</v>
      </c>
    </row>
    <row r="235" spans="1:11" x14ac:dyDescent="0.25">
      <c r="A235">
        <v>2021</v>
      </c>
      <c r="B235" t="s">
        <v>1635</v>
      </c>
      <c r="C235" t="s">
        <v>1636</v>
      </c>
      <c r="D235" t="s">
        <v>19</v>
      </c>
      <c r="E235" t="s">
        <v>20</v>
      </c>
      <c r="F235" t="str">
        <f>"43604"</f>
        <v>43604</v>
      </c>
      <c r="G235" t="str">
        <f>"402017"</f>
        <v>402017</v>
      </c>
      <c r="H235" s="2">
        <f>20</f>
        <v>20</v>
      </c>
      <c r="I235" t="s">
        <v>27</v>
      </c>
      <c r="J235" t="s">
        <v>212</v>
      </c>
      <c r="K235" t="str">
        <f>"34965"</f>
        <v>34965</v>
      </c>
    </row>
    <row r="236" spans="1:11" x14ac:dyDescent="0.25">
      <c r="A236">
        <v>2021</v>
      </c>
      <c r="B236" t="s">
        <v>1637</v>
      </c>
      <c r="C236" t="s">
        <v>1638</v>
      </c>
      <c r="D236" t="s">
        <v>19</v>
      </c>
      <c r="E236" t="s">
        <v>20</v>
      </c>
      <c r="F236" t="str">
        <f>"43604"</f>
        <v>43604</v>
      </c>
      <c r="G236" t="str">
        <f>"402018"</f>
        <v>402018</v>
      </c>
      <c r="H236" s="2">
        <f>9.82</f>
        <v>9.82</v>
      </c>
      <c r="I236" t="s">
        <v>27</v>
      </c>
      <c r="J236" t="s">
        <v>171</v>
      </c>
      <c r="K236" t="str">
        <f>"515614"</f>
        <v>515614</v>
      </c>
    </row>
    <row r="237" spans="1:11" x14ac:dyDescent="0.25">
      <c r="A237">
        <v>2021</v>
      </c>
      <c r="B237" t="s">
        <v>1641</v>
      </c>
      <c r="C237" t="s">
        <v>1642</v>
      </c>
      <c r="D237" t="s">
        <v>19</v>
      </c>
      <c r="E237" t="s">
        <v>20</v>
      </c>
      <c r="F237" t="str">
        <f>"43605"</f>
        <v>43605</v>
      </c>
      <c r="G237" t="str">
        <f>"Pio448069"</f>
        <v>Pio448069</v>
      </c>
      <c r="H237" s="2">
        <f>0.2</f>
        <v>0.2</v>
      </c>
      <c r="I237" t="s">
        <v>86</v>
      </c>
      <c r="J237" t="s">
        <v>87</v>
      </c>
      <c r="K237" t="str">
        <f>"0"</f>
        <v>0</v>
      </c>
    </row>
    <row r="238" spans="1:11" x14ac:dyDescent="0.25">
      <c r="A238">
        <v>2021</v>
      </c>
      <c r="B238" t="s">
        <v>1643</v>
      </c>
      <c r="C238" t="s">
        <v>1644</v>
      </c>
      <c r="D238" t="s">
        <v>19</v>
      </c>
      <c r="E238" t="s">
        <v>20</v>
      </c>
      <c r="F238" t="str">
        <f>"43615"</f>
        <v>43615</v>
      </c>
      <c r="G238" t="str">
        <f>"Je110321"</f>
        <v>Je110321</v>
      </c>
      <c r="H238" s="2">
        <f>80.22</f>
        <v>80.22</v>
      </c>
      <c r="I238" t="s">
        <v>15</v>
      </c>
      <c r="J238" t="s">
        <v>596</v>
      </c>
      <c r="K238" t="str">
        <f>"60016881"</f>
        <v>60016881</v>
      </c>
    </row>
    <row r="239" spans="1:11" x14ac:dyDescent="0.25">
      <c r="A239">
        <v>2021</v>
      </c>
      <c r="B239" t="s">
        <v>1648</v>
      </c>
      <c r="C239" t="s">
        <v>1649</v>
      </c>
      <c r="D239" t="s">
        <v>19</v>
      </c>
      <c r="E239" t="s">
        <v>20</v>
      </c>
      <c r="F239" t="str">
        <f>"43614"</f>
        <v>43614</v>
      </c>
      <c r="G239" t="str">
        <f>"Pio448069"</f>
        <v>Pio448069</v>
      </c>
      <c r="H239" s="2">
        <f>6.04</f>
        <v>6.04</v>
      </c>
      <c r="I239" t="s">
        <v>86</v>
      </c>
      <c r="J239" t="s">
        <v>87</v>
      </c>
      <c r="K239" t="str">
        <f>"0"</f>
        <v>0</v>
      </c>
    </row>
    <row r="240" spans="1:11" x14ac:dyDescent="0.25">
      <c r="A240">
        <v>2021</v>
      </c>
      <c r="B240" t="s">
        <v>1654</v>
      </c>
      <c r="C240" t="s">
        <v>1655</v>
      </c>
      <c r="D240" t="s">
        <v>19</v>
      </c>
      <c r="E240" t="s">
        <v>20</v>
      </c>
      <c r="F240" t="str">
        <f>"43612"</f>
        <v>43612</v>
      </c>
      <c r="G240" t="str">
        <f>"Pio448069"</f>
        <v>Pio448069</v>
      </c>
      <c r="H240" s="2">
        <f>2</f>
        <v>2</v>
      </c>
      <c r="I240" t="s">
        <v>86</v>
      </c>
      <c r="J240" t="s">
        <v>87</v>
      </c>
      <c r="K240" t="str">
        <f>"0"</f>
        <v>0</v>
      </c>
    </row>
    <row r="241" spans="1:11" x14ac:dyDescent="0.25">
      <c r="A241">
        <v>2021</v>
      </c>
      <c r="B241" t="s">
        <v>1661</v>
      </c>
      <c r="C241" t="s">
        <v>1662</v>
      </c>
      <c r="D241" t="s">
        <v>1663</v>
      </c>
      <c r="E241" t="s">
        <v>1664</v>
      </c>
      <c r="F241" t="str">
        <f>"24018"</f>
        <v>24018</v>
      </c>
      <c r="G241" t="str">
        <f>"Je061721"</f>
        <v>Je061721</v>
      </c>
      <c r="H241" s="2">
        <f>132.39</f>
        <v>132.38999999999999</v>
      </c>
      <c r="I241" t="s">
        <v>15</v>
      </c>
      <c r="J241" t="s">
        <v>137</v>
      </c>
      <c r="K241" t="str">
        <f>"60000285"</f>
        <v>60000285</v>
      </c>
    </row>
    <row r="242" spans="1:11" x14ac:dyDescent="0.25">
      <c r="A242">
        <v>2021</v>
      </c>
      <c r="B242" t="s">
        <v>1661</v>
      </c>
      <c r="C242" t="s">
        <v>1662</v>
      </c>
      <c r="D242" t="s">
        <v>1663</v>
      </c>
      <c r="E242" t="s">
        <v>1664</v>
      </c>
      <c r="F242" t="str">
        <f>"24018"</f>
        <v>24018</v>
      </c>
      <c r="G242" t="str">
        <f>"Je061721"</f>
        <v>Je061721</v>
      </c>
      <c r="H242" s="2">
        <f>132.39</f>
        <v>132.38999999999999</v>
      </c>
      <c r="I242" t="s">
        <v>15</v>
      </c>
      <c r="J242" t="s">
        <v>137</v>
      </c>
      <c r="K242" t="str">
        <f>"60003277"</f>
        <v>60003277</v>
      </c>
    </row>
    <row r="243" spans="1:11" x14ac:dyDescent="0.25">
      <c r="A243">
        <v>2021</v>
      </c>
      <c r="B243" t="s">
        <v>1687</v>
      </c>
      <c r="C243" t="s">
        <v>1688</v>
      </c>
      <c r="D243" t="s">
        <v>19</v>
      </c>
      <c r="E243" t="s">
        <v>20</v>
      </c>
      <c r="F243" t="str">
        <f>"43609"</f>
        <v>43609</v>
      </c>
      <c r="G243" t="str">
        <f>"Pio448069"</f>
        <v>Pio448069</v>
      </c>
      <c r="H243" s="2">
        <f>0.38</f>
        <v>0.38</v>
      </c>
      <c r="I243" t="s">
        <v>86</v>
      </c>
      <c r="J243" t="s">
        <v>87</v>
      </c>
      <c r="K243" t="str">
        <f>"0"</f>
        <v>0</v>
      </c>
    </row>
    <row r="244" spans="1:11" x14ac:dyDescent="0.25">
      <c r="A244">
        <v>2021</v>
      </c>
      <c r="B244" t="s">
        <v>1697</v>
      </c>
      <c r="C244" t="s">
        <v>1698</v>
      </c>
      <c r="D244" t="s">
        <v>19</v>
      </c>
      <c r="E244" t="s">
        <v>20</v>
      </c>
      <c r="F244" t="str">
        <f>"43605"</f>
        <v>43605</v>
      </c>
      <c r="G244" t="str">
        <f>"Pio448069"</f>
        <v>Pio448069</v>
      </c>
      <c r="H244" s="2">
        <f>135.99</f>
        <v>135.99</v>
      </c>
      <c r="I244" t="s">
        <v>86</v>
      </c>
      <c r="J244" t="s">
        <v>87</v>
      </c>
      <c r="K244" t="str">
        <f>"0"</f>
        <v>0</v>
      </c>
    </row>
    <row r="245" spans="1:11" x14ac:dyDescent="0.25">
      <c r="A245">
        <v>2021</v>
      </c>
      <c r="B245" t="s">
        <v>1699</v>
      </c>
      <c r="C245" t="s">
        <v>1700</v>
      </c>
      <c r="D245" t="s">
        <v>19</v>
      </c>
      <c r="E245" t="s">
        <v>20</v>
      </c>
      <c r="F245" t="str">
        <f>"43604"</f>
        <v>43604</v>
      </c>
      <c r="G245" t="str">
        <f>"402017"</f>
        <v>402017</v>
      </c>
      <c r="H245" s="2">
        <f>20</f>
        <v>20</v>
      </c>
      <c r="I245" t="s">
        <v>27</v>
      </c>
      <c r="J245" t="s">
        <v>212</v>
      </c>
      <c r="K245" t="str">
        <f>"35868"</f>
        <v>35868</v>
      </c>
    </row>
    <row r="246" spans="1:11" x14ac:dyDescent="0.25">
      <c r="A246">
        <v>2021</v>
      </c>
      <c r="B246" t="s">
        <v>1703</v>
      </c>
      <c r="C246" t="s">
        <v>1704</v>
      </c>
      <c r="D246" t="s">
        <v>50</v>
      </c>
      <c r="E246" t="s">
        <v>20</v>
      </c>
      <c r="F246" t="str">
        <f>"43560"</f>
        <v>43560</v>
      </c>
      <c r="G246" t="str">
        <f>"402018"</f>
        <v>402018</v>
      </c>
      <c r="H246" s="2">
        <f>6.77</f>
        <v>6.77</v>
      </c>
      <c r="I246" t="s">
        <v>27</v>
      </c>
      <c r="J246" t="s">
        <v>171</v>
      </c>
      <c r="K246" t="str">
        <f>"517494"</f>
        <v>517494</v>
      </c>
    </row>
    <row r="247" spans="1:11" x14ac:dyDescent="0.25">
      <c r="A247">
        <v>2021</v>
      </c>
      <c r="B247" t="s">
        <v>1709</v>
      </c>
      <c r="C247" t="s">
        <v>1710</v>
      </c>
      <c r="D247" t="s">
        <v>19</v>
      </c>
      <c r="E247" t="s">
        <v>20</v>
      </c>
      <c r="F247" t="str">
        <f>"43614"</f>
        <v>43614</v>
      </c>
      <c r="G247" t="str">
        <f>"402017"</f>
        <v>402017</v>
      </c>
      <c r="H247" s="2">
        <f>14.75</f>
        <v>14.75</v>
      </c>
      <c r="I247" t="s">
        <v>27</v>
      </c>
      <c r="J247" t="s">
        <v>212</v>
      </c>
      <c r="K247" t="str">
        <f>"35265"</f>
        <v>35265</v>
      </c>
    </row>
    <row r="248" spans="1:11" x14ac:dyDescent="0.25">
      <c r="A248">
        <v>2021</v>
      </c>
      <c r="B248" t="s">
        <v>1711</v>
      </c>
      <c r="C248" t="s">
        <v>1712</v>
      </c>
      <c r="D248" t="s">
        <v>19</v>
      </c>
      <c r="E248" t="s">
        <v>20</v>
      </c>
      <c r="F248" t="str">
        <f>"43606"</f>
        <v>43606</v>
      </c>
      <c r="G248" t="str">
        <f>"402017"</f>
        <v>402017</v>
      </c>
      <c r="H248" s="2">
        <f>20</f>
        <v>20</v>
      </c>
      <c r="I248" t="s">
        <v>27</v>
      </c>
      <c r="J248" t="s">
        <v>212</v>
      </c>
      <c r="K248" t="str">
        <f>"34110"</f>
        <v>34110</v>
      </c>
    </row>
    <row r="249" spans="1:11" x14ac:dyDescent="0.25">
      <c r="A249">
        <v>2021</v>
      </c>
      <c r="B249" t="s">
        <v>1713</v>
      </c>
      <c r="C249" t="s">
        <v>1714</v>
      </c>
      <c r="D249" t="s">
        <v>19</v>
      </c>
      <c r="E249" t="s">
        <v>20</v>
      </c>
      <c r="F249" t="str">
        <f>"43620"</f>
        <v>43620</v>
      </c>
      <c r="G249" t="str">
        <f>"Swucf4621"</f>
        <v>Swucf4621</v>
      </c>
      <c r="H249" s="2">
        <f>34.13</f>
        <v>34.130000000000003</v>
      </c>
      <c r="I249" t="s">
        <v>15</v>
      </c>
      <c r="J249" t="s">
        <v>81</v>
      </c>
      <c r="K249" t="str">
        <f>"6297463"</f>
        <v>6297463</v>
      </c>
    </row>
    <row r="250" spans="1:11" x14ac:dyDescent="0.25">
      <c r="A250">
        <v>2021</v>
      </c>
      <c r="B250" t="s">
        <v>1715</v>
      </c>
      <c r="C250" t="s">
        <v>1716</v>
      </c>
      <c r="D250" t="s">
        <v>105</v>
      </c>
      <c r="E250" t="s">
        <v>20</v>
      </c>
      <c r="F250" t="str">
        <f>"43528"</f>
        <v>43528</v>
      </c>
      <c r="G250" t="str">
        <f>"402018"</f>
        <v>402018</v>
      </c>
      <c r="H250" s="2">
        <f>6.77</f>
        <v>6.77</v>
      </c>
      <c r="I250" t="s">
        <v>27</v>
      </c>
      <c r="J250" t="s">
        <v>171</v>
      </c>
      <c r="K250" t="str">
        <f>"517493"</f>
        <v>517493</v>
      </c>
    </row>
    <row r="251" spans="1:11" x14ac:dyDescent="0.25">
      <c r="A251">
        <v>2021</v>
      </c>
      <c r="B251" t="s">
        <v>1717</v>
      </c>
      <c r="C251" t="s">
        <v>1718</v>
      </c>
      <c r="D251" t="s">
        <v>105</v>
      </c>
      <c r="E251" t="s">
        <v>20</v>
      </c>
      <c r="F251" t="str">
        <f>"43528"</f>
        <v>43528</v>
      </c>
      <c r="G251" t="str">
        <f>"402017"</f>
        <v>402017</v>
      </c>
      <c r="H251" s="2">
        <f>20</f>
        <v>20</v>
      </c>
      <c r="I251" t="s">
        <v>27</v>
      </c>
      <c r="J251" t="s">
        <v>212</v>
      </c>
      <c r="K251" t="str">
        <f>"33374"</f>
        <v>33374</v>
      </c>
    </row>
    <row r="252" spans="1:11" x14ac:dyDescent="0.25">
      <c r="A252">
        <v>2021</v>
      </c>
      <c r="B252" t="s">
        <v>1721</v>
      </c>
      <c r="C252" t="s">
        <v>1722</v>
      </c>
      <c r="D252" t="s">
        <v>19</v>
      </c>
      <c r="E252" t="s">
        <v>20</v>
      </c>
      <c r="F252" t="str">
        <f>"43607"</f>
        <v>43607</v>
      </c>
      <c r="G252" t="str">
        <f>"Pio448069"</f>
        <v>Pio448069</v>
      </c>
      <c r="H252" s="2">
        <f>2</f>
        <v>2</v>
      </c>
      <c r="I252" t="s">
        <v>86</v>
      </c>
      <c r="J252" t="s">
        <v>87</v>
      </c>
      <c r="K252" t="str">
        <f>"0"</f>
        <v>0</v>
      </c>
    </row>
    <row r="253" spans="1:11" x14ac:dyDescent="0.25">
      <c r="A253">
        <v>2021</v>
      </c>
      <c r="B253" t="s">
        <v>1725</v>
      </c>
      <c r="C253" t="s">
        <v>1726</v>
      </c>
      <c r="D253" t="s">
        <v>19</v>
      </c>
      <c r="E253" t="s">
        <v>20</v>
      </c>
      <c r="F253" t="str">
        <f>"43606"</f>
        <v>43606</v>
      </c>
      <c r="G253" t="str">
        <f>"402018"</f>
        <v>402018</v>
      </c>
      <c r="H253" s="2">
        <f>80</f>
        <v>80</v>
      </c>
      <c r="I253" t="s">
        <v>27</v>
      </c>
      <c r="J253" t="s">
        <v>171</v>
      </c>
      <c r="K253" t="str">
        <f>"518008"</f>
        <v>518008</v>
      </c>
    </row>
    <row r="254" spans="1:11" x14ac:dyDescent="0.25">
      <c r="A254">
        <v>2021</v>
      </c>
      <c r="B254" t="s">
        <v>1727</v>
      </c>
      <c r="C254" t="s">
        <v>1728</v>
      </c>
      <c r="D254" t="s">
        <v>1729</v>
      </c>
      <c r="E254" t="s">
        <v>20</v>
      </c>
      <c r="F254" t="str">
        <f>"45415"</f>
        <v>45415</v>
      </c>
      <c r="G254" t="str">
        <f>"Pio448069"</f>
        <v>Pio448069</v>
      </c>
      <c r="H254" s="2">
        <f>71</f>
        <v>71</v>
      </c>
      <c r="I254" t="s">
        <v>86</v>
      </c>
      <c r="J254" t="s">
        <v>87</v>
      </c>
      <c r="K254" t="str">
        <f>"0"</f>
        <v>0</v>
      </c>
    </row>
    <row r="255" spans="1:11" x14ac:dyDescent="0.25">
      <c r="A255">
        <v>2021</v>
      </c>
      <c r="B255" t="s">
        <v>1732</v>
      </c>
      <c r="C255" t="s">
        <v>1731</v>
      </c>
      <c r="D255" t="s">
        <v>19</v>
      </c>
      <c r="E255" t="s">
        <v>20</v>
      </c>
      <c r="F255" t="str">
        <f>"43604"</f>
        <v>43604</v>
      </c>
      <c r="G255" t="str">
        <f>"402018"</f>
        <v>402018</v>
      </c>
      <c r="H255" s="2">
        <f>9.08</f>
        <v>9.08</v>
      </c>
      <c r="I255" t="s">
        <v>27</v>
      </c>
      <c r="J255" t="s">
        <v>171</v>
      </c>
      <c r="K255" t="str">
        <f>"517607"</f>
        <v>517607</v>
      </c>
    </row>
    <row r="256" spans="1:11" x14ac:dyDescent="0.25">
      <c r="A256">
        <v>2021</v>
      </c>
      <c r="B256" t="s">
        <v>1741</v>
      </c>
      <c r="C256" t="s">
        <v>438</v>
      </c>
      <c r="D256" t="s">
        <v>19</v>
      </c>
      <c r="E256" t="s">
        <v>20</v>
      </c>
      <c r="F256" t="str">
        <f>"43604"</f>
        <v>43604</v>
      </c>
      <c r="G256" t="str">
        <f>"Pio448069"</f>
        <v>Pio448069</v>
      </c>
      <c r="H256" s="2">
        <f>20.56</f>
        <v>20.56</v>
      </c>
      <c r="I256" t="s">
        <v>86</v>
      </c>
      <c r="J256" t="s">
        <v>87</v>
      </c>
      <c r="K256" t="str">
        <f>"0"</f>
        <v>0</v>
      </c>
    </row>
    <row r="257" spans="1:11" x14ac:dyDescent="0.25">
      <c r="A257">
        <v>2021</v>
      </c>
      <c r="B257" t="s">
        <v>1750</v>
      </c>
      <c r="C257" t="s">
        <v>1751</v>
      </c>
      <c r="D257" t="s">
        <v>19</v>
      </c>
      <c r="E257" t="s">
        <v>20</v>
      </c>
      <c r="F257" t="str">
        <f>"43613-4729"</f>
        <v>43613-4729</v>
      </c>
      <c r="G257" t="str">
        <f>"402019"</f>
        <v>402019</v>
      </c>
      <c r="H257" s="2">
        <f>5</f>
        <v>5</v>
      </c>
      <c r="I257" t="s">
        <v>27</v>
      </c>
      <c r="J257" t="s">
        <v>42</v>
      </c>
      <c r="K257" t="str">
        <f>"113914"</f>
        <v>113914</v>
      </c>
    </row>
    <row r="258" spans="1:11" x14ac:dyDescent="0.25">
      <c r="A258">
        <v>2021</v>
      </c>
      <c r="B258" t="s">
        <v>1760</v>
      </c>
      <c r="C258" t="s">
        <v>1761</v>
      </c>
      <c r="D258" t="s">
        <v>1054</v>
      </c>
      <c r="E258" t="s">
        <v>14</v>
      </c>
      <c r="F258" t="str">
        <f>"48182"</f>
        <v>48182</v>
      </c>
      <c r="G258" t="str">
        <f>"402018"</f>
        <v>402018</v>
      </c>
      <c r="H258" s="2">
        <f>47.97</f>
        <v>47.97</v>
      </c>
      <c r="I258" t="s">
        <v>27</v>
      </c>
      <c r="J258" t="s">
        <v>171</v>
      </c>
      <c r="K258" t="str">
        <f>"517579"</f>
        <v>517579</v>
      </c>
    </row>
    <row r="259" spans="1:11" x14ac:dyDescent="0.25">
      <c r="A259">
        <v>2021</v>
      </c>
      <c r="B259" t="s">
        <v>1760</v>
      </c>
      <c r="C259" t="s">
        <v>1761</v>
      </c>
      <c r="D259" t="s">
        <v>1054</v>
      </c>
      <c r="E259" t="s">
        <v>14</v>
      </c>
      <c r="F259" t="str">
        <f>"48182"</f>
        <v>48182</v>
      </c>
      <c r="G259" t="str">
        <f>"402018"</f>
        <v>402018</v>
      </c>
      <c r="H259" s="2">
        <f>5.56</f>
        <v>5.56</v>
      </c>
      <c r="I259" t="s">
        <v>27</v>
      </c>
      <c r="J259" t="s">
        <v>171</v>
      </c>
      <c r="K259" t="str">
        <f>"517216"</f>
        <v>517216</v>
      </c>
    </row>
    <row r="260" spans="1:11" x14ac:dyDescent="0.25">
      <c r="A260">
        <v>2021</v>
      </c>
      <c r="B260" t="s">
        <v>1760</v>
      </c>
      <c r="C260" t="s">
        <v>1761</v>
      </c>
      <c r="D260" t="s">
        <v>1054</v>
      </c>
      <c r="E260" t="s">
        <v>14</v>
      </c>
      <c r="F260" t="str">
        <f>"48182"</f>
        <v>48182</v>
      </c>
      <c r="G260" t="str">
        <f>"402018"</f>
        <v>402018</v>
      </c>
      <c r="H260" s="2">
        <f>5.56</f>
        <v>5.56</v>
      </c>
      <c r="I260" t="s">
        <v>27</v>
      </c>
      <c r="J260" t="s">
        <v>171</v>
      </c>
      <c r="K260" t="str">
        <f>"515760"</f>
        <v>515760</v>
      </c>
    </row>
    <row r="261" spans="1:11" x14ac:dyDescent="0.25">
      <c r="A261">
        <v>2021</v>
      </c>
      <c r="B261" t="s">
        <v>1760</v>
      </c>
      <c r="C261" t="s">
        <v>1761</v>
      </c>
      <c r="D261" t="s">
        <v>1054</v>
      </c>
      <c r="E261" t="s">
        <v>14</v>
      </c>
      <c r="F261" t="str">
        <f>"48182"</f>
        <v>48182</v>
      </c>
      <c r="G261" t="str">
        <f>"402018"</f>
        <v>402018</v>
      </c>
      <c r="H261" s="2">
        <f>5.56</f>
        <v>5.56</v>
      </c>
      <c r="I261" t="s">
        <v>27</v>
      </c>
      <c r="J261" t="s">
        <v>171</v>
      </c>
      <c r="K261" t="str">
        <f>"516036"</f>
        <v>516036</v>
      </c>
    </row>
    <row r="262" spans="1:11" x14ac:dyDescent="0.25">
      <c r="A262">
        <v>2021</v>
      </c>
      <c r="B262" t="s">
        <v>1760</v>
      </c>
      <c r="C262" t="s">
        <v>1761</v>
      </c>
      <c r="D262" t="s">
        <v>1054</v>
      </c>
      <c r="E262" t="s">
        <v>14</v>
      </c>
      <c r="F262" t="str">
        <f>"48182"</f>
        <v>48182</v>
      </c>
      <c r="G262" t="str">
        <f>"402018"</f>
        <v>402018</v>
      </c>
      <c r="H262" s="2">
        <f>5.56</f>
        <v>5.56</v>
      </c>
      <c r="I262" t="s">
        <v>27</v>
      </c>
      <c r="J262" t="s">
        <v>171</v>
      </c>
      <c r="K262" t="str">
        <f>"516300"</f>
        <v>516300</v>
      </c>
    </row>
    <row r="263" spans="1:11" x14ac:dyDescent="0.25">
      <c r="A263">
        <v>2021</v>
      </c>
      <c r="B263" t="s">
        <v>1768</v>
      </c>
      <c r="C263" t="s">
        <v>1769</v>
      </c>
      <c r="D263" t="s">
        <v>58</v>
      </c>
      <c r="E263" t="s">
        <v>20</v>
      </c>
      <c r="F263" t="str">
        <f>"43616-4223"</f>
        <v>43616-4223</v>
      </c>
      <c r="G263" t="str">
        <f>"402019"</f>
        <v>402019</v>
      </c>
      <c r="H263" s="2">
        <f>20</f>
        <v>20</v>
      </c>
      <c r="I263" t="s">
        <v>27</v>
      </c>
      <c r="J263" t="s">
        <v>42</v>
      </c>
      <c r="K263" t="str">
        <f>"111847"</f>
        <v>111847</v>
      </c>
    </row>
    <row r="264" spans="1:11" x14ac:dyDescent="0.25">
      <c r="A264">
        <v>2021</v>
      </c>
      <c r="B264" t="s">
        <v>1776</v>
      </c>
      <c r="C264" t="s">
        <v>1777</v>
      </c>
      <c r="D264" t="s">
        <v>19</v>
      </c>
      <c r="E264" t="s">
        <v>20</v>
      </c>
      <c r="F264" t="str">
        <f>"43611-1941"</f>
        <v>43611-1941</v>
      </c>
      <c r="G264" t="str">
        <f>"402019"</f>
        <v>402019</v>
      </c>
      <c r="H264" s="2">
        <f>10</f>
        <v>10</v>
      </c>
      <c r="I264" t="s">
        <v>27</v>
      </c>
      <c r="J264" t="s">
        <v>42</v>
      </c>
      <c r="K264" t="str">
        <f>"114586"</f>
        <v>114586</v>
      </c>
    </row>
    <row r="265" spans="1:11" x14ac:dyDescent="0.25">
      <c r="A265">
        <v>2021</v>
      </c>
      <c r="B265" t="s">
        <v>1782</v>
      </c>
      <c r="C265" t="s">
        <v>1783</v>
      </c>
      <c r="D265" t="s">
        <v>1784</v>
      </c>
      <c r="E265" t="s">
        <v>20</v>
      </c>
      <c r="F265" t="str">
        <f>"45102"</f>
        <v>45102</v>
      </c>
      <c r="G265" t="str">
        <f>"402017"</f>
        <v>402017</v>
      </c>
      <c r="H265" s="2">
        <f>17.24</f>
        <v>17.239999999999998</v>
      </c>
      <c r="I265" t="s">
        <v>27</v>
      </c>
      <c r="J265" t="s">
        <v>212</v>
      </c>
      <c r="K265" t="str">
        <f>"34478"</f>
        <v>34478</v>
      </c>
    </row>
    <row r="266" spans="1:11" x14ac:dyDescent="0.25">
      <c r="A266">
        <v>2021</v>
      </c>
      <c r="B266" t="s">
        <v>1819</v>
      </c>
      <c r="C266" t="s">
        <v>1820</v>
      </c>
      <c r="D266" t="s">
        <v>50</v>
      </c>
      <c r="E266" t="s">
        <v>20</v>
      </c>
      <c r="F266" t="str">
        <f>"43560-1085"</f>
        <v>43560-1085</v>
      </c>
      <c r="G266" t="str">
        <f>"402019"</f>
        <v>402019</v>
      </c>
      <c r="H266" s="2">
        <f>10</f>
        <v>10</v>
      </c>
      <c r="I266" t="s">
        <v>27</v>
      </c>
      <c r="J266" t="s">
        <v>42</v>
      </c>
      <c r="K266" t="str">
        <f>"112589"</f>
        <v>112589</v>
      </c>
    </row>
    <row r="267" spans="1:11" x14ac:dyDescent="0.25">
      <c r="A267">
        <v>2021</v>
      </c>
      <c r="B267" t="s">
        <v>1842</v>
      </c>
      <c r="C267" t="s">
        <v>1843</v>
      </c>
      <c r="D267" t="s">
        <v>19</v>
      </c>
      <c r="E267" t="s">
        <v>20</v>
      </c>
      <c r="F267" t="str">
        <f>"43605"</f>
        <v>43605</v>
      </c>
      <c r="G267" t="str">
        <f>"Pio448069"</f>
        <v>Pio448069</v>
      </c>
      <c r="H267" s="2">
        <f>8.44</f>
        <v>8.44</v>
      </c>
      <c r="I267" t="s">
        <v>86</v>
      </c>
      <c r="J267" t="s">
        <v>87</v>
      </c>
      <c r="K267" t="str">
        <f>"0"</f>
        <v>0</v>
      </c>
    </row>
    <row r="268" spans="1:11" x14ac:dyDescent="0.25">
      <c r="A268">
        <v>2021</v>
      </c>
      <c r="B268" t="s">
        <v>1860</v>
      </c>
      <c r="C268" t="s">
        <v>1861</v>
      </c>
      <c r="D268" t="s">
        <v>19</v>
      </c>
      <c r="E268" t="s">
        <v>20</v>
      </c>
      <c r="F268" t="str">
        <f>"43620-1422"</f>
        <v>43620-1422</v>
      </c>
      <c r="G268" t="str">
        <f>"402019"</f>
        <v>402019</v>
      </c>
      <c r="H268" s="2">
        <f>10</f>
        <v>10</v>
      </c>
      <c r="I268" t="s">
        <v>27</v>
      </c>
      <c r="J268" t="s">
        <v>42</v>
      </c>
      <c r="K268" t="str">
        <f>"115524"</f>
        <v>115524</v>
      </c>
    </row>
    <row r="269" spans="1:11" x14ac:dyDescent="0.25">
      <c r="A269">
        <v>2021</v>
      </c>
      <c r="B269" t="s">
        <v>1862</v>
      </c>
      <c r="C269" t="s">
        <v>1863</v>
      </c>
      <c r="D269" t="s">
        <v>19</v>
      </c>
      <c r="E269" t="s">
        <v>20</v>
      </c>
      <c r="F269" t="str">
        <f>"43604"</f>
        <v>43604</v>
      </c>
      <c r="G269" t="str">
        <f>"Bwucf4621"</f>
        <v>Bwucf4621</v>
      </c>
      <c r="H269" s="2">
        <f>74.72</f>
        <v>74.72</v>
      </c>
      <c r="I269" t="s">
        <v>15</v>
      </c>
      <c r="J269" t="s">
        <v>295</v>
      </c>
      <c r="K269" t="str">
        <f>"01435111"</f>
        <v>01435111</v>
      </c>
    </row>
    <row r="270" spans="1:11" x14ac:dyDescent="0.25">
      <c r="A270">
        <v>2021</v>
      </c>
      <c r="B270" t="s">
        <v>1864</v>
      </c>
      <c r="C270" t="s">
        <v>1865</v>
      </c>
      <c r="D270" t="s">
        <v>128</v>
      </c>
      <c r="E270" t="s">
        <v>20</v>
      </c>
      <c r="F270" t="str">
        <f>"43619"</f>
        <v>43619</v>
      </c>
      <c r="G270" t="str">
        <f>"397019"</f>
        <v>397019</v>
      </c>
      <c r="H270" s="2">
        <f>500</f>
        <v>500</v>
      </c>
      <c r="I270" t="s">
        <v>519</v>
      </c>
      <c r="J270" t="s">
        <v>519</v>
      </c>
      <c r="K270" t="str">
        <f>"10011"</f>
        <v>10011</v>
      </c>
    </row>
    <row r="271" spans="1:11" x14ac:dyDescent="0.25">
      <c r="A271">
        <v>2021</v>
      </c>
      <c r="B271" t="s">
        <v>1874</v>
      </c>
      <c r="C271" t="s">
        <v>1875</v>
      </c>
      <c r="D271" t="s">
        <v>19</v>
      </c>
      <c r="E271" t="s">
        <v>20</v>
      </c>
      <c r="F271" t="str">
        <f>"43620"</f>
        <v>43620</v>
      </c>
      <c r="G271" t="str">
        <f>"Je092221"</f>
        <v>Je092221</v>
      </c>
      <c r="H271" s="2">
        <f>35</f>
        <v>35</v>
      </c>
      <c r="I271" t="s">
        <v>15</v>
      </c>
      <c r="J271" t="s">
        <v>114</v>
      </c>
      <c r="K271" t="str">
        <f>"60010694"</f>
        <v>60010694</v>
      </c>
    </row>
    <row r="272" spans="1:11" x14ac:dyDescent="0.25">
      <c r="A272">
        <v>2021</v>
      </c>
      <c r="B272" t="s">
        <v>1878</v>
      </c>
      <c r="C272" t="s">
        <v>1879</v>
      </c>
      <c r="D272" t="s">
        <v>19</v>
      </c>
      <c r="E272" t="s">
        <v>20</v>
      </c>
      <c r="F272" t="str">
        <f>"43608"</f>
        <v>43608</v>
      </c>
      <c r="G272" t="str">
        <f>"Pio448069"</f>
        <v>Pio448069</v>
      </c>
      <c r="H272" s="2">
        <f>1</f>
        <v>1</v>
      </c>
      <c r="I272" t="s">
        <v>86</v>
      </c>
      <c r="J272" t="s">
        <v>87</v>
      </c>
      <c r="K272" t="str">
        <f>"0"</f>
        <v>0</v>
      </c>
    </row>
    <row r="273" spans="1:11" x14ac:dyDescent="0.25">
      <c r="A273">
        <v>2021</v>
      </c>
      <c r="B273" t="s">
        <v>1890</v>
      </c>
      <c r="C273" t="s">
        <v>1891</v>
      </c>
      <c r="D273" t="s">
        <v>19</v>
      </c>
      <c r="E273" t="s">
        <v>20</v>
      </c>
      <c r="F273" t="str">
        <f>"43609"</f>
        <v>43609</v>
      </c>
      <c r="G273" t="str">
        <f>"402063"</f>
        <v>402063</v>
      </c>
      <c r="H273" s="2">
        <f>7.75</f>
        <v>7.75</v>
      </c>
      <c r="I273" t="s">
        <v>27</v>
      </c>
      <c r="J273" t="s">
        <v>71</v>
      </c>
      <c r="K273" t="str">
        <f>"44008045"</f>
        <v>44008045</v>
      </c>
    </row>
    <row r="274" spans="1:11" x14ac:dyDescent="0.25">
      <c r="A274">
        <v>2021</v>
      </c>
      <c r="B274" t="s">
        <v>1919</v>
      </c>
      <c r="C274" t="s">
        <v>1920</v>
      </c>
      <c r="D274" t="s">
        <v>19</v>
      </c>
      <c r="E274" t="s">
        <v>20</v>
      </c>
      <c r="F274" t="str">
        <f>"43613-1018"</f>
        <v>43613-1018</v>
      </c>
      <c r="G274" t="str">
        <f>"402019"</f>
        <v>402019</v>
      </c>
      <c r="H274" s="2">
        <f>10</f>
        <v>10</v>
      </c>
      <c r="I274" t="s">
        <v>27</v>
      </c>
      <c r="J274" t="s">
        <v>42</v>
      </c>
      <c r="K274" t="str">
        <f>"113858"</f>
        <v>113858</v>
      </c>
    </row>
    <row r="275" spans="1:11" x14ac:dyDescent="0.25">
      <c r="A275">
        <v>2021</v>
      </c>
      <c r="B275" t="s">
        <v>1927</v>
      </c>
      <c r="C275" t="s">
        <v>1928</v>
      </c>
      <c r="D275" t="s">
        <v>19</v>
      </c>
      <c r="E275" t="s">
        <v>20</v>
      </c>
      <c r="F275" t="str">
        <f>"43611"</f>
        <v>43611</v>
      </c>
      <c r="G275" t="str">
        <f>"Swucf4621"</f>
        <v>Swucf4621</v>
      </c>
      <c r="H275" s="2">
        <f>10</f>
        <v>10</v>
      </c>
      <c r="I275" t="s">
        <v>15</v>
      </c>
      <c r="J275" t="s">
        <v>81</v>
      </c>
      <c r="K275" t="str">
        <f>"6298025"</f>
        <v>6298025</v>
      </c>
    </row>
    <row r="276" spans="1:11" x14ac:dyDescent="0.25">
      <c r="A276">
        <v>2021</v>
      </c>
      <c r="B276" t="s">
        <v>1934</v>
      </c>
      <c r="C276" t="s">
        <v>1935</v>
      </c>
      <c r="D276" t="s">
        <v>19</v>
      </c>
      <c r="E276" t="s">
        <v>20</v>
      </c>
      <c r="F276" t="str">
        <f>"43615"</f>
        <v>43615</v>
      </c>
      <c r="G276" t="str">
        <f>"402018"</f>
        <v>402018</v>
      </c>
      <c r="H276" s="2">
        <f>25</f>
        <v>25</v>
      </c>
      <c r="I276" t="s">
        <v>27</v>
      </c>
      <c r="J276" t="s">
        <v>171</v>
      </c>
      <c r="K276" t="str">
        <f>"517311"</f>
        <v>517311</v>
      </c>
    </row>
    <row r="277" spans="1:11" x14ac:dyDescent="0.25">
      <c r="A277">
        <v>2021</v>
      </c>
      <c r="B277" t="s">
        <v>1940</v>
      </c>
      <c r="C277" t="s">
        <v>1941</v>
      </c>
      <c r="D277" t="s">
        <v>19</v>
      </c>
      <c r="E277" t="s">
        <v>20</v>
      </c>
      <c r="F277" t="str">
        <f>"43609"</f>
        <v>43609</v>
      </c>
      <c r="G277" t="str">
        <f>"Pio448069"</f>
        <v>Pio448069</v>
      </c>
      <c r="H277" s="2">
        <f>5</f>
        <v>5</v>
      </c>
      <c r="I277" t="s">
        <v>86</v>
      </c>
      <c r="J277" t="s">
        <v>87</v>
      </c>
      <c r="K277" t="str">
        <f>"0"</f>
        <v>0</v>
      </c>
    </row>
    <row r="278" spans="1:11" x14ac:dyDescent="0.25">
      <c r="A278">
        <v>2021</v>
      </c>
      <c r="B278" t="s">
        <v>1942</v>
      </c>
      <c r="C278" t="s">
        <v>1943</v>
      </c>
      <c r="D278" t="s">
        <v>1944</v>
      </c>
      <c r="E278" t="s">
        <v>1945</v>
      </c>
      <c r="F278" t="str">
        <f>"85016"</f>
        <v>85016</v>
      </c>
      <c r="G278" t="str">
        <f>"Pio448069"</f>
        <v>Pio448069</v>
      </c>
      <c r="H278" s="2">
        <f>14.83</f>
        <v>14.83</v>
      </c>
      <c r="I278" t="s">
        <v>86</v>
      </c>
      <c r="J278" t="s">
        <v>87</v>
      </c>
      <c r="K278" t="str">
        <f>"0"</f>
        <v>0</v>
      </c>
    </row>
    <row r="279" spans="1:11" x14ac:dyDescent="0.25">
      <c r="A279">
        <v>2021</v>
      </c>
      <c r="B279" t="s">
        <v>1946</v>
      </c>
      <c r="C279" t="s">
        <v>1947</v>
      </c>
      <c r="F279" t="str">
        <f>""</f>
        <v/>
      </c>
      <c r="G279" t="str">
        <f>"Swucf4621"</f>
        <v>Swucf4621</v>
      </c>
      <c r="H279" s="2">
        <f>33.99</f>
        <v>33.99</v>
      </c>
      <c r="I279" t="s">
        <v>15</v>
      </c>
      <c r="J279" t="s">
        <v>81</v>
      </c>
      <c r="K279" t="str">
        <f>"6294999"</f>
        <v>6294999</v>
      </c>
    </row>
    <row r="280" spans="1:11" x14ac:dyDescent="0.25">
      <c r="A280">
        <v>2021</v>
      </c>
      <c r="B280" t="s">
        <v>1954</v>
      </c>
      <c r="C280" t="s">
        <v>1955</v>
      </c>
      <c r="D280" t="s">
        <v>19</v>
      </c>
      <c r="E280" t="s">
        <v>20</v>
      </c>
      <c r="F280" t="str">
        <f>"43609"</f>
        <v>43609</v>
      </c>
      <c r="G280" t="str">
        <f>"Pio448069"</f>
        <v>Pio448069</v>
      </c>
      <c r="H280" s="2">
        <f>0.81</f>
        <v>0.81</v>
      </c>
      <c r="I280" t="s">
        <v>86</v>
      </c>
      <c r="J280" t="s">
        <v>87</v>
      </c>
      <c r="K280" t="str">
        <f>"0"</f>
        <v>0</v>
      </c>
    </row>
    <row r="281" spans="1:11" x14ac:dyDescent="0.25">
      <c r="A281">
        <v>2021</v>
      </c>
      <c r="B281" t="s">
        <v>1956</v>
      </c>
      <c r="C281" t="s">
        <v>1957</v>
      </c>
      <c r="D281" t="s">
        <v>105</v>
      </c>
      <c r="E281" t="s">
        <v>20</v>
      </c>
      <c r="F281" t="str">
        <f>"43528-9762"</f>
        <v>43528-9762</v>
      </c>
      <c r="G281" t="str">
        <f>"402019"</f>
        <v>402019</v>
      </c>
      <c r="H281" s="2">
        <f>20</f>
        <v>20</v>
      </c>
      <c r="I281" t="s">
        <v>27</v>
      </c>
      <c r="J281" t="s">
        <v>42</v>
      </c>
      <c r="K281" t="str">
        <f>"113215"</f>
        <v>113215</v>
      </c>
    </row>
    <row r="282" spans="1:11" x14ac:dyDescent="0.25">
      <c r="A282">
        <v>2021</v>
      </c>
      <c r="B282" t="s">
        <v>1960</v>
      </c>
      <c r="C282" t="s">
        <v>1961</v>
      </c>
      <c r="D282" t="s">
        <v>19</v>
      </c>
      <c r="E282" t="s">
        <v>20</v>
      </c>
      <c r="F282" t="str">
        <f>"43606"</f>
        <v>43606</v>
      </c>
      <c r="G282" t="str">
        <f t="shared" ref="G282:G289" si="5">"402018"</f>
        <v>402018</v>
      </c>
      <c r="H282" s="2">
        <f>10</f>
        <v>10</v>
      </c>
      <c r="I282" t="s">
        <v>27</v>
      </c>
      <c r="J282" t="s">
        <v>171</v>
      </c>
      <c r="K282" t="str">
        <f>"517971"</f>
        <v>517971</v>
      </c>
    </row>
    <row r="283" spans="1:11" x14ac:dyDescent="0.25">
      <c r="A283">
        <v>2021</v>
      </c>
      <c r="B283" t="s">
        <v>1960</v>
      </c>
      <c r="C283" t="s">
        <v>1961</v>
      </c>
      <c r="D283" t="s">
        <v>19</v>
      </c>
      <c r="E283" t="s">
        <v>20</v>
      </c>
      <c r="F283" t="str">
        <f>"43606"</f>
        <v>43606</v>
      </c>
      <c r="G283" t="str">
        <f t="shared" si="5"/>
        <v>402018</v>
      </c>
      <c r="H283" s="2">
        <f>116.66</f>
        <v>116.66</v>
      </c>
      <c r="I283" t="s">
        <v>27</v>
      </c>
      <c r="J283" t="s">
        <v>171</v>
      </c>
      <c r="K283" t="str">
        <f>"518193"</f>
        <v>518193</v>
      </c>
    </row>
    <row r="284" spans="1:11" x14ac:dyDescent="0.25">
      <c r="A284">
        <v>2021</v>
      </c>
      <c r="B284" t="s">
        <v>1960</v>
      </c>
      <c r="C284" t="s">
        <v>1961</v>
      </c>
      <c r="D284" t="s">
        <v>19</v>
      </c>
      <c r="E284" t="s">
        <v>20</v>
      </c>
      <c r="F284" t="str">
        <f>"43606"</f>
        <v>43606</v>
      </c>
      <c r="G284" t="str">
        <f t="shared" si="5"/>
        <v>402018</v>
      </c>
      <c r="H284" s="2">
        <f>3.33</f>
        <v>3.33</v>
      </c>
      <c r="I284" t="s">
        <v>27</v>
      </c>
      <c r="J284" t="s">
        <v>171</v>
      </c>
      <c r="K284" t="str">
        <f>"517123"</f>
        <v>517123</v>
      </c>
    </row>
    <row r="285" spans="1:11" x14ac:dyDescent="0.25">
      <c r="A285">
        <v>2021</v>
      </c>
      <c r="B285" t="s">
        <v>1960</v>
      </c>
      <c r="C285" t="s">
        <v>1961</v>
      </c>
      <c r="D285" t="s">
        <v>19</v>
      </c>
      <c r="E285" t="s">
        <v>20</v>
      </c>
      <c r="F285" t="str">
        <f>"43606"</f>
        <v>43606</v>
      </c>
      <c r="G285" t="str">
        <f t="shared" si="5"/>
        <v>402018</v>
      </c>
      <c r="H285" s="2">
        <f>3.33</f>
        <v>3.33</v>
      </c>
      <c r="I285" t="s">
        <v>27</v>
      </c>
      <c r="J285" t="s">
        <v>171</v>
      </c>
      <c r="K285" t="str">
        <f>"517287"</f>
        <v>517287</v>
      </c>
    </row>
    <row r="286" spans="1:11" x14ac:dyDescent="0.25">
      <c r="A286">
        <v>2021</v>
      </c>
      <c r="B286" t="s">
        <v>1962</v>
      </c>
      <c r="C286" t="s">
        <v>1964</v>
      </c>
      <c r="D286" t="s">
        <v>1965</v>
      </c>
      <c r="E286" t="s">
        <v>20</v>
      </c>
      <c r="F286" t="str">
        <f>"45324"</f>
        <v>45324</v>
      </c>
      <c r="G286" t="str">
        <f t="shared" si="5"/>
        <v>402018</v>
      </c>
      <c r="H286" s="2">
        <f>4.33</f>
        <v>4.33</v>
      </c>
      <c r="I286" t="s">
        <v>27</v>
      </c>
      <c r="J286" t="s">
        <v>171</v>
      </c>
      <c r="K286" t="str">
        <f>"517343"</f>
        <v>517343</v>
      </c>
    </row>
    <row r="287" spans="1:11" x14ac:dyDescent="0.25">
      <c r="A287">
        <v>2021</v>
      </c>
      <c r="B287" t="s">
        <v>1966</v>
      </c>
      <c r="C287" t="s">
        <v>1967</v>
      </c>
      <c r="D287" t="s">
        <v>58</v>
      </c>
      <c r="E287" t="s">
        <v>20</v>
      </c>
      <c r="F287" t="str">
        <f>"43616"</f>
        <v>43616</v>
      </c>
      <c r="G287" t="str">
        <f t="shared" si="5"/>
        <v>402018</v>
      </c>
      <c r="H287" s="2">
        <f>2.5</f>
        <v>2.5</v>
      </c>
      <c r="I287" t="s">
        <v>27</v>
      </c>
      <c r="J287" t="s">
        <v>171</v>
      </c>
      <c r="K287" t="str">
        <f>"518142"</f>
        <v>518142</v>
      </c>
    </row>
    <row r="288" spans="1:11" x14ac:dyDescent="0.25">
      <c r="A288">
        <v>2021</v>
      </c>
      <c r="B288" t="s">
        <v>1966</v>
      </c>
      <c r="C288" t="s">
        <v>1967</v>
      </c>
      <c r="D288" t="s">
        <v>58</v>
      </c>
      <c r="E288" t="s">
        <v>20</v>
      </c>
      <c r="F288" t="str">
        <f>"43616"</f>
        <v>43616</v>
      </c>
      <c r="G288" t="str">
        <f t="shared" si="5"/>
        <v>402018</v>
      </c>
      <c r="H288" s="2">
        <f>2.5</f>
        <v>2.5</v>
      </c>
      <c r="I288" t="s">
        <v>27</v>
      </c>
      <c r="J288" t="s">
        <v>171</v>
      </c>
      <c r="K288" t="str">
        <f>"517517"</f>
        <v>517517</v>
      </c>
    </row>
    <row r="289" spans="1:11" x14ac:dyDescent="0.25">
      <c r="A289">
        <v>2021</v>
      </c>
      <c r="B289" t="s">
        <v>1974</v>
      </c>
      <c r="C289" t="s">
        <v>1975</v>
      </c>
      <c r="D289" t="s">
        <v>19</v>
      </c>
      <c r="E289" t="s">
        <v>20</v>
      </c>
      <c r="F289" t="str">
        <f>"43613"</f>
        <v>43613</v>
      </c>
      <c r="G289" t="str">
        <f t="shared" si="5"/>
        <v>402018</v>
      </c>
      <c r="H289" s="2">
        <f>9.08</f>
        <v>9.08</v>
      </c>
      <c r="I289" t="s">
        <v>27</v>
      </c>
      <c r="J289" t="s">
        <v>171</v>
      </c>
      <c r="K289" t="str">
        <f>"517608"</f>
        <v>517608</v>
      </c>
    </row>
    <row r="290" spans="1:11" x14ac:dyDescent="0.25">
      <c r="A290">
        <v>2021</v>
      </c>
      <c r="B290" t="s">
        <v>1984</v>
      </c>
      <c r="C290" t="s">
        <v>1985</v>
      </c>
      <c r="D290" t="s">
        <v>19</v>
      </c>
      <c r="E290" t="s">
        <v>20</v>
      </c>
      <c r="F290" t="str">
        <f>"43615-2730"</f>
        <v>43615-2730</v>
      </c>
      <c r="G290" t="str">
        <f>"402019"</f>
        <v>402019</v>
      </c>
      <c r="H290" s="2">
        <f>20</f>
        <v>20</v>
      </c>
      <c r="I290" t="s">
        <v>27</v>
      </c>
      <c r="J290" t="s">
        <v>42</v>
      </c>
      <c r="K290" t="str">
        <f>"114164"</f>
        <v>114164</v>
      </c>
    </row>
    <row r="291" spans="1:11" x14ac:dyDescent="0.25">
      <c r="A291">
        <v>2021</v>
      </c>
      <c r="B291" t="s">
        <v>2005</v>
      </c>
      <c r="C291" t="s">
        <v>2006</v>
      </c>
      <c r="D291" t="s">
        <v>19</v>
      </c>
      <c r="E291" t="s">
        <v>20</v>
      </c>
      <c r="F291" t="str">
        <f>"43614-2933"</f>
        <v>43614-2933</v>
      </c>
      <c r="G291" t="str">
        <f>"402019"</f>
        <v>402019</v>
      </c>
      <c r="H291" s="2">
        <f>20</f>
        <v>20</v>
      </c>
      <c r="I291" t="s">
        <v>27</v>
      </c>
      <c r="J291" t="s">
        <v>42</v>
      </c>
      <c r="K291" t="str">
        <f>"113456"</f>
        <v>113456</v>
      </c>
    </row>
    <row r="292" spans="1:11" x14ac:dyDescent="0.25">
      <c r="A292">
        <v>2021</v>
      </c>
      <c r="B292" t="s">
        <v>2007</v>
      </c>
      <c r="C292" t="s">
        <v>2008</v>
      </c>
      <c r="D292" t="s">
        <v>422</v>
      </c>
      <c r="E292" t="s">
        <v>20</v>
      </c>
      <c r="F292" t="str">
        <f>"44114"</f>
        <v>44114</v>
      </c>
      <c r="G292" t="str">
        <f>"402017"</f>
        <v>402017</v>
      </c>
      <c r="H292" s="2">
        <f>44.72</f>
        <v>44.72</v>
      </c>
      <c r="I292" t="s">
        <v>27</v>
      </c>
      <c r="J292" t="s">
        <v>212</v>
      </c>
      <c r="K292" t="str">
        <f>"35720"</f>
        <v>35720</v>
      </c>
    </row>
    <row r="293" spans="1:11" x14ac:dyDescent="0.25">
      <c r="A293">
        <v>2021</v>
      </c>
      <c r="B293" t="s">
        <v>2022</v>
      </c>
      <c r="C293" t="s">
        <v>2023</v>
      </c>
      <c r="D293" t="s">
        <v>125</v>
      </c>
      <c r="E293" t="s">
        <v>20</v>
      </c>
      <c r="F293" t="str">
        <f>"43537"</f>
        <v>43537</v>
      </c>
      <c r="G293" t="str">
        <f>"402018"</f>
        <v>402018</v>
      </c>
      <c r="H293" s="2">
        <f>23.7</f>
        <v>23.7</v>
      </c>
      <c r="I293" t="s">
        <v>27</v>
      </c>
      <c r="J293" t="s">
        <v>171</v>
      </c>
      <c r="K293" t="str">
        <f>"515872"</f>
        <v>515872</v>
      </c>
    </row>
    <row r="294" spans="1:11" x14ac:dyDescent="0.25">
      <c r="A294">
        <v>2021</v>
      </c>
      <c r="B294" t="s">
        <v>2022</v>
      </c>
      <c r="C294" t="s">
        <v>2023</v>
      </c>
      <c r="D294" t="s">
        <v>125</v>
      </c>
      <c r="E294" t="s">
        <v>20</v>
      </c>
      <c r="F294" t="str">
        <f>"43537"</f>
        <v>43537</v>
      </c>
      <c r="G294" t="str">
        <f>"402018"</f>
        <v>402018</v>
      </c>
      <c r="H294" s="2">
        <f>17.21</f>
        <v>17.21</v>
      </c>
      <c r="I294" t="s">
        <v>27</v>
      </c>
      <c r="J294" t="s">
        <v>171</v>
      </c>
      <c r="K294" t="str">
        <f>"515873"</f>
        <v>515873</v>
      </c>
    </row>
    <row r="295" spans="1:11" x14ac:dyDescent="0.25">
      <c r="A295">
        <v>2021</v>
      </c>
      <c r="B295" t="s">
        <v>2022</v>
      </c>
      <c r="C295" t="s">
        <v>2023</v>
      </c>
      <c r="D295" t="s">
        <v>125</v>
      </c>
      <c r="E295" t="s">
        <v>20</v>
      </c>
      <c r="F295" t="str">
        <f>"43537"</f>
        <v>43537</v>
      </c>
      <c r="G295" t="str">
        <f>"402018"</f>
        <v>402018</v>
      </c>
      <c r="H295" s="2">
        <f>14.28</f>
        <v>14.28</v>
      </c>
      <c r="I295" t="s">
        <v>27</v>
      </c>
      <c r="J295" t="s">
        <v>171</v>
      </c>
      <c r="K295" t="str">
        <f>"515874"</f>
        <v>515874</v>
      </c>
    </row>
    <row r="296" spans="1:11" x14ac:dyDescent="0.25">
      <c r="A296">
        <v>2021</v>
      </c>
      <c r="B296" t="s">
        <v>2048</v>
      </c>
      <c r="C296" t="s">
        <v>2049</v>
      </c>
      <c r="D296" t="s">
        <v>19</v>
      </c>
      <c r="E296" t="s">
        <v>20</v>
      </c>
      <c r="F296" t="str">
        <f>"43614"</f>
        <v>43614</v>
      </c>
      <c r="G296" t="str">
        <f>"402063"</f>
        <v>402063</v>
      </c>
      <c r="H296" s="2">
        <f>62.25</f>
        <v>62.25</v>
      </c>
      <c r="I296" t="s">
        <v>27</v>
      </c>
      <c r="J296" t="s">
        <v>71</v>
      </c>
      <c r="K296" t="str">
        <f>"22020107"</f>
        <v>22020107</v>
      </c>
    </row>
    <row r="297" spans="1:11" x14ac:dyDescent="0.25">
      <c r="A297">
        <v>2021</v>
      </c>
      <c r="B297" t="s">
        <v>2052</v>
      </c>
      <c r="C297" t="s">
        <v>2053</v>
      </c>
      <c r="D297" t="s">
        <v>19</v>
      </c>
      <c r="E297" t="s">
        <v>20</v>
      </c>
      <c r="F297" t="str">
        <f>"43605"</f>
        <v>43605</v>
      </c>
      <c r="G297" t="str">
        <f>"Pio448069"</f>
        <v>Pio448069</v>
      </c>
      <c r="H297" s="2">
        <f>2</f>
        <v>2</v>
      </c>
      <c r="I297" t="s">
        <v>86</v>
      </c>
      <c r="J297" t="s">
        <v>87</v>
      </c>
      <c r="K297" t="str">
        <f>"0"</f>
        <v>0</v>
      </c>
    </row>
    <row r="298" spans="1:11" x14ac:dyDescent="0.25">
      <c r="A298">
        <v>2021</v>
      </c>
      <c r="B298" t="s">
        <v>2054</v>
      </c>
      <c r="C298" t="s">
        <v>2055</v>
      </c>
      <c r="D298" t="s">
        <v>19</v>
      </c>
      <c r="E298" t="s">
        <v>20</v>
      </c>
      <c r="F298" t="str">
        <f>"43606"</f>
        <v>43606</v>
      </c>
      <c r="G298" t="str">
        <f>"402018"</f>
        <v>402018</v>
      </c>
      <c r="H298" s="2">
        <f>10</f>
        <v>10</v>
      </c>
      <c r="I298" t="s">
        <v>27</v>
      </c>
      <c r="J298" t="s">
        <v>171</v>
      </c>
      <c r="K298" t="str">
        <f>"518239"</f>
        <v>518239</v>
      </c>
    </row>
    <row r="299" spans="1:11" x14ac:dyDescent="0.25">
      <c r="A299">
        <v>2021</v>
      </c>
      <c r="B299" t="s">
        <v>2056</v>
      </c>
      <c r="C299" t="s">
        <v>2057</v>
      </c>
      <c r="D299" t="s">
        <v>19</v>
      </c>
      <c r="E299" t="s">
        <v>20</v>
      </c>
      <c r="F299" t="str">
        <f>"43605-1720"</f>
        <v>43605-1720</v>
      </c>
      <c r="G299" t="str">
        <f>"402019"</f>
        <v>402019</v>
      </c>
      <c r="H299" s="2">
        <f>10</f>
        <v>10</v>
      </c>
      <c r="I299" t="s">
        <v>27</v>
      </c>
      <c r="J299" t="s">
        <v>42</v>
      </c>
      <c r="K299" t="str">
        <f>"112592"</f>
        <v>112592</v>
      </c>
    </row>
    <row r="300" spans="1:11" x14ac:dyDescent="0.25">
      <c r="A300">
        <v>2021</v>
      </c>
      <c r="B300" t="s">
        <v>2068</v>
      </c>
      <c r="C300" t="s">
        <v>2069</v>
      </c>
      <c r="D300" t="s">
        <v>19</v>
      </c>
      <c r="E300" t="s">
        <v>20</v>
      </c>
      <c r="F300" t="str">
        <f>"43623-1714"</f>
        <v>43623-1714</v>
      </c>
      <c r="G300" t="str">
        <f>"402019"</f>
        <v>402019</v>
      </c>
      <c r="H300" s="2">
        <f>10</f>
        <v>10</v>
      </c>
      <c r="I300" t="s">
        <v>27</v>
      </c>
      <c r="J300" t="s">
        <v>42</v>
      </c>
      <c r="K300" t="str">
        <f>"112645"</f>
        <v>112645</v>
      </c>
    </row>
    <row r="301" spans="1:11" x14ac:dyDescent="0.25">
      <c r="A301">
        <v>2021</v>
      </c>
      <c r="B301" t="s">
        <v>2072</v>
      </c>
      <c r="C301" t="s">
        <v>2073</v>
      </c>
      <c r="D301" t="s">
        <v>58</v>
      </c>
      <c r="E301" t="s">
        <v>20</v>
      </c>
      <c r="F301" t="str">
        <f>"43616-9600"</f>
        <v>43616-9600</v>
      </c>
      <c r="G301" t="str">
        <f>"402019"</f>
        <v>402019</v>
      </c>
      <c r="H301" s="2">
        <f>50</f>
        <v>50</v>
      </c>
      <c r="I301" t="s">
        <v>27</v>
      </c>
      <c r="J301" t="s">
        <v>42</v>
      </c>
      <c r="K301" t="str">
        <f>"111434"</f>
        <v>111434</v>
      </c>
    </row>
    <row r="302" spans="1:11" x14ac:dyDescent="0.25">
      <c r="A302">
        <v>2021</v>
      </c>
      <c r="B302" t="s">
        <v>2072</v>
      </c>
      <c r="C302" t="s">
        <v>2073</v>
      </c>
      <c r="D302" t="s">
        <v>58</v>
      </c>
      <c r="E302" t="s">
        <v>20</v>
      </c>
      <c r="F302" t="str">
        <f>"43616-9600"</f>
        <v>43616-9600</v>
      </c>
      <c r="G302" t="str">
        <f>"402019"</f>
        <v>402019</v>
      </c>
      <c r="H302" s="2">
        <f>20</f>
        <v>20</v>
      </c>
      <c r="I302" t="s">
        <v>27</v>
      </c>
      <c r="J302" t="s">
        <v>42</v>
      </c>
      <c r="K302" t="str">
        <f>"111534"</f>
        <v>111534</v>
      </c>
    </row>
    <row r="303" spans="1:11" x14ac:dyDescent="0.25">
      <c r="A303">
        <v>2021</v>
      </c>
      <c r="B303" t="s">
        <v>2078</v>
      </c>
      <c r="C303" t="s">
        <v>895</v>
      </c>
      <c r="F303" t="str">
        <f>""</f>
        <v/>
      </c>
      <c r="G303" t="str">
        <f>"402063"</f>
        <v>402063</v>
      </c>
      <c r="H303" s="2">
        <f>10.73</f>
        <v>10.73</v>
      </c>
      <c r="I303" t="s">
        <v>27</v>
      </c>
      <c r="J303" t="s">
        <v>71</v>
      </c>
      <c r="K303" t="str">
        <f>"11002916"</f>
        <v>11002916</v>
      </c>
    </row>
    <row r="304" spans="1:11" x14ac:dyDescent="0.25">
      <c r="A304">
        <v>2021</v>
      </c>
      <c r="B304" t="s">
        <v>2083</v>
      </c>
      <c r="C304" t="s">
        <v>2084</v>
      </c>
      <c r="D304" t="s">
        <v>128</v>
      </c>
      <c r="E304" t="s">
        <v>20</v>
      </c>
      <c r="F304" t="str">
        <f>"43619"</f>
        <v>43619</v>
      </c>
      <c r="G304" t="str">
        <f>"Je110321"</f>
        <v>Je110321</v>
      </c>
      <c r="H304" s="2">
        <f>61.56</f>
        <v>61.56</v>
      </c>
      <c r="I304" t="s">
        <v>15</v>
      </c>
      <c r="J304" t="s">
        <v>596</v>
      </c>
      <c r="K304" t="str">
        <f>"60019930"</f>
        <v>60019930</v>
      </c>
    </row>
    <row r="305" spans="1:11" x14ac:dyDescent="0.25">
      <c r="A305">
        <v>2021</v>
      </c>
      <c r="B305" t="s">
        <v>2109</v>
      </c>
      <c r="C305" t="s">
        <v>2110</v>
      </c>
      <c r="D305" t="s">
        <v>2111</v>
      </c>
      <c r="E305" t="s">
        <v>1341</v>
      </c>
      <c r="F305" t="str">
        <f>"77036"</f>
        <v>77036</v>
      </c>
      <c r="G305" t="str">
        <f>"402018"</f>
        <v>402018</v>
      </c>
      <c r="H305" s="2">
        <f>50</f>
        <v>50</v>
      </c>
      <c r="I305" t="s">
        <v>27</v>
      </c>
      <c r="J305" t="s">
        <v>171</v>
      </c>
      <c r="K305" t="str">
        <f>"518264"</f>
        <v>518264</v>
      </c>
    </row>
    <row r="306" spans="1:11" x14ac:dyDescent="0.25">
      <c r="A306">
        <v>2021</v>
      </c>
      <c r="B306" t="s">
        <v>2109</v>
      </c>
      <c r="C306" t="s">
        <v>2110</v>
      </c>
      <c r="D306" t="s">
        <v>2111</v>
      </c>
      <c r="E306" t="s">
        <v>1341</v>
      </c>
      <c r="F306" t="str">
        <f>"77036"</f>
        <v>77036</v>
      </c>
      <c r="G306" t="str">
        <f>"402018"</f>
        <v>402018</v>
      </c>
      <c r="H306" s="2">
        <f>20</f>
        <v>20</v>
      </c>
      <c r="I306" t="s">
        <v>27</v>
      </c>
      <c r="J306" t="s">
        <v>171</v>
      </c>
      <c r="K306" t="str">
        <f>"515803"</f>
        <v>515803</v>
      </c>
    </row>
    <row r="307" spans="1:11" x14ac:dyDescent="0.25">
      <c r="A307">
        <v>2021</v>
      </c>
      <c r="B307" t="s">
        <v>2123</v>
      </c>
      <c r="C307" t="s">
        <v>2124</v>
      </c>
      <c r="D307" t="s">
        <v>19</v>
      </c>
      <c r="E307" t="s">
        <v>20</v>
      </c>
      <c r="F307" t="str">
        <f>"43623-4433"</f>
        <v>43623-4433</v>
      </c>
      <c r="G307" t="str">
        <f>"402019"</f>
        <v>402019</v>
      </c>
      <c r="H307" s="2">
        <f>10</f>
        <v>10</v>
      </c>
      <c r="I307" t="s">
        <v>27</v>
      </c>
      <c r="J307" t="s">
        <v>42</v>
      </c>
      <c r="K307" t="str">
        <f>"115825"</f>
        <v>115825</v>
      </c>
    </row>
    <row r="308" spans="1:11" x14ac:dyDescent="0.25">
      <c r="A308">
        <v>2021</v>
      </c>
      <c r="B308" t="s">
        <v>2133</v>
      </c>
      <c r="C308" t="s">
        <v>2134</v>
      </c>
      <c r="D308" t="s">
        <v>19</v>
      </c>
      <c r="E308" t="s">
        <v>20</v>
      </c>
      <c r="F308" t="str">
        <f>"43614"</f>
        <v>43614</v>
      </c>
      <c r="G308" t="str">
        <f>"Pio448069"</f>
        <v>Pio448069</v>
      </c>
      <c r="H308" s="2">
        <f>54.32</f>
        <v>54.32</v>
      </c>
      <c r="I308" t="s">
        <v>86</v>
      </c>
      <c r="J308" t="s">
        <v>87</v>
      </c>
      <c r="K308" t="str">
        <f>"0"</f>
        <v>0</v>
      </c>
    </row>
    <row r="309" spans="1:11" x14ac:dyDescent="0.25">
      <c r="A309">
        <v>2021</v>
      </c>
      <c r="B309" t="s">
        <v>2135</v>
      </c>
      <c r="C309" t="s">
        <v>2136</v>
      </c>
      <c r="D309" t="s">
        <v>19</v>
      </c>
      <c r="E309" t="s">
        <v>20</v>
      </c>
      <c r="F309" t="str">
        <f>"43608"</f>
        <v>43608</v>
      </c>
      <c r="G309" t="str">
        <f>"Pio448069"</f>
        <v>Pio448069</v>
      </c>
      <c r="H309" s="2">
        <f>7</f>
        <v>7</v>
      </c>
      <c r="I309" t="s">
        <v>86</v>
      </c>
      <c r="J309" t="s">
        <v>87</v>
      </c>
      <c r="K309" t="str">
        <f>"0"</f>
        <v>0</v>
      </c>
    </row>
    <row r="310" spans="1:11" x14ac:dyDescent="0.25">
      <c r="A310">
        <v>2021</v>
      </c>
      <c r="B310" t="s">
        <v>2137</v>
      </c>
      <c r="C310" t="s">
        <v>2138</v>
      </c>
      <c r="D310" t="s">
        <v>19</v>
      </c>
      <c r="E310" t="s">
        <v>20</v>
      </c>
      <c r="F310" t="str">
        <f>"43615"</f>
        <v>43615</v>
      </c>
      <c r="G310" t="str">
        <f>"Je110321"</f>
        <v>Je110321</v>
      </c>
      <c r="H310" s="2">
        <f>46.17</f>
        <v>46.17</v>
      </c>
      <c r="I310" t="s">
        <v>15</v>
      </c>
      <c r="J310" t="s">
        <v>596</v>
      </c>
      <c r="K310" t="str">
        <f>"60017409"</f>
        <v>60017409</v>
      </c>
    </row>
    <row r="311" spans="1:11" x14ac:dyDescent="0.25">
      <c r="A311">
        <v>2021</v>
      </c>
      <c r="B311" t="s">
        <v>2139</v>
      </c>
      <c r="C311" t="s">
        <v>2140</v>
      </c>
      <c r="D311" t="s">
        <v>19</v>
      </c>
      <c r="E311" t="s">
        <v>20</v>
      </c>
      <c r="F311" t="str">
        <f>"43609-2918"</f>
        <v>43609-2918</v>
      </c>
      <c r="G311" t="str">
        <f>"Swucf4621"</f>
        <v>Swucf4621</v>
      </c>
      <c r="H311" s="2">
        <f>55.47</f>
        <v>55.47</v>
      </c>
      <c r="I311" t="s">
        <v>15</v>
      </c>
      <c r="J311" t="s">
        <v>81</v>
      </c>
      <c r="K311" t="str">
        <f>"6295616"</f>
        <v>6295616</v>
      </c>
    </row>
    <row r="312" spans="1:11" x14ac:dyDescent="0.25">
      <c r="A312">
        <v>2021</v>
      </c>
      <c r="B312" t="s">
        <v>2137</v>
      </c>
      <c r="C312" t="s">
        <v>2138</v>
      </c>
      <c r="D312" t="s">
        <v>19</v>
      </c>
      <c r="E312" t="s">
        <v>20</v>
      </c>
      <c r="F312" t="str">
        <f>"43615"</f>
        <v>43615</v>
      </c>
      <c r="G312" t="str">
        <f>"Je092221"</f>
        <v>Je092221</v>
      </c>
      <c r="H312" s="2">
        <f>46.17</f>
        <v>46.17</v>
      </c>
      <c r="I312" t="s">
        <v>15</v>
      </c>
      <c r="J312" t="s">
        <v>114</v>
      </c>
      <c r="K312" t="str">
        <f>"60013075"</f>
        <v>60013075</v>
      </c>
    </row>
    <row r="313" spans="1:11" x14ac:dyDescent="0.25">
      <c r="A313">
        <v>2021</v>
      </c>
      <c r="B313" t="s">
        <v>2145</v>
      </c>
      <c r="C313" t="s">
        <v>2146</v>
      </c>
      <c r="D313" t="s">
        <v>19</v>
      </c>
      <c r="E313" t="s">
        <v>20</v>
      </c>
      <c r="F313" t="str">
        <f>"43612"</f>
        <v>43612</v>
      </c>
      <c r="G313" t="str">
        <f>"402018"</f>
        <v>402018</v>
      </c>
      <c r="H313" s="2">
        <f>32.5</f>
        <v>32.5</v>
      </c>
      <c r="I313" t="s">
        <v>27</v>
      </c>
      <c r="J313" t="s">
        <v>171</v>
      </c>
      <c r="K313" t="str">
        <f>"517018"</f>
        <v>517018</v>
      </c>
    </row>
    <row r="314" spans="1:11" x14ac:dyDescent="0.25">
      <c r="A314">
        <v>2021</v>
      </c>
      <c r="B314" t="s">
        <v>2145</v>
      </c>
      <c r="C314" t="s">
        <v>2146</v>
      </c>
      <c r="D314" t="s">
        <v>19</v>
      </c>
      <c r="E314" t="s">
        <v>20</v>
      </c>
      <c r="F314" t="str">
        <f>"43612"</f>
        <v>43612</v>
      </c>
      <c r="G314" t="str">
        <f>"402018"</f>
        <v>402018</v>
      </c>
      <c r="H314" s="2">
        <f>167.5</f>
        <v>167.5</v>
      </c>
      <c r="I314" t="s">
        <v>27</v>
      </c>
      <c r="J314" t="s">
        <v>171</v>
      </c>
      <c r="K314" t="str">
        <f>"518318"</f>
        <v>518318</v>
      </c>
    </row>
    <row r="315" spans="1:11" x14ac:dyDescent="0.25">
      <c r="A315">
        <v>2021</v>
      </c>
      <c r="B315" t="s">
        <v>2151</v>
      </c>
      <c r="C315" t="s">
        <v>2152</v>
      </c>
      <c r="D315" t="s">
        <v>19</v>
      </c>
      <c r="E315" t="s">
        <v>20</v>
      </c>
      <c r="F315" t="str">
        <f>"43615-7319"</f>
        <v>43615-7319</v>
      </c>
      <c r="G315" t="str">
        <f>"402019"</f>
        <v>402019</v>
      </c>
      <c r="H315" s="2">
        <f>20</f>
        <v>20</v>
      </c>
      <c r="I315" t="s">
        <v>27</v>
      </c>
      <c r="J315" t="s">
        <v>42</v>
      </c>
      <c r="K315" t="str">
        <f>"112372"</f>
        <v>112372</v>
      </c>
    </row>
    <row r="316" spans="1:11" x14ac:dyDescent="0.25">
      <c r="A316">
        <v>2021</v>
      </c>
      <c r="B316" t="s">
        <v>2161</v>
      </c>
      <c r="C316" t="s">
        <v>2162</v>
      </c>
      <c r="D316" t="s">
        <v>19</v>
      </c>
      <c r="E316" t="s">
        <v>20</v>
      </c>
      <c r="F316" t="str">
        <f>"43623-2826"</f>
        <v>43623-2826</v>
      </c>
      <c r="G316" t="str">
        <f>"402019"</f>
        <v>402019</v>
      </c>
      <c r="H316" s="2">
        <f>10</f>
        <v>10</v>
      </c>
      <c r="I316" t="s">
        <v>27</v>
      </c>
      <c r="J316" t="s">
        <v>42</v>
      </c>
      <c r="K316" t="str">
        <f>"115389"</f>
        <v>115389</v>
      </c>
    </row>
    <row r="317" spans="1:11" x14ac:dyDescent="0.25">
      <c r="A317">
        <v>2021</v>
      </c>
      <c r="B317" t="s">
        <v>2163</v>
      </c>
      <c r="C317" t="s">
        <v>2164</v>
      </c>
      <c r="D317" t="s">
        <v>2165</v>
      </c>
      <c r="E317" t="s">
        <v>418</v>
      </c>
      <c r="F317" t="str">
        <f>"60409"</f>
        <v>60409</v>
      </c>
      <c r="G317" t="str">
        <f>"Bwucf4621"</f>
        <v>Bwucf4621</v>
      </c>
      <c r="H317" s="2">
        <f>0.54</f>
        <v>0.54</v>
      </c>
      <c r="I317" t="s">
        <v>15</v>
      </c>
      <c r="J317" t="s">
        <v>295</v>
      </c>
      <c r="K317" t="str">
        <f>"01433384"</f>
        <v>01433384</v>
      </c>
    </row>
    <row r="318" spans="1:11" x14ac:dyDescent="0.25">
      <c r="A318">
        <v>2021</v>
      </c>
      <c r="B318" t="s">
        <v>2168</v>
      </c>
      <c r="C318" t="s">
        <v>2169</v>
      </c>
      <c r="D318" t="s">
        <v>2170</v>
      </c>
      <c r="E318" t="s">
        <v>14</v>
      </c>
      <c r="F318" t="str">
        <f>"48133"</f>
        <v>48133</v>
      </c>
      <c r="G318" t="str">
        <f>"Swucf4621"</f>
        <v>Swucf4621</v>
      </c>
      <c r="H318" s="2">
        <f>18.45</f>
        <v>18.45</v>
      </c>
      <c r="I318" t="s">
        <v>15</v>
      </c>
      <c r="J318" t="s">
        <v>81</v>
      </c>
      <c r="K318" t="str">
        <f>"6291813"</f>
        <v>6291813</v>
      </c>
    </row>
    <row r="319" spans="1:11" x14ac:dyDescent="0.25">
      <c r="A319">
        <v>2021</v>
      </c>
      <c r="B319" t="s">
        <v>2171</v>
      </c>
      <c r="C319" t="s">
        <v>2172</v>
      </c>
      <c r="D319" t="s">
        <v>19</v>
      </c>
      <c r="E319" t="s">
        <v>20</v>
      </c>
      <c r="F319" t="str">
        <f>"43607-2234"</f>
        <v>43607-2234</v>
      </c>
      <c r="G319" t="str">
        <f>"402019"</f>
        <v>402019</v>
      </c>
      <c r="H319" s="2">
        <f>10</f>
        <v>10</v>
      </c>
      <c r="I319" t="s">
        <v>27</v>
      </c>
      <c r="J319" t="s">
        <v>42</v>
      </c>
      <c r="K319" t="str">
        <f>"112164"</f>
        <v>112164</v>
      </c>
    </row>
    <row r="320" spans="1:11" x14ac:dyDescent="0.25">
      <c r="A320">
        <v>2021</v>
      </c>
      <c r="B320" t="s">
        <v>2175</v>
      </c>
      <c r="C320" t="s">
        <v>2176</v>
      </c>
      <c r="D320" t="s">
        <v>19</v>
      </c>
      <c r="E320" t="s">
        <v>20</v>
      </c>
      <c r="F320" t="str">
        <f>"43614-4952"</f>
        <v>43614-4952</v>
      </c>
      <c r="G320" t="str">
        <f>"402019"</f>
        <v>402019</v>
      </c>
      <c r="H320" s="2">
        <f>10</f>
        <v>10</v>
      </c>
      <c r="I320" t="s">
        <v>27</v>
      </c>
      <c r="J320" t="s">
        <v>42</v>
      </c>
      <c r="K320" t="str">
        <f>"112678"</f>
        <v>112678</v>
      </c>
    </row>
    <row r="321" spans="1:11" x14ac:dyDescent="0.25">
      <c r="A321">
        <v>2021</v>
      </c>
      <c r="B321" t="s">
        <v>2183</v>
      </c>
      <c r="C321" t="s">
        <v>2184</v>
      </c>
      <c r="D321" t="s">
        <v>19</v>
      </c>
      <c r="E321" t="s">
        <v>20</v>
      </c>
      <c r="F321" t="str">
        <f>"43611-1010"</f>
        <v>43611-1010</v>
      </c>
      <c r="G321" t="str">
        <f>"402019"</f>
        <v>402019</v>
      </c>
      <c r="H321" s="2">
        <f>20</f>
        <v>20</v>
      </c>
      <c r="I321" t="s">
        <v>27</v>
      </c>
      <c r="J321" t="s">
        <v>42</v>
      </c>
      <c r="K321" t="str">
        <f>"115632"</f>
        <v>115632</v>
      </c>
    </row>
    <row r="322" spans="1:11" x14ac:dyDescent="0.25">
      <c r="A322">
        <v>2021</v>
      </c>
      <c r="B322" t="s">
        <v>2187</v>
      </c>
      <c r="C322" t="s">
        <v>2188</v>
      </c>
      <c r="D322" t="s">
        <v>19</v>
      </c>
      <c r="E322" t="s">
        <v>20</v>
      </c>
      <c r="F322" t="str">
        <f>"43614-2035"</f>
        <v>43614-2035</v>
      </c>
      <c r="G322" t="str">
        <f>"402019"</f>
        <v>402019</v>
      </c>
      <c r="H322" s="2">
        <f>20</f>
        <v>20</v>
      </c>
      <c r="I322" t="s">
        <v>27</v>
      </c>
      <c r="J322" t="s">
        <v>42</v>
      </c>
      <c r="K322" t="str">
        <f>"113198"</f>
        <v>113198</v>
      </c>
    </row>
    <row r="323" spans="1:11" x14ac:dyDescent="0.25">
      <c r="A323">
        <v>2021</v>
      </c>
      <c r="B323" t="s">
        <v>2193</v>
      </c>
      <c r="C323" t="s">
        <v>2194</v>
      </c>
      <c r="D323" t="s">
        <v>19</v>
      </c>
      <c r="E323" t="s">
        <v>20</v>
      </c>
      <c r="F323" t="str">
        <f>"43613"</f>
        <v>43613</v>
      </c>
      <c r="G323" t="str">
        <f>"402017"</f>
        <v>402017</v>
      </c>
      <c r="H323" s="2">
        <f>48.75</f>
        <v>48.75</v>
      </c>
      <c r="I323" t="s">
        <v>27</v>
      </c>
      <c r="J323" t="s">
        <v>212</v>
      </c>
      <c r="K323" t="str">
        <f>"35289"</f>
        <v>35289</v>
      </c>
    </row>
    <row r="324" spans="1:11" x14ac:dyDescent="0.25">
      <c r="A324">
        <v>2021</v>
      </c>
      <c r="B324" t="s">
        <v>2208</v>
      </c>
      <c r="C324" t="s">
        <v>2209</v>
      </c>
      <c r="D324" t="s">
        <v>19</v>
      </c>
      <c r="E324" t="s">
        <v>20</v>
      </c>
      <c r="F324" t="str">
        <f>"43606"</f>
        <v>43606</v>
      </c>
      <c r="G324" t="str">
        <f>"Pio448069"</f>
        <v>Pio448069</v>
      </c>
      <c r="H324" s="2">
        <f>1.62</f>
        <v>1.62</v>
      </c>
      <c r="I324" t="s">
        <v>86</v>
      </c>
      <c r="J324" t="s">
        <v>87</v>
      </c>
      <c r="K324" t="str">
        <f>"0"</f>
        <v>0</v>
      </c>
    </row>
    <row r="325" spans="1:11" x14ac:dyDescent="0.25">
      <c r="A325">
        <v>2021</v>
      </c>
      <c r="B325" t="s">
        <v>2224</v>
      </c>
      <c r="C325" t="s">
        <v>2225</v>
      </c>
      <c r="D325" t="s">
        <v>19</v>
      </c>
      <c r="E325" t="s">
        <v>20</v>
      </c>
      <c r="F325" t="str">
        <f>"43614-3748"</f>
        <v>43614-3748</v>
      </c>
      <c r="G325" t="str">
        <f>"402019"</f>
        <v>402019</v>
      </c>
      <c r="H325" s="2">
        <f>20</f>
        <v>20</v>
      </c>
      <c r="I325" t="s">
        <v>27</v>
      </c>
      <c r="J325" t="s">
        <v>42</v>
      </c>
      <c r="K325" t="str">
        <f>"115304"</f>
        <v>115304</v>
      </c>
    </row>
    <row r="326" spans="1:11" x14ac:dyDescent="0.25">
      <c r="A326">
        <v>2021</v>
      </c>
      <c r="B326" t="s">
        <v>2228</v>
      </c>
      <c r="C326" t="s">
        <v>2229</v>
      </c>
      <c r="D326" t="s">
        <v>19</v>
      </c>
      <c r="E326" t="s">
        <v>20</v>
      </c>
      <c r="F326" t="str">
        <f>"43612"</f>
        <v>43612</v>
      </c>
      <c r="G326" t="str">
        <f>"Je110321"</f>
        <v>Je110321</v>
      </c>
      <c r="H326" s="2">
        <f>456.22</f>
        <v>456.22</v>
      </c>
      <c r="I326" t="s">
        <v>15</v>
      </c>
      <c r="J326" t="s">
        <v>596</v>
      </c>
      <c r="K326" t="str">
        <f>"60021402"</f>
        <v>60021402</v>
      </c>
    </row>
    <row r="327" spans="1:11" x14ac:dyDescent="0.25">
      <c r="A327">
        <v>2021</v>
      </c>
      <c r="B327" t="s">
        <v>2232</v>
      </c>
      <c r="C327" t="s">
        <v>2233</v>
      </c>
      <c r="D327" t="s">
        <v>1729</v>
      </c>
      <c r="E327" t="s">
        <v>20</v>
      </c>
      <c r="F327" t="str">
        <f>"45417"</f>
        <v>45417</v>
      </c>
      <c r="G327" t="str">
        <f>"Pio448069"</f>
        <v>Pio448069</v>
      </c>
      <c r="H327" s="2">
        <f>20</f>
        <v>20</v>
      </c>
      <c r="I327" t="s">
        <v>86</v>
      </c>
      <c r="J327" t="s">
        <v>87</v>
      </c>
      <c r="K327" t="str">
        <f>"0"</f>
        <v>0</v>
      </c>
    </row>
    <row r="328" spans="1:11" x14ac:dyDescent="0.25">
      <c r="A328">
        <v>2021</v>
      </c>
      <c r="B328" t="s">
        <v>2236</v>
      </c>
      <c r="C328" t="s">
        <v>2237</v>
      </c>
      <c r="D328" t="s">
        <v>19</v>
      </c>
      <c r="E328" t="s">
        <v>20</v>
      </c>
      <c r="F328" t="str">
        <f>"43615"</f>
        <v>43615</v>
      </c>
      <c r="G328" t="str">
        <f>"402018"</f>
        <v>402018</v>
      </c>
      <c r="H328" s="2">
        <f>30</f>
        <v>30</v>
      </c>
      <c r="I328" t="s">
        <v>27</v>
      </c>
      <c r="J328" t="s">
        <v>171</v>
      </c>
      <c r="K328" t="str">
        <f>"517413"</f>
        <v>517413</v>
      </c>
    </row>
    <row r="329" spans="1:11" x14ac:dyDescent="0.25">
      <c r="A329">
        <v>2021</v>
      </c>
      <c r="B329" t="s">
        <v>2236</v>
      </c>
      <c r="C329" t="s">
        <v>2237</v>
      </c>
      <c r="D329" t="s">
        <v>19</v>
      </c>
      <c r="E329" t="s">
        <v>20</v>
      </c>
      <c r="F329" t="str">
        <f>"43615"</f>
        <v>43615</v>
      </c>
      <c r="G329" t="str">
        <f>"402018"</f>
        <v>402018</v>
      </c>
      <c r="H329" s="2">
        <f>30</f>
        <v>30</v>
      </c>
      <c r="I329" t="s">
        <v>27</v>
      </c>
      <c r="J329" t="s">
        <v>171</v>
      </c>
      <c r="K329" t="str">
        <f>"517120"</f>
        <v>517120</v>
      </c>
    </row>
    <row r="330" spans="1:11" x14ac:dyDescent="0.25">
      <c r="A330">
        <v>2021</v>
      </c>
      <c r="B330" t="s">
        <v>2236</v>
      </c>
      <c r="C330" t="s">
        <v>2237</v>
      </c>
      <c r="D330" t="s">
        <v>19</v>
      </c>
      <c r="E330" t="s">
        <v>20</v>
      </c>
      <c r="F330" t="str">
        <f>"43615"</f>
        <v>43615</v>
      </c>
      <c r="G330" t="str">
        <f>"402018"</f>
        <v>402018</v>
      </c>
      <c r="H330" s="2">
        <f>30</f>
        <v>30</v>
      </c>
      <c r="I330" t="s">
        <v>27</v>
      </c>
      <c r="J330" t="s">
        <v>171</v>
      </c>
      <c r="K330" t="str">
        <f>"518295"</f>
        <v>518295</v>
      </c>
    </row>
    <row r="331" spans="1:11" x14ac:dyDescent="0.25">
      <c r="A331">
        <v>2021</v>
      </c>
      <c r="B331" t="s">
        <v>2236</v>
      </c>
      <c r="C331" t="s">
        <v>2237</v>
      </c>
      <c r="D331" t="s">
        <v>19</v>
      </c>
      <c r="E331" t="s">
        <v>20</v>
      </c>
      <c r="F331" t="str">
        <f>"43615"</f>
        <v>43615</v>
      </c>
      <c r="G331" t="str">
        <f>"402018"</f>
        <v>402018</v>
      </c>
      <c r="H331" s="2">
        <f>30</f>
        <v>30</v>
      </c>
      <c r="I331" t="s">
        <v>27</v>
      </c>
      <c r="J331" t="s">
        <v>171</v>
      </c>
      <c r="K331" t="str">
        <f>"517836"</f>
        <v>517836</v>
      </c>
    </row>
    <row r="332" spans="1:11" x14ac:dyDescent="0.25">
      <c r="A332">
        <v>2021</v>
      </c>
      <c r="B332" t="s">
        <v>2236</v>
      </c>
      <c r="C332" t="s">
        <v>2237</v>
      </c>
      <c r="D332" t="s">
        <v>19</v>
      </c>
      <c r="E332" t="s">
        <v>20</v>
      </c>
      <c r="F332" t="str">
        <f>"43615"</f>
        <v>43615</v>
      </c>
      <c r="G332" t="str">
        <f>"402018"</f>
        <v>402018</v>
      </c>
      <c r="H332" s="2">
        <f>25</f>
        <v>25</v>
      </c>
      <c r="I332" t="s">
        <v>27</v>
      </c>
      <c r="J332" t="s">
        <v>171</v>
      </c>
      <c r="K332" t="str">
        <f>"517962"</f>
        <v>517962</v>
      </c>
    </row>
    <row r="333" spans="1:11" x14ac:dyDescent="0.25">
      <c r="A333">
        <v>2021</v>
      </c>
      <c r="B333" t="s">
        <v>2248</v>
      </c>
      <c r="C333" t="s">
        <v>2249</v>
      </c>
      <c r="D333" t="s">
        <v>19</v>
      </c>
      <c r="E333" t="s">
        <v>20</v>
      </c>
      <c r="F333" t="str">
        <f>"43605-2621"</f>
        <v>43605-2621</v>
      </c>
      <c r="G333" t="str">
        <f>"402019"</f>
        <v>402019</v>
      </c>
      <c r="H333" s="2">
        <f>10</f>
        <v>10</v>
      </c>
      <c r="I333" t="s">
        <v>27</v>
      </c>
      <c r="J333" t="s">
        <v>42</v>
      </c>
      <c r="K333" t="str">
        <f>"115385"</f>
        <v>115385</v>
      </c>
    </row>
    <row r="334" spans="1:11" x14ac:dyDescent="0.25">
      <c r="A334">
        <v>2021</v>
      </c>
      <c r="B334" t="s">
        <v>2250</v>
      </c>
      <c r="C334" t="s">
        <v>2251</v>
      </c>
      <c r="D334" t="s">
        <v>125</v>
      </c>
      <c r="E334" t="s">
        <v>20</v>
      </c>
      <c r="F334" t="str">
        <f>"43537-1025"</f>
        <v>43537-1025</v>
      </c>
      <c r="G334" t="str">
        <f>"402019"</f>
        <v>402019</v>
      </c>
      <c r="H334" s="2">
        <f>20</f>
        <v>20</v>
      </c>
      <c r="I334" t="s">
        <v>27</v>
      </c>
      <c r="J334" t="s">
        <v>42</v>
      </c>
      <c r="K334" t="str">
        <f>"113182"</f>
        <v>113182</v>
      </c>
    </row>
    <row r="335" spans="1:11" x14ac:dyDescent="0.25">
      <c r="A335">
        <v>2021</v>
      </c>
      <c r="B335" t="s">
        <v>2254</v>
      </c>
      <c r="C335" t="s">
        <v>2255</v>
      </c>
      <c r="D335" t="s">
        <v>19</v>
      </c>
      <c r="E335" t="s">
        <v>20</v>
      </c>
      <c r="F335" t="str">
        <f>"43613-5002"</f>
        <v>43613-5002</v>
      </c>
      <c r="G335" t="str">
        <f>"402019"</f>
        <v>402019</v>
      </c>
      <c r="H335" s="2">
        <f>10</f>
        <v>10</v>
      </c>
      <c r="I335" t="s">
        <v>27</v>
      </c>
      <c r="J335" t="s">
        <v>42</v>
      </c>
      <c r="K335" t="str">
        <f>"111906"</f>
        <v>111906</v>
      </c>
    </row>
    <row r="336" spans="1:11" x14ac:dyDescent="0.25">
      <c r="A336">
        <v>2021</v>
      </c>
      <c r="B336" t="s">
        <v>2264</v>
      </c>
      <c r="C336" t="s">
        <v>2265</v>
      </c>
      <c r="D336" t="s">
        <v>19</v>
      </c>
      <c r="E336" t="s">
        <v>20</v>
      </c>
      <c r="F336" t="str">
        <f>"43620-1153"</f>
        <v>43620-1153</v>
      </c>
      <c r="G336" t="str">
        <f>"Swucf4621"</f>
        <v>Swucf4621</v>
      </c>
      <c r="H336" s="2">
        <f>50.29</f>
        <v>50.29</v>
      </c>
      <c r="I336" t="s">
        <v>15</v>
      </c>
      <c r="J336" t="s">
        <v>81</v>
      </c>
      <c r="K336" t="str">
        <f>"6293408"</f>
        <v>6293408</v>
      </c>
    </row>
    <row r="337" spans="1:11" x14ac:dyDescent="0.25">
      <c r="A337">
        <v>2021</v>
      </c>
      <c r="B337" t="s">
        <v>2266</v>
      </c>
      <c r="C337" t="s">
        <v>2267</v>
      </c>
      <c r="D337" t="s">
        <v>19</v>
      </c>
      <c r="E337" t="s">
        <v>20</v>
      </c>
      <c r="F337" t="str">
        <f>"43612"</f>
        <v>43612</v>
      </c>
      <c r="G337" t="str">
        <f>"Je092221"</f>
        <v>Je092221</v>
      </c>
      <c r="H337" s="2">
        <f>75</f>
        <v>75</v>
      </c>
      <c r="I337" t="s">
        <v>15</v>
      </c>
      <c r="J337" t="s">
        <v>114</v>
      </c>
      <c r="K337" t="str">
        <f>"60010753"</f>
        <v>60010753</v>
      </c>
    </row>
    <row r="338" spans="1:11" x14ac:dyDescent="0.25">
      <c r="A338">
        <v>2021</v>
      </c>
      <c r="B338" t="s">
        <v>2270</v>
      </c>
      <c r="C338" t="s">
        <v>2271</v>
      </c>
      <c r="D338" t="s">
        <v>19</v>
      </c>
      <c r="E338" t="s">
        <v>20</v>
      </c>
      <c r="F338" t="str">
        <f>"43605-2547"</f>
        <v>43605-2547</v>
      </c>
      <c r="G338" t="str">
        <f>"402019"</f>
        <v>402019</v>
      </c>
      <c r="H338" s="2">
        <f>20</f>
        <v>20</v>
      </c>
      <c r="I338" t="s">
        <v>27</v>
      </c>
      <c r="J338" t="s">
        <v>42</v>
      </c>
      <c r="K338" t="str">
        <f>"113024"</f>
        <v>113024</v>
      </c>
    </row>
    <row r="339" spans="1:11" x14ac:dyDescent="0.25">
      <c r="A339">
        <v>2021</v>
      </c>
      <c r="B339" t="s">
        <v>2276</v>
      </c>
      <c r="C339" t="s">
        <v>2277</v>
      </c>
      <c r="D339" t="s">
        <v>19</v>
      </c>
      <c r="E339" t="s">
        <v>20</v>
      </c>
      <c r="F339" t="str">
        <f>"43614"</f>
        <v>43614</v>
      </c>
      <c r="G339" t="str">
        <f>"Swucf4621"</f>
        <v>Swucf4621</v>
      </c>
      <c r="H339" s="2">
        <f>160</f>
        <v>160</v>
      </c>
      <c r="I339" t="s">
        <v>15</v>
      </c>
      <c r="J339" t="s">
        <v>81</v>
      </c>
      <c r="K339" t="str">
        <f>"6296649"</f>
        <v>6296649</v>
      </c>
    </row>
    <row r="340" spans="1:11" x14ac:dyDescent="0.25">
      <c r="A340">
        <v>2021</v>
      </c>
      <c r="B340" t="s">
        <v>2282</v>
      </c>
      <c r="C340" t="s">
        <v>2283</v>
      </c>
      <c r="D340" t="s">
        <v>50</v>
      </c>
      <c r="E340" t="s">
        <v>20</v>
      </c>
      <c r="F340" t="str">
        <f>"43560-8507"</f>
        <v>43560-8507</v>
      </c>
      <c r="G340" t="str">
        <f>"402019"</f>
        <v>402019</v>
      </c>
      <c r="H340" s="2">
        <f>20</f>
        <v>20</v>
      </c>
      <c r="I340" t="s">
        <v>27</v>
      </c>
      <c r="J340" t="s">
        <v>42</v>
      </c>
      <c r="K340" t="str">
        <f>"112907"</f>
        <v>112907</v>
      </c>
    </row>
    <row r="341" spans="1:11" x14ac:dyDescent="0.25">
      <c r="A341">
        <v>2021</v>
      </c>
      <c r="B341" t="s">
        <v>2288</v>
      </c>
      <c r="C341" t="s">
        <v>2289</v>
      </c>
      <c r="D341" t="s">
        <v>19</v>
      </c>
      <c r="E341" t="s">
        <v>20</v>
      </c>
      <c r="F341" t="str">
        <f>"43612-2263"</f>
        <v>43612-2263</v>
      </c>
      <c r="G341" t="str">
        <f>"402019"</f>
        <v>402019</v>
      </c>
      <c r="H341" s="2">
        <f>10</f>
        <v>10</v>
      </c>
      <c r="I341" t="s">
        <v>27</v>
      </c>
      <c r="J341" t="s">
        <v>42</v>
      </c>
      <c r="K341" t="str">
        <f>"115362"</f>
        <v>115362</v>
      </c>
    </row>
    <row r="342" spans="1:11" x14ac:dyDescent="0.25">
      <c r="A342">
        <v>2021</v>
      </c>
      <c r="B342" t="s">
        <v>2290</v>
      </c>
      <c r="C342" t="s">
        <v>2291</v>
      </c>
      <c r="D342" t="s">
        <v>19</v>
      </c>
      <c r="E342" t="s">
        <v>20</v>
      </c>
      <c r="F342" t="str">
        <f>"43613-1946"</f>
        <v>43613-1946</v>
      </c>
      <c r="G342" t="str">
        <f>"402019"</f>
        <v>402019</v>
      </c>
      <c r="H342" s="2">
        <f>10</f>
        <v>10</v>
      </c>
      <c r="I342" t="s">
        <v>27</v>
      </c>
      <c r="J342" t="s">
        <v>42</v>
      </c>
      <c r="K342" t="str">
        <f>"115595"</f>
        <v>115595</v>
      </c>
    </row>
    <row r="343" spans="1:11" x14ac:dyDescent="0.25">
      <c r="A343">
        <v>2021</v>
      </c>
      <c r="B343" t="s">
        <v>2298</v>
      </c>
      <c r="C343" t="s">
        <v>2299</v>
      </c>
      <c r="D343" t="s">
        <v>19</v>
      </c>
      <c r="E343" t="s">
        <v>20</v>
      </c>
      <c r="F343" t="str">
        <f>"43613-1528"</f>
        <v>43613-1528</v>
      </c>
      <c r="G343" t="str">
        <f>"402019"</f>
        <v>402019</v>
      </c>
      <c r="H343" s="2">
        <f>10</f>
        <v>10</v>
      </c>
      <c r="I343" t="s">
        <v>27</v>
      </c>
      <c r="J343" t="s">
        <v>42</v>
      </c>
      <c r="K343" t="str">
        <f>"111355"</f>
        <v>111355</v>
      </c>
    </row>
    <row r="344" spans="1:11" x14ac:dyDescent="0.25">
      <c r="A344">
        <v>2021</v>
      </c>
      <c r="B344" t="s">
        <v>2304</v>
      </c>
      <c r="C344" t="s">
        <v>2305</v>
      </c>
      <c r="D344" t="s">
        <v>19</v>
      </c>
      <c r="E344" t="s">
        <v>20</v>
      </c>
      <c r="F344" t="str">
        <f>"43606-1861"</f>
        <v>43606-1861</v>
      </c>
      <c r="G344" t="str">
        <f>"402019"</f>
        <v>402019</v>
      </c>
      <c r="H344" s="2">
        <f>10</f>
        <v>10</v>
      </c>
      <c r="I344" t="s">
        <v>27</v>
      </c>
      <c r="J344" t="s">
        <v>42</v>
      </c>
      <c r="K344" t="str">
        <f>"114471"</f>
        <v>114471</v>
      </c>
    </row>
    <row r="345" spans="1:11" x14ac:dyDescent="0.25">
      <c r="A345">
        <v>2021</v>
      </c>
      <c r="B345" t="s">
        <v>2321</v>
      </c>
      <c r="C345" t="s">
        <v>2322</v>
      </c>
      <c r="D345" t="s">
        <v>50</v>
      </c>
      <c r="E345" t="s">
        <v>20</v>
      </c>
      <c r="F345" t="str">
        <f>"43560"</f>
        <v>43560</v>
      </c>
      <c r="G345" t="str">
        <f>"Je092221"</f>
        <v>Je092221</v>
      </c>
      <c r="H345" s="2">
        <f>30.78</f>
        <v>30.78</v>
      </c>
      <c r="I345" t="s">
        <v>15</v>
      </c>
      <c r="J345" t="s">
        <v>114</v>
      </c>
      <c r="K345" t="str">
        <f>"60015176"</f>
        <v>60015176</v>
      </c>
    </row>
    <row r="346" spans="1:11" x14ac:dyDescent="0.25">
      <c r="A346">
        <v>2021</v>
      </c>
      <c r="B346" t="s">
        <v>2329</v>
      </c>
      <c r="C346" t="s">
        <v>2330</v>
      </c>
      <c r="D346" t="s">
        <v>19</v>
      </c>
      <c r="E346" t="s">
        <v>20</v>
      </c>
      <c r="F346" t="str">
        <f>"43605-2406"</f>
        <v>43605-2406</v>
      </c>
      <c r="G346" t="str">
        <f>"402019"</f>
        <v>402019</v>
      </c>
      <c r="H346" s="2">
        <f>10</f>
        <v>10</v>
      </c>
      <c r="I346" t="s">
        <v>27</v>
      </c>
      <c r="J346" t="s">
        <v>42</v>
      </c>
      <c r="K346" t="str">
        <f>"113475"</f>
        <v>113475</v>
      </c>
    </row>
    <row r="347" spans="1:11" x14ac:dyDescent="0.25">
      <c r="A347">
        <v>2021</v>
      </c>
      <c r="B347" t="s">
        <v>2345</v>
      </c>
      <c r="C347" t="s">
        <v>2346</v>
      </c>
      <c r="D347" t="s">
        <v>19</v>
      </c>
      <c r="E347" t="s">
        <v>20</v>
      </c>
      <c r="F347" t="str">
        <f>"43623-2245"</f>
        <v>43623-2245</v>
      </c>
      <c r="G347" t="str">
        <f>"402019"</f>
        <v>402019</v>
      </c>
      <c r="H347" s="2">
        <f>40</f>
        <v>40</v>
      </c>
      <c r="I347" t="s">
        <v>27</v>
      </c>
      <c r="J347" t="s">
        <v>42</v>
      </c>
      <c r="K347" t="str">
        <f>"114863"</f>
        <v>114863</v>
      </c>
    </row>
    <row r="348" spans="1:11" x14ac:dyDescent="0.25">
      <c r="A348">
        <v>2021</v>
      </c>
      <c r="B348" t="s">
        <v>2359</v>
      </c>
      <c r="C348" t="s">
        <v>153</v>
      </c>
      <c r="D348" t="s">
        <v>19</v>
      </c>
      <c r="E348" t="s">
        <v>20</v>
      </c>
      <c r="F348" t="str">
        <f>"43604"</f>
        <v>43604</v>
      </c>
      <c r="G348" t="str">
        <f>"Pio448069"</f>
        <v>Pio448069</v>
      </c>
      <c r="H348" s="2">
        <f>5</f>
        <v>5</v>
      </c>
      <c r="I348" t="s">
        <v>86</v>
      </c>
      <c r="J348" t="s">
        <v>87</v>
      </c>
      <c r="K348" t="str">
        <f>"0"</f>
        <v>0</v>
      </c>
    </row>
    <row r="349" spans="1:11" x14ac:dyDescent="0.25">
      <c r="A349">
        <v>2021</v>
      </c>
      <c r="B349" t="s">
        <v>2368</v>
      </c>
      <c r="C349" t="s">
        <v>2369</v>
      </c>
      <c r="D349" t="s">
        <v>2370</v>
      </c>
      <c r="E349" t="s">
        <v>1837</v>
      </c>
      <c r="F349" t="str">
        <f>"12601"</f>
        <v>12601</v>
      </c>
      <c r="G349" t="str">
        <f>"402018"</f>
        <v>402018</v>
      </c>
      <c r="H349" s="2">
        <f>60</f>
        <v>60</v>
      </c>
      <c r="I349" t="s">
        <v>27</v>
      </c>
      <c r="J349" t="s">
        <v>171</v>
      </c>
      <c r="K349" t="str">
        <f>"517150"</f>
        <v>517150</v>
      </c>
    </row>
    <row r="350" spans="1:11" x14ac:dyDescent="0.25">
      <c r="A350">
        <v>2021</v>
      </c>
      <c r="B350" t="s">
        <v>2371</v>
      </c>
      <c r="C350" t="s">
        <v>2372</v>
      </c>
      <c r="D350" t="s">
        <v>19</v>
      </c>
      <c r="E350" t="s">
        <v>20</v>
      </c>
      <c r="F350" t="str">
        <f>"43617-2206"</f>
        <v>43617-2206</v>
      </c>
      <c r="G350" t="str">
        <f>"402019"</f>
        <v>402019</v>
      </c>
      <c r="H350" s="2">
        <f>20</f>
        <v>20</v>
      </c>
      <c r="I350" t="s">
        <v>27</v>
      </c>
      <c r="J350" t="s">
        <v>42</v>
      </c>
      <c r="K350" t="str">
        <f>"116017"</f>
        <v>116017</v>
      </c>
    </row>
    <row r="351" spans="1:11" x14ac:dyDescent="0.25">
      <c r="A351">
        <v>2021</v>
      </c>
      <c r="B351" t="s">
        <v>2387</v>
      </c>
      <c r="C351" t="s">
        <v>2388</v>
      </c>
      <c r="D351" t="s">
        <v>997</v>
      </c>
      <c r="E351" t="s">
        <v>418</v>
      </c>
      <c r="F351" t="str">
        <f t="shared" ref="F351:F362" si="6">"60631"</f>
        <v>60631</v>
      </c>
      <c r="G351" t="str">
        <f t="shared" ref="G351:G362" si="7">"402018"</f>
        <v>402018</v>
      </c>
      <c r="H351" s="2">
        <f>5</f>
        <v>5</v>
      </c>
      <c r="I351" t="s">
        <v>27</v>
      </c>
      <c r="J351" t="s">
        <v>171</v>
      </c>
      <c r="K351" t="str">
        <f>"515507"</f>
        <v>515507</v>
      </c>
    </row>
    <row r="352" spans="1:11" x14ac:dyDescent="0.25">
      <c r="A352">
        <v>2021</v>
      </c>
      <c r="B352" t="s">
        <v>2387</v>
      </c>
      <c r="C352" t="s">
        <v>2388</v>
      </c>
      <c r="D352" t="s">
        <v>997</v>
      </c>
      <c r="E352" t="s">
        <v>418</v>
      </c>
      <c r="F352" t="str">
        <f t="shared" si="6"/>
        <v>60631</v>
      </c>
      <c r="G352" t="str">
        <f t="shared" si="7"/>
        <v>402018</v>
      </c>
      <c r="H352" s="2">
        <f>5</f>
        <v>5</v>
      </c>
      <c r="I352" t="s">
        <v>27</v>
      </c>
      <c r="J352" t="s">
        <v>171</v>
      </c>
      <c r="K352" t="str">
        <f>"516614"</f>
        <v>516614</v>
      </c>
    </row>
    <row r="353" spans="1:11" x14ac:dyDescent="0.25">
      <c r="A353">
        <v>2021</v>
      </c>
      <c r="B353" t="s">
        <v>2387</v>
      </c>
      <c r="C353" t="s">
        <v>2388</v>
      </c>
      <c r="D353" t="s">
        <v>997</v>
      </c>
      <c r="E353" t="s">
        <v>418</v>
      </c>
      <c r="F353" t="str">
        <f t="shared" si="6"/>
        <v>60631</v>
      </c>
      <c r="G353" t="str">
        <f t="shared" si="7"/>
        <v>402018</v>
      </c>
      <c r="H353" s="2">
        <f>5</f>
        <v>5</v>
      </c>
      <c r="I353" t="s">
        <v>27</v>
      </c>
      <c r="J353" t="s">
        <v>171</v>
      </c>
      <c r="K353" t="str">
        <f>"515757"</f>
        <v>515757</v>
      </c>
    </row>
    <row r="354" spans="1:11" x14ac:dyDescent="0.25">
      <c r="A354">
        <v>2021</v>
      </c>
      <c r="B354" t="s">
        <v>2387</v>
      </c>
      <c r="C354" t="s">
        <v>2388</v>
      </c>
      <c r="D354" t="s">
        <v>997</v>
      </c>
      <c r="E354" t="s">
        <v>418</v>
      </c>
      <c r="F354" t="str">
        <f t="shared" si="6"/>
        <v>60631</v>
      </c>
      <c r="G354" t="str">
        <f t="shared" si="7"/>
        <v>402018</v>
      </c>
      <c r="H354" s="2">
        <f>5</f>
        <v>5</v>
      </c>
      <c r="I354" t="s">
        <v>27</v>
      </c>
      <c r="J354" t="s">
        <v>171</v>
      </c>
      <c r="K354" t="str">
        <f>"516032"</f>
        <v>516032</v>
      </c>
    </row>
    <row r="355" spans="1:11" x14ac:dyDescent="0.25">
      <c r="A355">
        <v>2021</v>
      </c>
      <c r="B355" t="s">
        <v>2387</v>
      </c>
      <c r="C355" t="s">
        <v>2388</v>
      </c>
      <c r="D355" t="s">
        <v>997</v>
      </c>
      <c r="E355" t="s">
        <v>418</v>
      </c>
      <c r="F355" t="str">
        <f t="shared" si="6"/>
        <v>60631</v>
      </c>
      <c r="G355" t="str">
        <f t="shared" si="7"/>
        <v>402018</v>
      </c>
      <c r="H355" s="2">
        <f>5</f>
        <v>5</v>
      </c>
      <c r="I355" t="s">
        <v>27</v>
      </c>
      <c r="J355" t="s">
        <v>171</v>
      </c>
      <c r="K355" t="str">
        <f>"517887"</f>
        <v>517887</v>
      </c>
    </row>
    <row r="356" spans="1:11" x14ac:dyDescent="0.25">
      <c r="A356">
        <v>2021</v>
      </c>
      <c r="B356" t="s">
        <v>2387</v>
      </c>
      <c r="C356" t="s">
        <v>2388</v>
      </c>
      <c r="D356" t="s">
        <v>997</v>
      </c>
      <c r="E356" t="s">
        <v>418</v>
      </c>
      <c r="F356" t="str">
        <f t="shared" si="6"/>
        <v>60631</v>
      </c>
      <c r="G356" t="str">
        <f t="shared" si="7"/>
        <v>402018</v>
      </c>
      <c r="H356" s="2">
        <f>5</f>
        <v>5</v>
      </c>
      <c r="I356" t="s">
        <v>27</v>
      </c>
      <c r="J356" t="s">
        <v>171</v>
      </c>
      <c r="K356" t="str">
        <f>"518122"</f>
        <v>518122</v>
      </c>
    </row>
    <row r="357" spans="1:11" x14ac:dyDescent="0.25">
      <c r="A357">
        <v>2021</v>
      </c>
      <c r="B357" t="s">
        <v>2387</v>
      </c>
      <c r="C357" t="s">
        <v>2388</v>
      </c>
      <c r="D357" t="s">
        <v>997</v>
      </c>
      <c r="E357" t="s">
        <v>418</v>
      </c>
      <c r="F357" t="str">
        <f t="shared" si="6"/>
        <v>60631</v>
      </c>
      <c r="G357" t="str">
        <f t="shared" si="7"/>
        <v>402018</v>
      </c>
      <c r="H357" s="2">
        <f>5</f>
        <v>5</v>
      </c>
      <c r="I357" t="s">
        <v>27</v>
      </c>
      <c r="J357" t="s">
        <v>171</v>
      </c>
      <c r="K357" t="str">
        <f>"517214"</f>
        <v>517214</v>
      </c>
    </row>
    <row r="358" spans="1:11" x14ac:dyDescent="0.25">
      <c r="A358">
        <v>2021</v>
      </c>
      <c r="B358" t="s">
        <v>2387</v>
      </c>
      <c r="C358" t="s">
        <v>2388</v>
      </c>
      <c r="D358" t="s">
        <v>997</v>
      </c>
      <c r="E358" t="s">
        <v>418</v>
      </c>
      <c r="F358" t="str">
        <f t="shared" si="6"/>
        <v>60631</v>
      </c>
      <c r="G358" t="str">
        <f t="shared" si="7"/>
        <v>402018</v>
      </c>
      <c r="H358" s="2">
        <f>5</f>
        <v>5</v>
      </c>
      <c r="I358" t="s">
        <v>27</v>
      </c>
      <c r="J358" t="s">
        <v>171</v>
      </c>
      <c r="K358" t="str">
        <f>"516951"</f>
        <v>516951</v>
      </c>
    </row>
    <row r="359" spans="1:11" x14ac:dyDescent="0.25">
      <c r="A359">
        <v>2021</v>
      </c>
      <c r="B359" t="s">
        <v>2387</v>
      </c>
      <c r="C359" t="s">
        <v>2388</v>
      </c>
      <c r="D359" t="s">
        <v>997</v>
      </c>
      <c r="E359" t="s">
        <v>418</v>
      </c>
      <c r="F359" t="str">
        <f t="shared" si="6"/>
        <v>60631</v>
      </c>
      <c r="G359" t="str">
        <f t="shared" si="7"/>
        <v>402018</v>
      </c>
      <c r="H359" s="2">
        <f>5</f>
        <v>5</v>
      </c>
      <c r="I359" t="s">
        <v>27</v>
      </c>
      <c r="J359" t="s">
        <v>171</v>
      </c>
      <c r="K359" t="str">
        <f>"517479"</f>
        <v>517479</v>
      </c>
    </row>
    <row r="360" spans="1:11" x14ac:dyDescent="0.25">
      <c r="A360">
        <v>2021</v>
      </c>
      <c r="B360" t="s">
        <v>2387</v>
      </c>
      <c r="C360" t="s">
        <v>2388</v>
      </c>
      <c r="D360" t="s">
        <v>997</v>
      </c>
      <c r="E360" t="s">
        <v>418</v>
      </c>
      <c r="F360" t="str">
        <f t="shared" si="6"/>
        <v>60631</v>
      </c>
      <c r="G360" t="str">
        <f t="shared" si="7"/>
        <v>402018</v>
      </c>
      <c r="H360" s="2">
        <f>5</f>
        <v>5</v>
      </c>
      <c r="I360" t="s">
        <v>27</v>
      </c>
      <c r="J360" t="s">
        <v>171</v>
      </c>
      <c r="K360" t="str">
        <f>"516295"</f>
        <v>516295</v>
      </c>
    </row>
    <row r="361" spans="1:11" x14ac:dyDescent="0.25">
      <c r="A361">
        <v>2021</v>
      </c>
      <c r="B361" t="s">
        <v>2387</v>
      </c>
      <c r="C361" t="s">
        <v>2388</v>
      </c>
      <c r="D361" t="s">
        <v>997</v>
      </c>
      <c r="E361" t="s">
        <v>418</v>
      </c>
      <c r="F361" t="str">
        <f t="shared" si="6"/>
        <v>60631</v>
      </c>
      <c r="G361" t="str">
        <f t="shared" si="7"/>
        <v>402018</v>
      </c>
      <c r="H361" s="2">
        <f>5</f>
        <v>5</v>
      </c>
      <c r="I361" t="s">
        <v>27</v>
      </c>
      <c r="J361" t="s">
        <v>171</v>
      </c>
      <c r="K361" t="str">
        <f>"516828"</f>
        <v>516828</v>
      </c>
    </row>
    <row r="362" spans="1:11" x14ac:dyDescent="0.25">
      <c r="A362">
        <v>2021</v>
      </c>
      <c r="B362" t="s">
        <v>2387</v>
      </c>
      <c r="C362" t="s">
        <v>2388</v>
      </c>
      <c r="D362" t="s">
        <v>997</v>
      </c>
      <c r="E362" t="s">
        <v>418</v>
      </c>
      <c r="F362" t="str">
        <f t="shared" si="6"/>
        <v>60631</v>
      </c>
      <c r="G362" t="str">
        <f t="shared" si="7"/>
        <v>402018</v>
      </c>
      <c r="H362" s="2">
        <f>5</f>
        <v>5</v>
      </c>
      <c r="I362" t="s">
        <v>27</v>
      </c>
      <c r="J362" t="s">
        <v>171</v>
      </c>
      <c r="K362" t="str">
        <f>"515409"</f>
        <v>515409</v>
      </c>
    </row>
    <row r="363" spans="1:11" x14ac:dyDescent="0.25">
      <c r="A363">
        <v>2021</v>
      </c>
      <c r="B363" t="s">
        <v>2392</v>
      </c>
      <c r="C363" t="s">
        <v>2393</v>
      </c>
      <c r="D363" t="s">
        <v>111</v>
      </c>
      <c r="E363" t="s">
        <v>20</v>
      </c>
      <c r="F363" t="str">
        <f>"43204"</f>
        <v>43204</v>
      </c>
      <c r="G363" t="str">
        <f>"Bwucf4621"</f>
        <v>Bwucf4621</v>
      </c>
      <c r="H363" s="2">
        <f>140</f>
        <v>140</v>
      </c>
      <c r="I363" t="s">
        <v>15</v>
      </c>
      <c r="J363" t="s">
        <v>295</v>
      </c>
      <c r="K363" t="str">
        <f>"01435464"</f>
        <v>01435464</v>
      </c>
    </row>
    <row r="364" spans="1:11" x14ac:dyDescent="0.25">
      <c r="A364">
        <v>2021</v>
      </c>
      <c r="B364" t="s">
        <v>2398</v>
      </c>
      <c r="C364" t="s">
        <v>2399</v>
      </c>
      <c r="D364" t="s">
        <v>19</v>
      </c>
      <c r="E364" t="s">
        <v>20</v>
      </c>
      <c r="F364" t="str">
        <f>"43604-2605"</f>
        <v>43604-2605</v>
      </c>
      <c r="G364" t="str">
        <f>"402018"</f>
        <v>402018</v>
      </c>
      <c r="H364" s="2">
        <f>9.08</f>
        <v>9.08</v>
      </c>
      <c r="I364" t="s">
        <v>27</v>
      </c>
      <c r="J364" t="s">
        <v>171</v>
      </c>
      <c r="K364" t="str">
        <f>"517609"</f>
        <v>517609</v>
      </c>
    </row>
    <row r="365" spans="1:11" x14ac:dyDescent="0.25">
      <c r="A365">
        <v>2021</v>
      </c>
      <c r="B365" t="s">
        <v>2400</v>
      </c>
      <c r="C365" t="s">
        <v>2401</v>
      </c>
      <c r="D365" t="s">
        <v>50</v>
      </c>
      <c r="E365" t="s">
        <v>20</v>
      </c>
      <c r="F365" t="str">
        <f>"43560-8623"</f>
        <v>43560-8623</v>
      </c>
      <c r="G365" t="str">
        <f>"402019"</f>
        <v>402019</v>
      </c>
      <c r="H365" s="2">
        <f>10</f>
        <v>10</v>
      </c>
      <c r="I365" t="s">
        <v>27</v>
      </c>
      <c r="J365" t="s">
        <v>42</v>
      </c>
      <c r="K365" t="str">
        <f>"114075"</f>
        <v>114075</v>
      </c>
    </row>
    <row r="366" spans="1:11" x14ac:dyDescent="0.25">
      <c r="A366">
        <v>2021</v>
      </c>
      <c r="B366" t="s">
        <v>2409</v>
      </c>
      <c r="C366" t="s">
        <v>2410</v>
      </c>
      <c r="D366" t="s">
        <v>50</v>
      </c>
      <c r="E366" t="s">
        <v>20</v>
      </c>
      <c r="F366" t="str">
        <f>"43560-2529"</f>
        <v>43560-2529</v>
      </c>
      <c r="G366" t="str">
        <f>"402018"</f>
        <v>402018</v>
      </c>
      <c r="H366" s="2">
        <f>500</f>
        <v>500</v>
      </c>
      <c r="I366" t="s">
        <v>27</v>
      </c>
      <c r="J366" t="s">
        <v>171</v>
      </c>
      <c r="K366" t="str">
        <f>"516964"</f>
        <v>516964</v>
      </c>
    </row>
    <row r="367" spans="1:11" x14ac:dyDescent="0.25">
      <c r="A367">
        <v>2021</v>
      </c>
      <c r="B367" t="s">
        <v>2413</v>
      </c>
      <c r="C367" t="s">
        <v>2414</v>
      </c>
      <c r="D367" t="s">
        <v>2415</v>
      </c>
      <c r="E367" t="s">
        <v>14</v>
      </c>
      <c r="F367" t="str">
        <f>"48377"</f>
        <v>48377</v>
      </c>
      <c r="G367" t="str">
        <f>"Je110321"</f>
        <v>Je110321</v>
      </c>
      <c r="H367" s="2">
        <f>224.84</f>
        <v>224.84</v>
      </c>
      <c r="I367" t="s">
        <v>15</v>
      </c>
      <c r="J367" t="s">
        <v>596</v>
      </c>
      <c r="K367" t="str">
        <f>"60019179"</f>
        <v>60019179</v>
      </c>
    </row>
    <row r="368" spans="1:11" x14ac:dyDescent="0.25">
      <c r="A368">
        <v>2021</v>
      </c>
      <c r="B368" t="s">
        <v>2416</v>
      </c>
      <c r="C368" t="s">
        <v>2417</v>
      </c>
      <c r="D368" t="s">
        <v>120</v>
      </c>
      <c r="E368" t="s">
        <v>20</v>
      </c>
      <c r="F368" t="str">
        <f>"43522-9619"</f>
        <v>43522-9619</v>
      </c>
      <c r="G368" t="str">
        <f>"402019"</f>
        <v>402019</v>
      </c>
      <c r="H368" s="2">
        <f>10</f>
        <v>10</v>
      </c>
      <c r="I368" t="s">
        <v>27</v>
      </c>
      <c r="J368" t="s">
        <v>42</v>
      </c>
      <c r="K368" t="str">
        <f>"115844"</f>
        <v>115844</v>
      </c>
    </row>
    <row r="369" spans="1:11" x14ac:dyDescent="0.25">
      <c r="A369">
        <v>2021</v>
      </c>
      <c r="B369" t="s">
        <v>2424</v>
      </c>
      <c r="C369" t="s">
        <v>2423</v>
      </c>
      <c r="D369" t="s">
        <v>19</v>
      </c>
      <c r="E369" t="s">
        <v>20</v>
      </c>
      <c r="F369" t="str">
        <f>"43604"</f>
        <v>43604</v>
      </c>
      <c r="G369" t="str">
        <f>"402018"</f>
        <v>402018</v>
      </c>
      <c r="H369" s="2">
        <f>9.08</f>
        <v>9.08</v>
      </c>
      <c r="I369" t="s">
        <v>27</v>
      </c>
      <c r="J369" t="s">
        <v>171</v>
      </c>
      <c r="K369" t="str">
        <f>"517610"</f>
        <v>517610</v>
      </c>
    </row>
    <row r="370" spans="1:11" x14ac:dyDescent="0.25">
      <c r="A370">
        <v>2021</v>
      </c>
      <c r="B370" t="s">
        <v>2425</v>
      </c>
      <c r="C370" t="s">
        <v>2426</v>
      </c>
      <c r="D370" t="s">
        <v>19</v>
      </c>
      <c r="E370" t="s">
        <v>20</v>
      </c>
      <c r="F370" t="str">
        <f>"43605"</f>
        <v>43605</v>
      </c>
      <c r="G370" t="str">
        <f>"Pio448069"</f>
        <v>Pio448069</v>
      </c>
      <c r="H370" s="2">
        <f>3.04</f>
        <v>3.04</v>
      </c>
      <c r="I370" t="s">
        <v>86</v>
      </c>
      <c r="J370" t="s">
        <v>87</v>
      </c>
      <c r="K370" t="str">
        <f>"0"</f>
        <v>0</v>
      </c>
    </row>
    <row r="371" spans="1:11" x14ac:dyDescent="0.25">
      <c r="A371">
        <v>2021</v>
      </c>
      <c r="B371" t="s">
        <v>2447</v>
      </c>
      <c r="C371" t="s">
        <v>2448</v>
      </c>
      <c r="D371" t="s">
        <v>19</v>
      </c>
      <c r="E371" t="s">
        <v>20</v>
      </c>
      <c r="F371" t="str">
        <f>"43612-4274"</f>
        <v>43612-4274</v>
      </c>
      <c r="G371" t="str">
        <f>"402019"</f>
        <v>402019</v>
      </c>
      <c r="H371" s="2">
        <f>10</f>
        <v>10</v>
      </c>
      <c r="I371" t="s">
        <v>27</v>
      </c>
      <c r="J371" t="s">
        <v>42</v>
      </c>
      <c r="K371" t="str">
        <f>"114813"</f>
        <v>114813</v>
      </c>
    </row>
    <row r="372" spans="1:11" x14ac:dyDescent="0.25">
      <c r="A372">
        <v>2021</v>
      </c>
      <c r="B372" t="s">
        <v>2449</v>
      </c>
      <c r="C372" t="s">
        <v>2450</v>
      </c>
      <c r="D372" t="s">
        <v>19</v>
      </c>
      <c r="E372" t="s">
        <v>20</v>
      </c>
      <c r="F372" t="str">
        <f>"43611-2845"</f>
        <v>43611-2845</v>
      </c>
      <c r="G372" t="str">
        <f>"402019"</f>
        <v>402019</v>
      </c>
      <c r="H372" s="2">
        <f>20</f>
        <v>20</v>
      </c>
      <c r="I372" t="s">
        <v>27</v>
      </c>
      <c r="J372" t="s">
        <v>42</v>
      </c>
      <c r="K372" t="str">
        <f>"113528"</f>
        <v>113528</v>
      </c>
    </row>
    <row r="373" spans="1:11" x14ac:dyDescent="0.25">
      <c r="A373">
        <v>2021</v>
      </c>
      <c r="B373" t="s">
        <v>2451</v>
      </c>
      <c r="C373" t="s">
        <v>2452</v>
      </c>
      <c r="D373" t="s">
        <v>19</v>
      </c>
      <c r="E373" t="s">
        <v>20</v>
      </c>
      <c r="F373" t="str">
        <f>"43604"</f>
        <v>43604</v>
      </c>
      <c r="G373" t="str">
        <f>"Pio448069"</f>
        <v>Pio448069</v>
      </c>
      <c r="H373" s="2">
        <f>0.02</f>
        <v>0.02</v>
      </c>
      <c r="I373" t="s">
        <v>86</v>
      </c>
      <c r="J373" t="s">
        <v>87</v>
      </c>
      <c r="K373" t="str">
        <f>"0"</f>
        <v>0</v>
      </c>
    </row>
    <row r="374" spans="1:11" x14ac:dyDescent="0.25">
      <c r="A374">
        <v>2021</v>
      </c>
      <c r="B374" t="s">
        <v>2459</v>
      </c>
      <c r="C374" t="s">
        <v>2460</v>
      </c>
      <c r="D374" t="s">
        <v>19</v>
      </c>
      <c r="E374" t="s">
        <v>20</v>
      </c>
      <c r="F374" t="str">
        <f>"43615"</f>
        <v>43615</v>
      </c>
      <c r="G374" t="str">
        <f>"Pio448069"</f>
        <v>Pio448069</v>
      </c>
      <c r="H374" s="2">
        <f>20</f>
        <v>20</v>
      </c>
      <c r="I374" t="s">
        <v>86</v>
      </c>
      <c r="J374" t="s">
        <v>87</v>
      </c>
      <c r="K374" t="str">
        <f>"0"</f>
        <v>0</v>
      </c>
    </row>
    <row r="375" spans="1:11" x14ac:dyDescent="0.25">
      <c r="A375">
        <v>2021</v>
      </c>
      <c r="B375" t="s">
        <v>2463</v>
      </c>
      <c r="C375" t="s">
        <v>2464</v>
      </c>
      <c r="D375" t="s">
        <v>19</v>
      </c>
      <c r="E375" t="s">
        <v>20</v>
      </c>
      <c r="F375" t="str">
        <f>"43614"</f>
        <v>43614</v>
      </c>
      <c r="G375" t="str">
        <f>"Pio448069"</f>
        <v>Pio448069</v>
      </c>
      <c r="H375" s="2">
        <f>0.01</f>
        <v>0.01</v>
      </c>
      <c r="I375" t="s">
        <v>86</v>
      </c>
      <c r="J375" t="s">
        <v>87</v>
      </c>
      <c r="K375" t="str">
        <f>"0"</f>
        <v>0</v>
      </c>
    </row>
    <row r="376" spans="1:11" x14ac:dyDescent="0.25">
      <c r="A376">
        <v>2021</v>
      </c>
      <c r="B376" t="s">
        <v>2477</v>
      </c>
      <c r="C376" t="s">
        <v>2478</v>
      </c>
      <c r="D376" t="s">
        <v>125</v>
      </c>
      <c r="E376" t="s">
        <v>20</v>
      </c>
      <c r="F376" t="str">
        <f>"43537-3730"</f>
        <v>43537-3730</v>
      </c>
      <c r="G376" t="str">
        <f>"402019"</f>
        <v>402019</v>
      </c>
      <c r="H376" s="2">
        <f>50</f>
        <v>50</v>
      </c>
      <c r="I376" t="s">
        <v>27</v>
      </c>
      <c r="J376" t="s">
        <v>42</v>
      </c>
      <c r="K376" t="str">
        <f>"114587"</f>
        <v>114587</v>
      </c>
    </row>
    <row r="377" spans="1:11" x14ac:dyDescent="0.25">
      <c r="A377">
        <v>2021</v>
      </c>
      <c r="B377" t="s">
        <v>2479</v>
      </c>
      <c r="C377" t="s">
        <v>2480</v>
      </c>
      <c r="D377" t="s">
        <v>19</v>
      </c>
      <c r="E377" t="s">
        <v>20</v>
      </c>
      <c r="F377" t="str">
        <f>"43620"</f>
        <v>43620</v>
      </c>
      <c r="G377" t="str">
        <f>"Je110321"</f>
        <v>Je110321</v>
      </c>
      <c r="H377" s="2">
        <f>25</f>
        <v>25</v>
      </c>
      <c r="I377" t="s">
        <v>15</v>
      </c>
      <c r="J377" t="s">
        <v>596</v>
      </c>
      <c r="K377" t="str">
        <f>"60018953"</f>
        <v>60018953</v>
      </c>
    </row>
    <row r="378" spans="1:11" x14ac:dyDescent="0.25">
      <c r="A378">
        <v>2021</v>
      </c>
      <c r="B378" t="s">
        <v>2489</v>
      </c>
      <c r="C378" t="s">
        <v>2490</v>
      </c>
      <c r="D378" t="s">
        <v>19</v>
      </c>
      <c r="E378" t="s">
        <v>20</v>
      </c>
      <c r="F378" t="str">
        <f>"43614-2951"</f>
        <v>43614-2951</v>
      </c>
      <c r="G378" t="str">
        <f>"402019"</f>
        <v>402019</v>
      </c>
      <c r="H378" s="2">
        <f>20</f>
        <v>20</v>
      </c>
      <c r="I378" t="s">
        <v>27</v>
      </c>
      <c r="J378" t="s">
        <v>42</v>
      </c>
      <c r="K378" t="str">
        <f>"115415"</f>
        <v>115415</v>
      </c>
    </row>
    <row r="379" spans="1:11" x14ac:dyDescent="0.25">
      <c r="A379">
        <v>2021</v>
      </c>
      <c r="B379" t="s">
        <v>2508</v>
      </c>
      <c r="C379" t="s">
        <v>2509</v>
      </c>
      <c r="D379" t="s">
        <v>19</v>
      </c>
      <c r="E379" t="s">
        <v>20</v>
      </c>
      <c r="F379" t="str">
        <f>"43614"</f>
        <v>43614</v>
      </c>
      <c r="G379" t="str">
        <f>"Pio448069"</f>
        <v>Pio448069</v>
      </c>
      <c r="H379" s="2">
        <f>0.7</f>
        <v>0.7</v>
      </c>
      <c r="I379" t="s">
        <v>86</v>
      </c>
      <c r="J379" t="s">
        <v>87</v>
      </c>
      <c r="K379" t="str">
        <f>"0"</f>
        <v>0</v>
      </c>
    </row>
    <row r="380" spans="1:11" x14ac:dyDescent="0.25">
      <c r="A380">
        <v>2021</v>
      </c>
      <c r="B380" t="s">
        <v>2514</v>
      </c>
      <c r="C380" t="s">
        <v>2515</v>
      </c>
      <c r="D380" t="s">
        <v>19</v>
      </c>
      <c r="E380" t="s">
        <v>20</v>
      </c>
      <c r="F380" t="str">
        <f>"43610"</f>
        <v>43610</v>
      </c>
      <c r="G380" t="str">
        <f>"Je110321"</f>
        <v>Je110321</v>
      </c>
      <c r="H380" s="2">
        <f>85.26</f>
        <v>85.26</v>
      </c>
      <c r="I380" t="s">
        <v>15</v>
      </c>
      <c r="J380" t="s">
        <v>596</v>
      </c>
      <c r="K380" t="str">
        <f>"60023449"</f>
        <v>60023449</v>
      </c>
    </row>
    <row r="381" spans="1:11" x14ac:dyDescent="0.25">
      <c r="A381">
        <v>2021</v>
      </c>
      <c r="B381" t="s">
        <v>2520</v>
      </c>
      <c r="C381" t="s">
        <v>2521</v>
      </c>
      <c r="D381" t="s">
        <v>125</v>
      </c>
      <c r="E381" t="s">
        <v>20</v>
      </c>
      <c r="F381" t="str">
        <f>"43537"</f>
        <v>43537</v>
      </c>
      <c r="G381" t="str">
        <f>"402018"</f>
        <v>402018</v>
      </c>
      <c r="H381" s="2">
        <f>15</f>
        <v>15</v>
      </c>
      <c r="I381" t="s">
        <v>27</v>
      </c>
      <c r="J381" t="s">
        <v>171</v>
      </c>
      <c r="K381" t="str">
        <f>"516096"</f>
        <v>516096</v>
      </c>
    </row>
    <row r="382" spans="1:11" x14ac:dyDescent="0.25">
      <c r="A382">
        <v>2021</v>
      </c>
      <c r="B382" t="s">
        <v>2520</v>
      </c>
      <c r="C382" t="s">
        <v>2521</v>
      </c>
      <c r="D382" t="s">
        <v>125</v>
      </c>
      <c r="E382" t="s">
        <v>20</v>
      </c>
      <c r="F382" t="str">
        <f>"43537"</f>
        <v>43537</v>
      </c>
      <c r="G382" t="str">
        <f>"402018"</f>
        <v>402018</v>
      </c>
      <c r="H382" s="2">
        <f>15</f>
        <v>15</v>
      </c>
      <c r="I382" t="s">
        <v>27</v>
      </c>
      <c r="J382" t="s">
        <v>171</v>
      </c>
      <c r="K382" t="str">
        <f>"515676"</f>
        <v>515676</v>
      </c>
    </row>
    <row r="383" spans="1:11" x14ac:dyDescent="0.25">
      <c r="A383">
        <v>2021</v>
      </c>
      <c r="B383" t="s">
        <v>2520</v>
      </c>
      <c r="C383" t="s">
        <v>2521</v>
      </c>
      <c r="D383" t="s">
        <v>125</v>
      </c>
      <c r="E383" t="s">
        <v>20</v>
      </c>
      <c r="F383" t="str">
        <f>"43537"</f>
        <v>43537</v>
      </c>
      <c r="G383" t="str">
        <f>"402018"</f>
        <v>402018</v>
      </c>
      <c r="H383" s="2">
        <f>15</f>
        <v>15</v>
      </c>
      <c r="I383" t="s">
        <v>27</v>
      </c>
      <c r="J383" t="s">
        <v>171</v>
      </c>
      <c r="K383" t="str">
        <f>"515452"</f>
        <v>515452</v>
      </c>
    </row>
    <row r="384" spans="1:11" x14ac:dyDescent="0.25">
      <c r="A384">
        <v>2021</v>
      </c>
      <c r="B384" t="s">
        <v>2520</v>
      </c>
      <c r="C384" t="s">
        <v>2521</v>
      </c>
      <c r="D384" t="s">
        <v>125</v>
      </c>
      <c r="E384" t="s">
        <v>20</v>
      </c>
      <c r="F384" t="str">
        <f>"43537"</f>
        <v>43537</v>
      </c>
      <c r="G384" t="str">
        <f>"402018"</f>
        <v>402018</v>
      </c>
      <c r="H384" s="2">
        <f>15</f>
        <v>15</v>
      </c>
      <c r="I384" t="s">
        <v>27</v>
      </c>
      <c r="J384" t="s">
        <v>171</v>
      </c>
      <c r="K384" t="str">
        <f>"515564"</f>
        <v>515564</v>
      </c>
    </row>
    <row r="385" spans="1:11" x14ac:dyDescent="0.25">
      <c r="A385">
        <v>2021</v>
      </c>
      <c r="B385" t="s">
        <v>2524</v>
      </c>
      <c r="C385" t="s">
        <v>2525</v>
      </c>
      <c r="D385" t="s">
        <v>58</v>
      </c>
      <c r="E385" t="s">
        <v>20</v>
      </c>
      <c r="F385" t="str">
        <f>"43616-3403"</f>
        <v>43616-3403</v>
      </c>
      <c r="G385" t="str">
        <f>"402019"</f>
        <v>402019</v>
      </c>
      <c r="H385" s="2">
        <f>20</f>
        <v>20</v>
      </c>
      <c r="I385" t="s">
        <v>27</v>
      </c>
      <c r="J385" t="s">
        <v>42</v>
      </c>
      <c r="K385" t="str">
        <f>"114399"</f>
        <v>114399</v>
      </c>
    </row>
    <row r="386" spans="1:11" x14ac:dyDescent="0.25">
      <c r="A386">
        <v>2021</v>
      </c>
      <c r="B386" t="s">
        <v>2540</v>
      </c>
      <c r="C386" t="s">
        <v>2541</v>
      </c>
      <c r="D386" t="s">
        <v>19</v>
      </c>
      <c r="E386" t="s">
        <v>20</v>
      </c>
      <c r="F386" t="str">
        <f>"43608"</f>
        <v>43608</v>
      </c>
      <c r="G386" t="str">
        <f>"Pio448069"</f>
        <v>Pio448069</v>
      </c>
      <c r="H386" s="2">
        <f>0.25</f>
        <v>0.25</v>
      </c>
      <c r="I386" t="s">
        <v>86</v>
      </c>
      <c r="J386" t="s">
        <v>87</v>
      </c>
      <c r="K386" t="str">
        <f>"0"</f>
        <v>0</v>
      </c>
    </row>
    <row r="387" spans="1:11" x14ac:dyDescent="0.25">
      <c r="A387">
        <v>2021</v>
      </c>
      <c r="B387" t="s">
        <v>2542</v>
      </c>
      <c r="C387" t="s">
        <v>2543</v>
      </c>
      <c r="D387" t="s">
        <v>2544</v>
      </c>
      <c r="E387" t="s">
        <v>923</v>
      </c>
      <c r="F387" t="str">
        <f>"95202"</f>
        <v>95202</v>
      </c>
      <c r="G387" t="str">
        <f>"Pio448069"</f>
        <v>Pio448069</v>
      </c>
      <c r="H387" s="2">
        <f>79.99</f>
        <v>79.989999999999995</v>
      </c>
      <c r="I387" t="s">
        <v>86</v>
      </c>
      <c r="J387" t="s">
        <v>87</v>
      </c>
      <c r="K387" t="str">
        <f>"0"</f>
        <v>0</v>
      </c>
    </row>
    <row r="388" spans="1:11" x14ac:dyDescent="0.25">
      <c r="A388">
        <v>2021</v>
      </c>
      <c r="B388" t="s">
        <v>2550</v>
      </c>
      <c r="C388" t="s">
        <v>2551</v>
      </c>
      <c r="D388" t="s">
        <v>19</v>
      </c>
      <c r="E388" t="s">
        <v>20</v>
      </c>
      <c r="F388" t="str">
        <f>"43605"</f>
        <v>43605</v>
      </c>
      <c r="G388" t="str">
        <f>"Pio448069"</f>
        <v>Pio448069</v>
      </c>
      <c r="H388" s="2">
        <f>0.23</f>
        <v>0.23</v>
      </c>
      <c r="I388" t="s">
        <v>86</v>
      </c>
      <c r="J388" t="s">
        <v>87</v>
      </c>
      <c r="K388" t="str">
        <f>"0"</f>
        <v>0</v>
      </c>
    </row>
    <row r="389" spans="1:11" x14ac:dyDescent="0.25">
      <c r="A389">
        <v>2021</v>
      </c>
      <c r="B389" t="s">
        <v>2552</v>
      </c>
      <c r="C389" t="s">
        <v>2553</v>
      </c>
      <c r="D389" t="s">
        <v>19</v>
      </c>
      <c r="E389" t="s">
        <v>20</v>
      </c>
      <c r="F389" t="str">
        <f>"43609"</f>
        <v>43609</v>
      </c>
      <c r="G389" t="str">
        <f>"Pio448069"</f>
        <v>Pio448069</v>
      </c>
      <c r="H389" s="2">
        <f>7</f>
        <v>7</v>
      </c>
      <c r="I389" t="s">
        <v>86</v>
      </c>
      <c r="J389" t="s">
        <v>87</v>
      </c>
      <c r="K389" t="str">
        <f>"0"</f>
        <v>0</v>
      </c>
    </row>
    <row r="390" spans="1:11" x14ac:dyDescent="0.25">
      <c r="A390">
        <v>2021</v>
      </c>
      <c r="B390" t="s">
        <v>2554</v>
      </c>
      <c r="C390" t="s">
        <v>2555</v>
      </c>
      <c r="D390" t="s">
        <v>19</v>
      </c>
      <c r="E390" t="s">
        <v>20</v>
      </c>
      <c r="F390" t="str">
        <f>"43604"</f>
        <v>43604</v>
      </c>
      <c r="G390" t="str">
        <f>"Pio448069"</f>
        <v>Pio448069</v>
      </c>
      <c r="H390" s="2">
        <f>1.11</f>
        <v>1.1100000000000001</v>
      </c>
      <c r="I390" t="s">
        <v>86</v>
      </c>
      <c r="J390" t="s">
        <v>87</v>
      </c>
      <c r="K390" t="str">
        <f>"0"</f>
        <v>0</v>
      </c>
    </row>
    <row r="391" spans="1:11" x14ac:dyDescent="0.25">
      <c r="A391">
        <v>2021</v>
      </c>
      <c r="B391" t="s">
        <v>2560</v>
      </c>
      <c r="C391" t="s">
        <v>2561</v>
      </c>
      <c r="D391" t="s">
        <v>19</v>
      </c>
      <c r="E391" t="s">
        <v>20</v>
      </c>
      <c r="F391" t="str">
        <f>"43608"</f>
        <v>43608</v>
      </c>
      <c r="G391" t="str">
        <f>"402018"</f>
        <v>402018</v>
      </c>
      <c r="H391" s="2">
        <f>5</f>
        <v>5</v>
      </c>
      <c r="I391" t="s">
        <v>27</v>
      </c>
      <c r="J391" t="s">
        <v>171</v>
      </c>
      <c r="K391" t="str">
        <f>"516468"</f>
        <v>516468</v>
      </c>
    </row>
    <row r="392" spans="1:11" x14ac:dyDescent="0.25">
      <c r="A392">
        <v>2021</v>
      </c>
      <c r="B392" t="s">
        <v>2560</v>
      </c>
      <c r="C392" t="s">
        <v>2561</v>
      </c>
      <c r="D392" t="s">
        <v>19</v>
      </c>
      <c r="E392" t="s">
        <v>20</v>
      </c>
      <c r="F392" t="str">
        <f>"43608"</f>
        <v>43608</v>
      </c>
      <c r="G392" t="str">
        <f>"402018"</f>
        <v>402018</v>
      </c>
      <c r="H392" s="2">
        <f>5</f>
        <v>5</v>
      </c>
      <c r="I392" t="s">
        <v>27</v>
      </c>
      <c r="J392" t="s">
        <v>171</v>
      </c>
      <c r="K392" t="str">
        <f>"517944"</f>
        <v>517944</v>
      </c>
    </row>
    <row r="393" spans="1:11" x14ac:dyDescent="0.25">
      <c r="A393">
        <v>2021</v>
      </c>
      <c r="B393" t="s">
        <v>2574</v>
      </c>
      <c r="C393" t="s">
        <v>2575</v>
      </c>
      <c r="D393" t="s">
        <v>58</v>
      </c>
      <c r="E393" t="s">
        <v>20</v>
      </c>
      <c r="F393" t="str">
        <f>"43616-4509"</f>
        <v>43616-4509</v>
      </c>
      <c r="G393" t="str">
        <f>"402019"</f>
        <v>402019</v>
      </c>
      <c r="H393" s="2">
        <f>10</f>
        <v>10</v>
      </c>
      <c r="I393" t="s">
        <v>27</v>
      </c>
      <c r="J393" t="s">
        <v>42</v>
      </c>
      <c r="K393" t="str">
        <f>"112273"</f>
        <v>112273</v>
      </c>
    </row>
    <row r="394" spans="1:11" x14ac:dyDescent="0.25">
      <c r="A394">
        <v>2021</v>
      </c>
      <c r="B394" t="s">
        <v>2576</v>
      </c>
      <c r="C394" t="s">
        <v>2577</v>
      </c>
      <c r="D394" t="s">
        <v>125</v>
      </c>
      <c r="E394" t="s">
        <v>20</v>
      </c>
      <c r="F394" t="str">
        <f>"43537"</f>
        <v>43537</v>
      </c>
      <c r="G394" t="str">
        <f>"402018"</f>
        <v>402018</v>
      </c>
      <c r="H394" s="2">
        <f>200</f>
        <v>200</v>
      </c>
      <c r="I394" t="s">
        <v>27</v>
      </c>
      <c r="J394" t="s">
        <v>171</v>
      </c>
      <c r="K394" t="str">
        <f>"515934"</f>
        <v>515934</v>
      </c>
    </row>
    <row r="395" spans="1:11" x14ac:dyDescent="0.25">
      <c r="A395">
        <v>2021</v>
      </c>
      <c r="B395" t="s">
        <v>2584</v>
      </c>
      <c r="C395" t="s">
        <v>2585</v>
      </c>
      <c r="D395" t="s">
        <v>19</v>
      </c>
      <c r="E395" t="s">
        <v>20</v>
      </c>
      <c r="F395" t="str">
        <f>"43615"</f>
        <v>43615</v>
      </c>
      <c r="G395" t="str">
        <f>"402019"</f>
        <v>402019</v>
      </c>
      <c r="H395" s="2">
        <f>10</f>
        <v>10</v>
      </c>
      <c r="I395" t="s">
        <v>27</v>
      </c>
      <c r="J395" t="s">
        <v>42</v>
      </c>
      <c r="K395" t="str">
        <f>"115597"</f>
        <v>115597</v>
      </c>
    </row>
    <row r="396" spans="1:11" x14ac:dyDescent="0.25">
      <c r="A396">
        <v>2021</v>
      </c>
      <c r="B396" t="s">
        <v>2588</v>
      </c>
      <c r="C396" t="s">
        <v>2589</v>
      </c>
      <c r="D396" t="s">
        <v>2590</v>
      </c>
      <c r="E396" t="s">
        <v>204</v>
      </c>
      <c r="F396" t="str">
        <f>"30121-7359"</f>
        <v>30121-7359</v>
      </c>
      <c r="G396" t="str">
        <f>"Swucf4621"</f>
        <v>Swucf4621</v>
      </c>
      <c r="H396" s="2">
        <f>73.96</f>
        <v>73.959999999999994</v>
      </c>
      <c r="I396" t="s">
        <v>15</v>
      </c>
      <c r="J396" t="s">
        <v>81</v>
      </c>
      <c r="K396" t="str">
        <f>"6295649"</f>
        <v>6295649</v>
      </c>
    </row>
    <row r="397" spans="1:11" x14ac:dyDescent="0.25">
      <c r="A397">
        <v>2021</v>
      </c>
      <c r="B397" t="s">
        <v>2601</v>
      </c>
      <c r="C397" t="s">
        <v>2602</v>
      </c>
      <c r="D397" t="s">
        <v>105</v>
      </c>
      <c r="E397" t="s">
        <v>20</v>
      </c>
      <c r="F397" t="str">
        <f>"43528"</f>
        <v>43528</v>
      </c>
      <c r="G397" t="str">
        <f>"Pio448069"</f>
        <v>Pio448069</v>
      </c>
      <c r="H397" s="2">
        <f>10</f>
        <v>10</v>
      </c>
      <c r="I397" t="s">
        <v>86</v>
      </c>
      <c r="J397" t="s">
        <v>87</v>
      </c>
      <c r="K397" t="str">
        <f>"0"</f>
        <v>0</v>
      </c>
    </row>
    <row r="398" spans="1:11" x14ac:dyDescent="0.25">
      <c r="A398">
        <v>2021</v>
      </c>
      <c r="B398" t="s">
        <v>2605</v>
      </c>
      <c r="C398" t="s">
        <v>2606</v>
      </c>
      <c r="D398" t="s">
        <v>19</v>
      </c>
      <c r="E398" t="s">
        <v>20</v>
      </c>
      <c r="F398" t="str">
        <f>"43605"</f>
        <v>43605</v>
      </c>
      <c r="G398" t="str">
        <f>"Pio448069"</f>
        <v>Pio448069</v>
      </c>
      <c r="H398" s="2">
        <f>35</f>
        <v>35</v>
      </c>
      <c r="I398" t="s">
        <v>86</v>
      </c>
      <c r="J398" t="s">
        <v>87</v>
      </c>
      <c r="K398" t="str">
        <f>"0"</f>
        <v>0</v>
      </c>
    </row>
    <row r="399" spans="1:11" x14ac:dyDescent="0.25">
      <c r="A399">
        <v>2021</v>
      </c>
      <c r="B399" t="s">
        <v>2633</v>
      </c>
      <c r="C399" t="s">
        <v>2634</v>
      </c>
      <c r="D399" t="s">
        <v>19</v>
      </c>
      <c r="E399" t="s">
        <v>20</v>
      </c>
      <c r="F399" t="str">
        <f>"43615"</f>
        <v>43615</v>
      </c>
      <c r="G399" t="str">
        <f>"402018"</f>
        <v>402018</v>
      </c>
      <c r="H399" s="2">
        <f>9.08</f>
        <v>9.08</v>
      </c>
      <c r="I399" t="s">
        <v>27</v>
      </c>
      <c r="J399" t="s">
        <v>171</v>
      </c>
      <c r="K399" t="str">
        <f>"517616"</f>
        <v>517616</v>
      </c>
    </row>
    <row r="400" spans="1:11" x14ac:dyDescent="0.25">
      <c r="A400">
        <v>2021</v>
      </c>
      <c r="B400" t="s">
        <v>2639</v>
      </c>
      <c r="C400" t="s">
        <v>2640</v>
      </c>
      <c r="D400" t="s">
        <v>19</v>
      </c>
      <c r="E400" t="s">
        <v>20</v>
      </c>
      <c r="F400" t="str">
        <f>"43607"</f>
        <v>43607</v>
      </c>
      <c r="G400" t="str">
        <f>"Pio448069"</f>
        <v>Pio448069</v>
      </c>
      <c r="H400" s="2">
        <f>33</f>
        <v>33</v>
      </c>
      <c r="I400" t="s">
        <v>86</v>
      </c>
      <c r="J400" t="s">
        <v>87</v>
      </c>
      <c r="K400" t="str">
        <f>"0"</f>
        <v>0</v>
      </c>
    </row>
    <row r="401" spans="1:11" x14ac:dyDescent="0.25">
      <c r="A401">
        <v>2021</v>
      </c>
      <c r="B401" t="s">
        <v>2645</v>
      </c>
      <c r="C401" t="s">
        <v>2646</v>
      </c>
      <c r="D401" t="s">
        <v>2647</v>
      </c>
      <c r="E401" t="s">
        <v>436</v>
      </c>
      <c r="F401" t="str">
        <f>"17552"</f>
        <v>17552</v>
      </c>
      <c r="G401" t="str">
        <f>"Pio448069"</f>
        <v>Pio448069</v>
      </c>
      <c r="H401" s="2">
        <f>0.25</f>
        <v>0.25</v>
      </c>
      <c r="I401" t="s">
        <v>86</v>
      </c>
      <c r="J401" t="s">
        <v>87</v>
      </c>
      <c r="K401" t="str">
        <f>"0"</f>
        <v>0</v>
      </c>
    </row>
    <row r="402" spans="1:11" x14ac:dyDescent="0.25">
      <c r="A402">
        <v>2021</v>
      </c>
      <c r="B402" t="s">
        <v>2648</v>
      </c>
      <c r="C402" t="s">
        <v>2649</v>
      </c>
      <c r="D402" t="s">
        <v>19</v>
      </c>
      <c r="E402" t="s">
        <v>20</v>
      </c>
      <c r="F402" t="str">
        <f>"43609"</f>
        <v>43609</v>
      </c>
      <c r="G402" t="str">
        <f>"Bwucf4621"</f>
        <v>Bwucf4621</v>
      </c>
      <c r="H402" s="2">
        <f>160</f>
        <v>160</v>
      </c>
      <c r="I402" t="s">
        <v>15</v>
      </c>
      <c r="J402" t="s">
        <v>295</v>
      </c>
      <c r="K402" t="str">
        <f>"01445969"</f>
        <v>01445969</v>
      </c>
    </row>
    <row r="403" spans="1:11" x14ac:dyDescent="0.25">
      <c r="A403">
        <v>2021</v>
      </c>
      <c r="B403" t="s">
        <v>2654</v>
      </c>
      <c r="C403" t="s">
        <v>2655</v>
      </c>
      <c r="D403" t="s">
        <v>19</v>
      </c>
      <c r="E403" t="s">
        <v>20</v>
      </c>
      <c r="F403" t="str">
        <f>"43609"</f>
        <v>43609</v>
      </c>
      <c r="G403" t="str">
        <f>"Pio448069"</f>
        <v>Pio448069</v>
      </c>
      <c r="H403" s="2">
        <f>19</f>
        <v>19</v>
      </c>
      <c r="I403" t="s">
        <v>86</v>
      </c>
      <c r="J403" t="s">
        <v>87</v>
      </c>
      <c r="K403" t="str">
        <f>"0"</f>
        <v>0</v>
      </c>
    </row>
    <row r="404" spans="1:11" x14ac:dyDescent="0.25">
      <c r="A404">
        <v>2021</v>
      </c>
      <c r="B404" t="s">
        <v>2656</v>
      </c>
      <c r="C404" t="s">
        <v>2657</v>
      </c>
      <c r="D404" t="s">
        <v>19</v>
      </c>
      <c r="E404" t="s">
        <v>20</v>
      </c>
      <c r="F404" t="str">
        <f>"43606"</f>
        <v>43606</v>
      </c>
      <c r="G404" t="str">
        <f>"402017"</f>
        <v>402017</v>
      </c>
      <c r="H404" s="2">
        <f>6.4</f>
        <v>6.4</v>
      </c>
      <c r="I404" t="s">
        <v>27</v>
      </c>
      <c r="J404" t="s">
        <v>212</v>
      </c>
      <c r="K404" t="str">
        <f>"35186"</f>
        <v>35186</v>
      </c>
    </row>
    <row r="405" spans="1:11" x14ac:dyDescent="0.25">
      <c r="A405">
        <v>2021</v>
      </c>
      <c r="B405" t="s">
        <v>2660</v>
      </c>
      <c r="C405" t="s">
        <v>2661</v>
      </c>
      <c r="D405" t="s">
        <v>19</v>
      </c>
      <c r="E405" t="s">
        <v>20</v>
      </c>
      <c r="F405" t="str">
        <f>"43612"</f>
        <v>43612</v>
      </c>
      <c r="G405" t="str">
        <f>"Pio448069"</f>
        <v>Pio448069</v>
      </c>
      <c r="H405" s="2">
        <f>5</f>
        <v>5</v>
      </c>
      <c r="I405" t="s">
        <v>86</v>
      </c>
      <c r="J405" t="s">
        <v>87</v>
      </c>
      <c r="K405" t="str">
        <f>"0"</f>
        <v>0</v>
      </c>
    </row>
    <row r="406" spans="1:11" x14ac:dyDescent="0.25">
      <c r="A406">
        <v>2021</v>
      </c>
      <c r="B406" t="s">
        <v>2676</v>
      </c>
      <c r="C406" t="s">
        <v>2677</v>
      </c>
      <c r="D406" t="s">
        <v>111</v>
      </c>
      <c r="E406" t="s">
        <v>20</v>
      </c>
      <c r="F406" t="str">
        <f>"43213"</f>
        <v>43213</v>
      </c>
      <c r="G406" t="str">
        <f>"402018"</f>
        <v>402018</v>
      </c>
      <c r="H406" s="2">
        <f>75</f>
        <v>75</v>
      </c>
      <c r="I406" t="s">
        <v>27</v>
      </c>
      <c r="J406" t="s">
        <v>171</v>
      </c>
      <c r="K406" t="str">
        <f>"515580"</f>
        <v>515580</v>
      </c>
    </row>
    <row r="407" spans="1:11" x14ac:dyDescent="0.25">
      <c r="A407">
        <v>2021</v>
      </c>
      <c r="B407" t="s">
        <v>2686</v>
      </c>
      <c r="C407" t="s">
        <v>2687</v>
      </c>
      <c r="D407" t="s">
        <v>19</v>
      </c>
      <c r="E407" t="s">
        <v>20</v>
      </c>
      <c r="F407" t="str">
        <f>"43609"</f>
        <v>43609</v>
      </c>
      <c r="G407" t="str">
        <f>"Pio448069"</f>
        <v>Pio448069</v>
      </c>
      <c r="H407" s="2">
        <f>20</f>
        <v>20</v>
      </c>
      <c r="I407" t="s">
        <v>86</v>
      </c>
      <c r="J407" t="s">
        <v>87</v>
      </c>
      <c r="K407" t="str">
        <f>"0"</f>
        <v>0</v>
      </c>
    </row>
    <row r="408" spans="1:11" x14ac:dyDescent="0.25">
      <c r="A408">
        <v>2021</v>
      </c>
      <c r="B408" t="s">
        <v>2688</v>
      </c>
      <c r="C408" t="s">
        <v>2689</v>
      </c>
      <c r="D408" t="s">
        <v>19</v>
      </c>
      <c r="E408" t="s">
        <v>20</v>
      </c>
      <c r="F408" t="str">
        <f t="shared" ref="F408:F413" si="8">"43605"</f>
        <v>43605</v>
      </c>
      <c r="G408" t="str">
        <f t="shared" ref="G408:G413" si="9">"402018"</f>
        <v>402018</v>
      </c>
      <c r="H408" s="2">
        <f>1.82</f>
        <v>1.82</v>
      </c>
      <c r="I408" t="s">
        <v>27</v>
      </c>
      <c r="J408" t="s">
        <v>171</v>
      </c>
      <c r="K408" t="str">
        <f>"517780"</f>
        <v>517780</v>
      </c>
    </row>
    <row r="409" spans="1:11" x14ac:dyDescent="0.25">
      <c r="A409">
        <v>2021</v>
      </c>
      <c r="B409" t="s">
        <v>2688</v>
      </c>
      <c r="C409" t="s">
        <v>2689</v>
      </c>
      <c r="D409" t="s">
        <v>19</v>
      </c>
      <c r="E409" t="s">
        <v>20</v>
      </c>
      <c r="F409" t="str">
        <f t="shared" si="8"/>
        <v>43605</v>
      </c>
      <c r="G409" t="str">
        <f t="shared" si="9"/>
        <v>402018</v>
      </c>
      <c r="H409" s="2">
        <f>1.82</f>
        <v>1.82</v>
      </c>
      <c r="I409" t="s">
        <v>27</v>
      </c>
      <c r="J409" t="s">
        <v>171</v>
      </c>
      <c r="K409" t="str">
        <f>"516985"</f>
        <v>516985</v>
      </c>
    </row>
    <row r="410" spans="1:11" x14ac:dyDescent="0.25">
      <c r="A410">
        <v>2021</v>
      </c>
      <c r="B410" t="s">
        <v>2688</v>
      </c>
      <c r="C410" t="s">
        <v>2689</v>
      </c>
      <c r="D410" t="s">
        <v>19</v>
      </c>
      <c r="E410" t="s">
        <v>20</v>
      </c>
      <c r="F410" t="str">
        <f t="shared" si="8"/>
        <v>43605</v>
      </c>
      <c r="G410" t="str">
        <f t="shared" si="9"/>
        <v>402018</v>
      </c>
      <c r="H410" s="2">
        <f>3.34</f>
        <v>3.34</v>
      </c>
      <c r="I410" t="s">
        <v>27</v>
      </c>
      <c r="J410" t="s">
        <v>171</v>
      </c>
      <c r="K410" t="str">
        <f>"516354"</f>
        <v>516354</v>
      </c>
    </row>
    <row r="411" spans="1:11" x14ac:dyDescent="0.25">
      <c r="A411">
        <v>2021</v>
      </c>
      <c r="B411" t="s">
        <v>2688</v>
      </c>
      <c r="C411" t="s">
        <v>2689</v>
      </c>
      <c r="D411" t="s">
        <v>19</v>
      </c>
      <c r="E411" t="s">
        <v>20</v>
      </c>
      <c r="F411" t="str">
        <f t="shared" si="8"/>
        <v>43605</v>
      </c>
      <c r="G411" t="str">
        <f t="shared" si="9"/>
        <v>402018</v>
      </c>
      <c r="H411" s="2">
        <f>1.67</f>
        <v>1.67</v>
      </c>
      <c r="I411" t="s">
        <v>27</v>
      </c>
      <c r="J411" t="s">
        <v>171</v>
      </c>
      <c r="K411" t="str">
        <f>"515654"</f>
        <v>515654</v>
      </c>
    </row>
    <row r="412" spans="1:11" x14ac:dyDescent="0.25">
      <c r="A412">
        <v>2021</v>
      </c>
      <c r="B412" t="s">
        <v>2688</v>
      </c>
      <c r="C412" t="s">
        <v>2689</v>
      </c>
      <c r="D412" t="s">
        <v>19</v>
      </c>
      <c r="E412" t="s">
        <v>20</v>
      </c>
      <c r="F412" t="str">
        <f t="shared" si="8"/>
        <v>43605</v>
      </c>
      <c r="G412" t="str">
        <f t="shared" si="9"/>
        <v>402018</v>
      </c>
      <c r="H412" s="2">
        <f>2.09</f>
        <v>2.09</v>
      </c>
      <c r="I412" t="s">
        <v>27</v>
      </c>
      <c r="J412" t="s">
        <v>171</v>
      </c>
      <c r="K412" t="str">
        <f>"516548"</f>
        <v>516548</v>
      </c>
    </row>
    <row r="413" spans="1:11" x14ac:dyDescent="0.25">
      <c r="A413">
        <v>2021</v>
      </c>
      <c r="B413" t="s">
        <v>2688</v>
      </c>
      <c r="C413" t="s">
        <v>2689</v>
      </c>
      <c r="D413" t="s">
        <v>19</v>
      </c>
      <c r="E413" t="s">
        <v>20</v>
      </c>
      <c r="F413" t="str">
        <f t="shared" si="8"/>
        <v>43605</v>
      </c>
      <c r="G413" t="str">
        <f t="shared" si="9"/>
        <v>402018</v>
      </c>
      <c r="H413" s="2">
        <f>1.82</f>
        <v>1.82</v>
      </c>
      <c r="I413" t="s">
        <v>27</v>
      </c>
      <c r="J413" t="s">
        <v>171</v>
      </c>
      <c r="K413" t="str">
        <f>"517922"</f>
        <v>517922</v>
      </c>
    </row>
    <row r="414" spans="1:11" x14ac:dyDescent="0.25">
      <c r="A414">
        <v>2021</v>
      </c>
      <c r="B414" t="s">
        <v>2690</v>
      </c>
      <c r="C414" t="s">
        <v>2691</v>
      </c>
      <c r="D414" t="s">
        <v>899</v>
      </c>
      <c r="E414" t="s">
        <v>20</v>
      </c>
      <c r="F414" t="str">
        <f>"43412"</f>
        <v>43412</v>
      </c>
      <c r="G414" t="str">
        <f>"Pio448069"</f>
        <v>Pio448069</v>
      </c>
      <c r="H414" s="2">
        <f>0.15</f>
        <v>0.15</v>
      </c>
      <c r="I414" t="s">
        <v>86</v>
      </c>
      <c r="J414" t="s">
        <v>87</v>
      </c>
      <c r="K414" t="str">
        <f>"0"</f>
        <v>0</v>
      </c>
    </row>
    <row r="415" spans="1:11" x14ac:dyDescent="0.25">
      <c r="A415">
        <v>2021</v>
      </c>
      <c r="B415" t="s">
        <v>2697</v>
      </c>
      <c r="C415" t="s">
        <v>2698</v>
      </c>
      <c r="D415" t="s">
        <v>2699</v>
      </c>
      <c r="E415" t="s">
        <v>20</v>
      </c>
      <c r="F415" t="str">
        <f>"44116"</f>
        <v>44116</v>
      </c>
      <c r="G415" t="str">
        <f>"402018"</f>
        <v>402018</v>
      </c>
      <c r="H415" s="2">
        <f>9.08</f>
        <v>9.08</v>
      </c>
      <c r="I415" t="s">
        <v>27</v>
      </c>
      <c r="J415" t="s">
        <v>171</v>
      </c>
      <c r="K415" t="str">
        <f>"517617"</f>
        <v>517617</v>
      </c>
    </row>
    <row r="416" spans="1:11" x14ac:dyDescent="0.25">
      <c r="A416">
        <v>2021</v>
      </c>
      <c r="B416" t="s">
        <v>2702</v>
      </c>
      <c r="C416" t="s">
        <v>2703</v>
      </c>
      <c r="D416" t="s">
        <v>2149</v>
      </c>
      <c r="E416" t="s">
        <v>20</v>
      </c>
      <c r="F416" t="str">
        <f>"43545"</f>
        <v>43545</v>
      </c>
      <c r="G416" t="str">
        <f>"Pio448069"</f>
        <v>Pio448069</v>
      </c>
      <c r="H416" s="2">
        <f>32.17</f>
        <v>32.17</v>
      </c>
      <c r="I416" t="s">
        <v>86</v>
      </c>
      <c r="J416" t="s">
        <v>87</v>
      </c>
      <c r="K416" t="str">
        <f>"0"</f>
        <v>0</v>
      </c>
    </row>
    <row r="417" spans="1:11" x14ac:dyDescent="0.25">
      <c r="A417">
        <v>2021</v>
      </c>
      <c r="B417" t="s">
        <v>2720</v>
      </c>
      <c r="C417" t="s">
        <v>1947</v>
      </c>
      <c r="F417" t="str">
        <f>""</f>
        <v/>
      </c>
      <c r="G417" t="str">
        <f>"Swucf4621"</f>
        <v>Swucf4621</v>
      </c>
      <c r="H417" s="2">
        <f>5.22</f>
        <v>5.22</v>
      </c>
      <c r="I417" t="s">
        <v>15</v>
      </c>
      <c r="J417" t="s">
        <v>81</v>
      </c>
      <c r="K417" t="str">
        <f>"6295009"</f>
        <v>6295009</v>
      </c>
    </row>
    <row r="418" spans="1:11" x14ac:dyDescent="0.25">
      <c r="A418">
        <v>2021</v>
      </c>
      <c r="B418" t="s">
        <v>2721</v>
      </c>
      <c r="C418" t="s">
        <v>2722</v>
      </c>
      <c r="D418" t="s">
        <v>19</v>
      </c>
      <c r="E418" t="s">
        <v>20</v>
      </c>
      <c r="F418" t="str">
        <f>"43613"</f>
        <v>43613</v>
      </c>
      <c r="G418" t="str">
        <f>"402018"</f>
        <v>402018</v>
      </c>
      <c r="H418" s="2">
        <f>23.34</f>
        <v>23.34</v>
      </c>
      <c r="I418" t="s">
        <v>27</v>
      </c>
      <c r="J418" t="s">
        <v>171</v>
      </c>
      <c r="K418" t="str">
        <f>"516810"</f>
        <v>516810</v>
      </c>
    </row>
    <row r="419" spans="1:11" x14ac:dyDescent="0.25">
      <c r="A419">
        <v>2021</v>
      </c>
      <c r="B419" t="s">
        <v>2733</v>
      </c>
      <c r="C419" t="s">
        <v>2734</v>
      </c>
      <c r="D419" t="s">
        <v>19</v>
      </c>
      <c r="E419" t="s">
        <v>20</v>
      </c>
      <c r="F419" t="str">
        <f>"43615-4428"</f>
        <v>43615-4428</v>
      </c>
      <c r="G419" t="str">
        <f>"402019"</f>
        <v>402019</v>
      </c>
      <c r="H419" s="2">
        <f>20</f>
        <v>20</v>
      </c>
      <c r="I419" t="s">
        <v>27</v>
      </c>
      <c r="J419" t="s">
        <v>42</v>
      </c>
      <c r="K419" t="str">
        <f>"112928"</f>
        <v>112928</v>
      </c>
    </row>
    <row r="420" spans="1:11" x14ac:dyDescent="0.25">
      <c r="A420">
        <v>2021</v>
      </c>
      <c r="B420" t="s">
        <v>2753</v>
      </c>
      <c r="C420" t="s">
        <v>2754</v>
      </c>
      <c r="D420" t="s">
        <v>19</v>
      </c>
      <c r="E420" t="s">
        <v>20</v>
      </c>
      <c r="F420" t="str">
        <f>"43617"</f>
        <v>43617</v>
      </c>
      <c r="G420" t="str">
        <f>"Pio448069"</f>
        <v>Pio448069</v>
      </c>
      <c r="H420" s="2">
        <f>5.18</f>
        <v>5.18</v>
      </c>
      <c r="I420" t="s">
        <v>86</v>
      </c>
      <c r="J420" t="s">
        <v>87</v>
      </c>
      <c r="K420" t="str">
        <f>"0"</f>
        <v>0</v>
      </c>
    </row>
    <row r="421" spans="1:11" x14ac:dyDescent="0.25">
      <c r="A421">
        <v>2021</v>
      </c>
      <c r="B421" t="s">
        <v>2767</v>
      </c>
      <c r="C421" t="s">
        <v>2768</v>
      </c>
      <c r="D421" t="s">
        <v>19</v>
      </c>
      <c r="E421" t="s">
        <v>20</v>
      </c>
      <c r="F421" t="str">
        <f>"43614-5240"</f>
        <v>43614-5240</v>
      </c>
      <c r="G421" t="str">
        <f>"402019"</f>
        <v>402019</v>
      </c>
      <c r="H421" s="2">
        <f>20</f>
        <v>20</v>
      </c>
      <c r="I421" t="s">
        <v>27</v>
      </c>
      <c r="J421" t="s">
        <v>42</v>
      </c>
      <c r="K421" t="str">
        <f>"112944"</f>
        <v>112944</v>
      </c>
    </row>
    <row r="422" spans="1:11" x14ac:dyDescent="0.25">
      <c r="A422">
        <v>2021</v>
      </c>
      <c r="B422" t="s">
        <v>2786</v>
      </c>
      <c r="C422" t="s">
        <v>2787</v>
      </c>
      <c r="D422" t="s">
        <v>19</v>
      </c>
      <c r="E422" t="s">
        <v>20</v>
      </c>
      <c r="F422" t="str">
        <f>"43623-2212"</f>
        <v>43623-2212</v>
      </c>
      <c r="G422" t="str">
        <f>"402019"</f>
        <v>402019</v>
      </c>
      <c r="H422" s="2">
        <f>10</f>
        <v>10</v>
      </c>
      <c r="I422" t="s">
        <v>27</v>
      </c>
      <c r="J422" t="s">
        <v>42</v>
      </c>
      <c r="K422" t="str">
        <f>"112668"</f>
        <v>112668</v>
      </c>
    </row>
    <row r="423" spans="1:11" x14ac:dyDescent="0.25">
      <c r="A423">
        <v>2021</v>
      </c>
      <c r="B423" t="s">
        <v>2796</v>
      </c>
      <c r="C423" t="s">
        <v>2797</v>
      </c>
      <c r="D423" t="s">
        <v>19</v>
      </c>
      <c r="E423" t="s">
        <v>20</v>
      </c>
      <c r="F423" t="str">
        <f>"43614-2645"</f>
        <v>43614-2645</v>
      </c>
      <c r="G423" t="str">
        <f>"402019"</f>
        <v>402019</v>
      </c>
      <c r="H423" s="2">
        <f>10</f>
        <v>10</v>
      </c>
      <c r="I423" t="s">
        <v>27</v>
      </c>
      <c r="J423" t="s">
        <v>42</v>
      </c>
      <c r="K423" t="str">
        <f>"115511"</f>
        <v>115511</v>
      </c>
    </row>
    <row r="424" spans="1:11" x14ac:dyDescent="0.25">
      <c r="A424">
        <v>2021</v>
      </c>
      <c r="B424" t="s">
        <v>2808</v>
      </c>
      <c r="C424" t="s">
        <v>2809</v>
      </c>
      <c r="D424" t="s">
        <v>50</v>
      </c>
      <c r="E424" t="s">
        <v>20</v>
      </c>
      <c r="F424" t="str">
        <f>"43560-9298"</f>
        <v>43560-9298</v>
      </c>
      <c r="G424" t="str">
        <f>"402019"</f>
        <v>402019</v>
      </c>
      <c r="H424" s="2">
        <f>10</f>
        <v>10</v>
      </c>
      <c r="I424" t="s">
        <v>27</v>
      </c>
      <c r="J424" t="s">
        <v>42</v>
      </c>
      <c r="K424" t="str">
        <f>"111492"</f>
        <v>111492</v>
      </c>
    </row>
    <row r="425" spans="1:11" x14ac:dyDescent="0.25">
      <c r="A425">
        <v>2021</v>
      </c>
      <c r="B425" t="s">
        <v>2812</v>
      </c>
      <c r="C425" t="s">
        <v>2813</v>
      </c>
      <c r="D425" t="s">
        <v>19</v>
      </c>
      <c r="E425" t="s">
        <v>20</v>
      </c>
      <c r="F425" t="str">
        <f>"43615-6808"</f>
        <v>43615-6808</v>
      </c>
      <c r="G425" t="str">
        <f>"402019"</f>
        <v>402019</v>
      </c>
      <c r="H425" s="2">
        <f>10</f>
        <v>10</v>
      </c>
      <c r="I425" t="s">
        <v>27</v>
      </c>
      <c r="J425" t="s">
        <v>42</v>
      </c>
      <c r="K425" t="str">
        <f>"114786"</f>
        <v>114786</v>
      </c>
    </row>
    <row r="426" spans="1:11" x14ac:dyDescent="0.25">
      <c r="A426">
        <v>2021</v>
      </c>
      <c r="B426" t="s">
        <v>2839</v>
      </c>
      <c r="C426" t="s">
        <v>2840</v>
      </c>
      <c r="D426" t="s">
        <v>19</v>
      </c>
      <c r="E426" t="s">
        <v>20</v>
      </c>
      <c r="F426" t="str">
        <f>"43612"</f>
        <v>43612</v>
      </c>
      <c r="G426" t="str">
        <f>"Je061721"</f>
        <v>Je061721</v>
      </c>
      <c r="H426" s="2">
        <f>95.59</f>
        <v>95.59</v>
      </c>
      <c r="I426" t="s">
        <v>15</v>
      </c>
      <c r="J426" t="s">
        <v>137</v>
      </c>
      <c r="K426" t="str">
        <f>"60008506"</f>
        <v>60008506</v>
      </c>
    </row>
    <row r="427" spans="1:11" x14ac:dyDescent="0.25">
      <c r="A427">
        <v>2021</v>
      </c>
      <c r="B427" t="s">
        <v>2847</v>
      </c>
      <c r="C427" t="s">
        <v>2848</v>
      </c>
      <c r="D427" t="s">
        <v>19</v>
      </c>
      <c r="E427" t="s">
        <v>20</v>
      </c>
      <c r="F427" t="str">
        <f>"43614-3933"</f>
        <v>43614-3933</v>
      </c>
      <c r="G427" t="str">
        <f>"402019"</f>
        <v>402019</v>
      </c>
      <c r="H427" s="2">
        <f>10</f>
        <v>10</v>
      </c>
      <c r="I427" t="s">
        <v>27</v>
      </c>
      <c r="J427" t="s">
        <v>42</v>
      </c>
      <c r="K427" t="str">
        <f>"115150"</f>
        <v>115150</v>
      </c>
    </row>
    <row r="428" spans="1:11" x14ac:dyDescent="0.25">
      <c r="A428">
        <v>2021</v>
      </c>
      <c r="B428" t="s">
        <v>2855</v>
      </c>
      <c r="C428" t="s">
        <v>2856</v>
      </c>
      <c r="D428" t="s">
        <v>19</v>
      </c>
      <c r="E428" t="s">
        <v>20</v>
      </c>
      <c r="F428" t="str">
        <f>"43605"</f>
        <v>43605</v>
      </c>
      <c r="G428" t="str">
        <f>"402063"</f>
        <v>402063</v>
      </c>
      <c r="H428" s="2">
        <f>6</f>
        <v>6</v>
      </c>
      <c r="I428" t="s">
        <v>27</v>
      </c>
      <c r="J428" t="s">
        <v>71</v>
      </c>
      <c r="K428" t="str">
        <f>"44008156"</f>
        <v>44008156</v>
      </c>
    </row>
    <row r="429" spans="1:11" x14ac:dyDescent="0.25">
      <c r="A429">
        <v>2021</v>
      </c>
      <c r="B429" t="s">
        <v>2857</v>
      </c>
      <c r="C429" t="s">
        <v>2858</v>
      </c>
      <c r="D429" t="s">
        <v>19</v>
      </c>
      <c r="E429" t="s">
        <v>20</v>
      </c>
      <c r="F429" t="str">
        <f>"43606-2705"</f>
        <v>43606-2705</v>
      </c>
      <c r="G429" t="str">
        <f>"402019"</f>
        <v>402019</v>
      </c>
      <c r="H429" s="2">
        <f>10</f>
        <v>10</v>
      </c>
      <c r="I429" t="s">
        <v>27</v>
      </c>
      <c r="J429" t="s">
        <v>42</v>
      </c>
      <c r="K429" t="str">
        <f>"111200"</f>
        <v>111200</v>
      </c>
    </row>
    <row r="430" spans="1:11" x14ac:dyDescent="0.25">
      <c r="A430">
        <v>2021</v>
      </c>
      <c r="B430" t="s">
        <v>2867</v>
      </c>
      <c r="C430" t="s">
        <v>2868</v>
      </c>
      <c r="D430" t="s">
        <v>125</v>
      </c>
      <c r="E430" t="s">
        <v>20</v>
      </c>
      <c r="F430" t="str">
        <f>"43537"</f>
        <v>43537</v>
      </c>
      <c r="G430" t="str">
        <f>"Pio448069"</f>
        <v>Pio448069</v>
      </c>
      <c r="H430" s="2">
        <f>1</f>
        <v>1</v>
      </c>
      <c r="I430" t="s">
        <v>86</v>
      </c>
      <c r="J430" t="s">
        <v>87</v>
      </c>
      <c r="K430" t="str">
        <f>"0"</f>
        <v>0</v>
      </c>
    </row>
    <row r="431" spans="1:11" x14ac:dyDescent="0.25">
      <c r="A431">
        <v>2021</v>
      </c>
      <c r="B431" t="s">
        <v>2871</v>
      </c>
      <c r="C431" t="s">
        <v>2872</v>
      </c>
      <c r="D431" t="s">
        <v>19</v>
      </c>
      <c r="E431" t="s">
        <v>20</v>
      </c>
      <c r="F431" t="str">
        <f>"43607-3762"</f>
        <v>43607-3762</v>
      </c>
      <c r="G431" t="str">
        <f>"402019"</f>
        <v>402019</v>
      </c>
      <c r="H431" s="2">
        <f>10</f>
        <v>10</v>
      </c>
      <c r="I431" t="s">
        <v>27</v>
      </c>
      <c r="J431" t="s">
        <v>42</v>
      </c>
      <c r="K431" t="str">
        <f>"112248"</f>
        <v>112248</v>
      </c>
    </row>
    <row r="432" spans="1:11" x14ac:dyDescent="0.25">
      <c r="A432">
        <v>2021</v>
      </c>
      <c r="B432" t="s">
        <v>2873</v>
      </c>
      <c r="C432" t="s">
        <v>2874</v>
      </c>
      <c r="D432" t="s">
        <v>19</v>
      </c>
      <c r="E432" t="s">
        <v>20</v>
      </c>
      <c r="F432" t="str">
        <f>"43605"</f>
        <v>43605</v>
      </c>
      <c r="G432" t="str">
        <f>"Je092221"</f>
        <v>Je092221</v>
      </c>
      <c r="H432" s="2">
        <f>262.31</f>
        <v>262.31</v>
      </c>
      <c r="I432" t="s">
        <v>15</v>
      </c>
      <c r="J432" t="s">
        <v>114</v>
      </c>
      <c r="K432" t="str">
        <f>"60010424"</f>
        <v>60010424</v>
      </c>
    </row>
    <row r="433" spans="1:11" x14ac:dyDescent="0.25">
      <c r="A433">
        <v>2021</v>
      </c>
      <c r="B433" t="s">
        <v>2879</v>
      </c>
      <c r="C433" t="s">
        <v>2880</v>
      </c>
      <c r="D433" t="s">
        <v>19</v>
      </c>
      <c r="E433" t="s">
        <v>20</v>
      </c>
      <c r="F433" t="str">
        <f>"43615-4633"</f>
        <v>43615-4633</v>
      </c>
      <c r="G433" t="str">
        <f>"402019"</f>
        <v>402019</v>
      </c>
      <c r="H433" s="2">
        <f>10</f>
        <v>10</v>
      </c>
      <c r="I433" t="s">
        <v>27</v>
      </c>
      <c r="J433" t="s">
        <v>42</v>
      </c>
      <c r="K433" t="str">
        <f>"112178"</f>
        <v>112178</v>
      </c>
    </row>
    <row r="434" spans="1:11" x14ac:dyDescent="0.25">
      <c r="A434">
        <v>2021</v>
      </c>
      <c r="B434" t="s">
        <v>2883</v>
      </c>
      <c r="C434" t="s">
        <v>2884</v>
      </c>
      <c r="D434" t="s">
        <v>19</v>
      </c>
      <c r="E434" t="s">
        <v>20</v>
      </c>
      <c r="F434" t="str">
        <f>"43604"</f>
        <v>43604</v>
      </c>
      <c r="G434" t="str">
        <f>"402018"</f>
        <v>402018</v>
      </c>
      <c r="H434" s="2">
        <f>9.08</f>
        <v>9.08</v>
      </c>
      <c r="I434" t="s">
        <v>27</v>
      </c>
      <c r="J434" t="s">
        <v>171</v>
      </c>
      <c r="K434" t="str">
        <f>"517618"</f>
        <v>517618</v>
      </c>
    </row>
    <row r="435" spans="1:11" x14ac:dyDescent="0.25">
      <c r="A435">
        <v>2021</v>
      </c>
      <c r="B435" t="s">
        <v>2885</v>
      </c>
      <c r="C435" t="s">
        <v>2886</v>
      </c>
      <c r="D435" t="s">
        <v>19</v>
      </c>
      <c r="E435" t="s">
        <v>20</v>
      </c>
      <c r="F435" t="str">
        <f>"43607"</f>
        <v>43607</v>
      </c>
      <c r="G435" t="str">
        <f>"Je092221"</f>
        <v>Je092221</v>
      </c>
      <c r="H435" s="2">
        <f>35</f>
        <v>35</v>
      </c>
      <c r="I435" t="s">
        <v>15</v>
      </c>
      <c r="J435" t="s">
        <v>114</v>
      </c>
      <c r="K435" t="str">
        <f>"60010784"</f>
        <v>60010784</v>
      </c>
    </row>
    <row r="436" spans="1:11" x14ac:dyDescent="0.25">
      <c r="A436">
        <v>2021</v>
      </c>
      <c r="B436" t="s">
        <v>2905</v>
      </c>
      <c r="C436" t="s">
        <v>2906</v>
      </c>
      <c r="D436" t="s">
        <v>2907</v>
      </c>
      <c r="E436" t="s">
        <v>14</v>
      </c>
      <c r="F436" t="str">
        <f>"48174"</f>
        <v>48174</v>
      </c>
      <c r="G436" t="str">
        <f>"Je110321"</f>
        <v>Je110321</v>
      </c>
      <c r="H436" s="2">
        <f>117.23</f>
        <v>117.23</v>
      </c>
      <c r="I436" t="s">
        <v>15</v>
      </c>
      <c r="J436" t="s">
        <v>596</v>
      </c>
      <c r="K436" t="str">
        <f>"60018965"</f>
        <v>60018965</v>
      </c>
    </row>
    <row r="437" spans="1:11" x14ac:dyDescent="0.25">
      <c r="A437">
        <v>2021</v>
      </c>
      <c r="B437" t="s">
        <v>2912</v>
      </c>
      <c r="C437" t="s">
        <v>2913</v>
      </c>
      <c r="D437" t="s">
        <v>19</v>
      </c>
      <c r="E437" t="s">
        <v>20</v>
      </c>
      <c r="F437" t="str">
        <f>"43615"</f>
        <v>43615</v>
      </c>
      <c r="G437" t="str">
        <f>"Swucf4621"</f>
        <v>Swucf4621</v>
      </c>
      <c r="H437" s="2">
        <f>117.9</f>
        <v>117.9</v>
      </c>
      <c r="I437" t="s">
        <v>15</v>
      </c>
      <c r="J437" t="s">
        <v>81</v>
      </c>
      <c r="K437" t="str">
        <f>"6296481"</f>
        <v>6296481</v>
      </c>
    </row>
    <row r="438" spans="1:11" x14ac:dyDescent="0.25">
      <c r="A438">
        <v>2021</v>
      </c>
      <c r="B438" t="s">
        <v>2961</v>
      </c>
      <c r="C438" t="s">
        <v>2962</v>
      </c>
      <c r="D438" t="s">
        <v>125</v>
      </c>
      <c r="E438" t="s">
        <v>20</v>
      </c>
      <c r="F438" t="str">
        <f>"43537-2025"</f>
        <v>43537-2025</v>
      </c>
      <c r="G438" t="str">
        <f>"402019"</f>
        <v>402019</v>
      </c>
      <c r="H438" s="2">
        <f>10</f>
        <v>10</v>
      </c>
      <c r="I438" t="s">
        <v>27</v>
      </c>
      <c r="J438" t="s">
        <v>42</v>
      </c>
      <c r="K438" t="str">
        <f>"114826"</f>
        <v>114826</v>
      </c>
    </row>
    <row r="439" spans="1:11" x14ac:dyDescent="0.25">
      <c r="A439">
        <v>2021</v>
      </c>
      <c r="B439" t="s">
        <v>2987</v>
      </c>
      <c r="C439" t="s">
        <v>2988</v>
      </c>
      <c r="D439" t="s">
        <v>899</v>
      </c>
      <c r="E439" t="s">
        <v>20</v>
      </c>
      <c r="F439" t="str">
        <f>"43412-9701"</f>
        <v>43412-9701</v>
      </c>
      <c r="G439" t="str">
        <f>"402019"</f>
        <v>402019</v>
      </c>
      <c r="H439" s="2">
        <f>10</f>
        <v>10</v>
      </c>
      <c r="I439" t="s">
        <v>27</v>
      </c>
      <c r="J439" t="s">
        <v>42</v>
      </c>
      <c r="K439" t="str">
        <f>"112734"</f>
        <v>112734</v>
      </c>
    </row>
    <row r="440" spans="1:11" x14ac:dyDescent="0.25">
      <c r="A440">
        <v>2021</v>
      </c>
      <c r="B440" t="s">
        <v>2991</v>
      </c>
      <c r="C440" t="s">
        <v>2992</v>
      </c>
      <c r="D440" t="s">
        <v>50</v>
      </c>
      <c r="E440" t="s">
        <v>20</v>
      </c>
      <c r="F440" t="str">
        <f>"43560-3570"</f>
        <v>43560-3570</v>
      </c>
      <c r="G440" t="str">
        <f>"402019"</f>
        <v>402019</v>
      </c>
      <c r="H440" s="2">
        <f>20</f>
        <v>20</v>
      </c>
      <c r="I440" t="s">
        <v>27</v>
      </c>
      <c r="J440" t="s">
        <v>42</v>
      </c>
      <c r="K440" t="str">
        <f>"115229"</f>
        <v>115229</v>
      </c>
    </row>
    <row r="441" spans="1:11" x14ac:dyDescent="0.25">
      <c r="A441">
        <v>2021</v>
      </c>
      <c r="B441" t="s">
        <v>2995</v>
      </c>
      <c r="C441" t="s">
        <v>2996</v>
      </c>
      <c r="D441" t="s">
        <v>19</v>
      </c>
      <c r="E441" t="s">
        <v>20</v>
      </c>
      <c r="F441" t="str">
        <f>"43623-1751"</f>
        <v>43623-1751</v>
      </c>
      <c r="G441" t="str">
        <f>"402019"</f>
        <v>402019</v>
      </c>
      <c r="H441" s="2">
        <f>10</f>
        <v>10</v>
      </c>
      <c r="I441" t="s">
        <v>27</v>
      </c>
      <c r="J441" t="s">
        <v>42</v>
      </c>
      <c r="K441" t="str">
        <f>"111423"</f>
        <v>111423</v>
      </c>
    </row>
    <row r="442" spans="1:11" x14ac:dyDescent="0.25">
      <c r="A442">
        <v>2021</v>
      </c>
      <c r="B442" t="s">
        <v>2999</v>
      </c>
      <c r="C442" t="s">
        <v>3000</v>
      </c>
      <c r="D442" t="s">
        <v>120</v>
      </c>
      <c r="E442" t="s">
        <v>20</v>
      </c>
      <c r="F442" t="str">
        <f>"43522-9655"</f>
        <v>43522-9655</v>
      </c>
      <c r="G442" t="str">
        <f>"402019"</f>
        <v>402019</v>
      </c>
      <c r="H442" s="2">
        <f>10</f>
        <v>10</v>
      </c>
      <c r="I442" t="s">
        <v>27</v>
      </c>
      <c r="J442" t="s">
        <v>42</v>
      </c>
      <c r="K442" t="str">
        <f>"111350"</f>
        <v>111350</v>
      </c>
    </row>
    <row r="443" spans="1:11" x14ac:dyDescent="0.25">
      <c r="A443">
        <v>2021</v>
      </c>
      <c r="B443" t="s">
        <v>3008</v>
      </c>
      <c r="C443" t="s">
        <v>3009</v>
      </c>
      <c r="D443" t="s">
        <v>3010</v>
      </c>
      <c r="E443" t="s">
        <v>2122</v>
      </c>
      <c r="F443" t="str">
        <f>"28574"</f>
        <v>28574</v>
      </c>
      <c r="G443" t="str">
        <f>"Je061721"</f>
        <v>Je061721</v>
      </c>
      <c r="H443" s="2">
        <f>55.47</f>
        <v>55.47</v>
      </c>
      <c r="I443" t="s">
        <v>15</v>
      </c>
      <c r="J443" t="s">
        <v>137</v>
      </c>
      <c r="K443" t="str">
        <f>"60006493"</f>
        <v>60006493</v>
      </c>
    </row>
    <row r="444" spans="1:11" x14ac:dyDescent="0.25">
      <c r="A444">
        <v>2021</v>
      </c>
      <c r="B444" t="s">
        <v>3008</v>
      </c>
      <c r="C444" t="s">
        <v>3009</v>
      </c>
      <c r="D444" t="s">
        <v>3010</v>
      </c>
      <c r="E444" t="s">
        <v>2122</v>
      </c>
      <c r="F444" t="str">
        <f>"28574"</f>
        <v>28574</v>
      </c>
      <c r="G444" t="str">
        <f>"Je061721"</f>
        <v>Je061721</v>
      </c>
      <c r="H444" s="2">
        <f>55.47</f>
        <v>55.47</v>
      </c>
      <c r="I444" t="s">
        <v>15</v>
      </c>
      <c r="J444" t="s">
        <v>137</v>
      </c>
      <c r="K444" t="str">
        <f>"60000379"</f>
        <v>60000379</v>
      </c>
    </row>
    <row r="445" spans="1:11" x14ac:dyDescent="0.25">
      <c r="A445">
        <v>2021</v>
      </c>
      <c r="B445" t="s">
        <v>3008</v>
      </c>
      <c r="C445" t="s">
        <v>3009</v>
      </c>
      <c r="D445" t="s">
        <v>3010</v>
      </c>
      <c r="E445" t="s">
        <v>2122</v>
      </c>
      <c r="F445" t="str">
        <f>"28574"</f>
        <v>28574</v>
      </c>
      <c r="G445" t="str">
        <f>"Je061721"</f>
        <v>Je061721</v>
      </c>
      <c r="H445" s="2">
        <f>55.47</f>
        <v>55.47</v>
      </c>
      <c r="I445" t="s">
        <v>15</v>
      </c>
      <c r="J445" t="s">
        <v>137</v>
      </c>
      <c r="K445" t="str">
        <f>"60003372"</f>
        <v>60003372</v>
      </c>
    </row>
    <row r="446" spans="1:11" x14ac:dyDescent="0.25">
      <c r="A446">
        <v>2021</v>
      </c>
      <c r="B446" t="s">
        <v>3008</v>
      </c>
      <c r="C446" t="s">
        <v>3009</v>
      </c>
      <c r="D446" t="s">
        <v>3010</v>
      </c>
      <c r="E446" t="s">
        <v>2122</v>
      </c>
      <c r="F446" t="str">
        <f>"28574"</f>
        <v>28574</v>
      </c>
      <c r="G446" t="str">
        <f>"Je092221"</f>
        <v>Je092221</v>
      </c>
      <c r="H446" s="2">
        <f>55.47</f>
        <v>55.47</v>
      </c>
      <c r="I446" t="s">
        <v>15</v>
      </c>
      <c r="J446" t="s">
        <v>114</v>
      </c>
      <c r="K446" t="str">
        <f>"60009518"</f>
        <v>60009518</v>
      </c>
    </row>
    <row r="447" spans="1:11" x14ac:dyDescent="0.25">
      <c r="A447">
        <v>2021</v>
      </c>
      <c r="B447" t="s">
        <v>3008</v>
      </c>
      <c r="C447" t="s">
        <v>3009</v>
      </c>
      <c r="D447" t="s">
        <v>3010</v>
      </c>
      <c r="E447" t="s">
        <v>2122</v>
      </c>
      <c r="F447" t="str">
        <f>"28574-6145"</f>
        <v>28574-6145</v>
      </c>
      <c r="G447" t="str">
        <f>"Swucf4621"</f>
        <v>Swucf4621</v>
      </c>
      <c r="H447" s="2">
        <f>55.47</f>
        <v>55.47</v>
      </c>
      <c r="I447" t="s">
        <v>15</v>
      </c>
      <c r="J447" t="s">
        <v>81</v>
      </c>
      <c r="K447" t="str">
        <f>"6298258"</f>
        <v>6298258</v>
      </c>
    </row>
    <row r="448" spans="1:11" x14ac:dyDescent="0.25">
      <c r="A448">
        <v>2021</v>
      </c>
      <c r="B448" t="s">
        <v>3008</v>
      </c>
      <c r="C448" t="s">
        <v>3009</v>
      </c>
      <c r="D448" t="s">
        <v>3010</v>
      </c>
      <c r="E448" t="s">
        <v>2122</v>
      </c>
      <c r="F448" t="str">
        <f>"28574-6145"</f>
        <v>28574-6145</v>
      </c>
      <c r="G448" t="str">
        <f>"Swucf4621"</f>
        <v>Swucf4621</v>
      </c>
      <c r="H448" s="2">
        <f>55.36</f>
        <v>55.36</v>
      </c>
      <c r="I448" t="s">
        <v>15</v>
      </c>
      <c r="J448" t="s">
        <v>81</v>
      </c>
      <c r="K448" t="str">
        <f>"6288706"</f>
        <v>6288706</v>
      </c>
    </row>
    <row r="449" spans="1:11" x14ac:dyDescent="0.25">
      <c r="A449">
        <v>2021</v>
      </c>
      <c r="B449" t="s">
        <v>3008</v>
      </c>
      <c r="C449" t="s">
        <v>3009</v>
      </c>
      <c r="D449" t="s">
        <v>3010</v>
      </c>
      <c r="E449" t="s">
        <v>2122</v>
      </c>
      <c r="F449" t="str">
        <f>"28574-6145"</f>
        <v>28574-6145</v>
      </c>
      <c r="G449" t="str">
        <f>"Swucf4621"</f>
        <v>Swucf4621</v>
      </c>
      <c r="H449" s="2">
        <f>55.36</f>
        <v>55.36</v>
      </c>
      <c r="I449" t="s">
        <v>15</v>
      </c>
      <c r="J449" t="s">
        <v>81</v>
      </c>
      <c r="K449" t="str">
        <f>"6291872"</f>
        <v>6291872</v>
      </c>
    </row>
    <row r="450" spans="1:11" x14ac:dyDescent="0.25">
      <c r="A450">
        <v>2021</v>
      </c>
      <c r="B450" t="s">
        <v>3008</v>
      </c>
      <c r="C450" t="s">
        <v>3009</v>
      </c>
      <c r="D450" t="s">
        <v>3010</v>
      </c>
      <c r="E450" t="s">
        <v>2122</v>
      </c>
      <c r="F450" t="str">
        <f>"28574-6145"</f>
        <v>28574-6145</v>
      </c>
      <c r="G450" t="str">
        <f>"Swucf4621"</f>
        <v>Swucf4621</v>
      </c>
      <c r="H450" s="2">
        <f>55.36</f>
        <v>55.36</v>
      </c>
      <c r="I450" t="s">
        <v>15</v>
      </c>
      <c r="J450" t="s">
        <v>81</v>
      </c>
      <c r="K450" t="str">
        <f>"6290321"</f>
        <v>6290321</v>
      </c>
    </row>
    <row r="451" spans="1:11" x14ac:dyDescent="0.25">
      <c r="A451">
        <v>2021</v>
      </c>
      <c r="B451" t="s">
        <v>3008</v>
      </c>
      <c r="C451" t="s">
        <v>3009</v>
      </c>
      <c r="D451" t="s">
        <v>3010</v>
      </c>
      <c r="E451" t="s">
        <v>2122</v>
      </c>
      <c r="F451" t="str">
        <f>"28574"</f>
        <v>28574</v>
      </c>
      <c r="G451" t="str">
        <f>"Je110321"</f>
        <v>Je110321</v>
      </c>
      <c r="H451" s="2">
        <f>46.17</f>
        <v>46.17</v>
      </c>
      <c r="I451" t="s">
        <v>15</v>
      </c>
      <c r="J451" t="s">
        <v>596</v>
      </c>
      <c r="K451" t="str">
        <f>"60017468"</f>
        <v>60017468</v>
      </c>
    </row>
    <row r="452" spans="1:11" x14ac:dyDescent="0.25">
      <c r="A452">
        <v>2021</v>
      </c>
      <c r="B452" t="s">
        <v>3008</v>
      </c>
      <c r="C452" t="s">
        <v>3009</v>
      </c>
      <c r="D452" t="s">
        <v>3010</v>
      </c>
      <c r="E452" t="s">
        <v>2122</v>
      </c>
      <c r="F452" t="str">
        <f>"28574"</f>
        <v>28574</v>
      </c>
      <c r="G452" t="str">
        <f>"Je110321"</f>
        <v>Je110321</v>
      </c>
      <c r="H452" s="2">
        <f>46.17</f>
        <v>46.17</v>
      </c>
      <c r="I452" t="s">
        <v>15</v>
      </c>
      <c r="J452" t="s">
        <v>596</v>
      </c>
      <c r="K452" t="str">
        <f>"60019991"</f>
        <v>60019991</v>
      </c>
    </row>
    <row r="453" spans="1:11" x14ac:dyDescent="0.25">
      <c r="A453">
        <v>2021</v>
      </c>
      <c r="B453" t="s">
        <v>3008</v>
      </c>
      <c r="C453" t="s">
        <v>3009</v>
      </c>
      <c r="D453" t="s">
        <v>3010</v>
      </c>
      <c r="E453" t="s">
        <v>2122</v>
      </c>
      <c r="F453" t="str">
        <f>"28574"</f>
        <v>28574</v>
      </c>
      <c r="G453" t="str">
        <f>"Je092221"</f>
        <v>Je092221</v>
      </c>
      <c r="H453" s="2">
        <f>46.17</f>
        <v>46.17</v>
      </c>
      <c r="I453" t="s">
        <v>15</v>
      </c>
      <c r="J453" t="s">
        <v>114</v>
      </c>
      <c r="K453" t="str">
        <f>"60015219"</f>
        <v>60015219</v>
      </c>
    </row>
    <row r="454" spans="1:11" x14ac:dyDescent="0.25">
      <c r="A454">
        <v>2021</v>
      </c>
      <c r="B454" t="s">
        <v>3008</v>
      </c>
      <c r="C454" t="s">
        <v>3009</v>
      </c>
      <c r="D454" t="s">
        <v>3010</v>
      </c>
      <c r="E454" t="s">
        <v>2122</v>
      </c>
      <c r="F454" t="str">
        <f>"28574"</f>
        <v>28574</v>
      </c>
      <c r="G454" t="str">
        <f>"Je092221"</f>
        <v>Je092221</v>
      </c>
      <c r="H454" s="2">
        <f>46.17</f>
        <v>46.17</v>
      </c>
      <c r="I454" t="s">
        <v>15</v>
      </c>
      <c r="J454" t="s">
        <v>114</v>
      </c>
      <c r="K454" t="str">
        <f>"60013133"</f>
        <v>60013133</v>
      </c>
    </row>
    <row r="455" spans="1:11" x14ac:dyDescent="0.25">
      <c r="A455">
        <v>2021</v>
      </c>
      <c r="B455" t="s">
        <v>3008</v>
      </c>
      <c r="C455" t="s">
        <v>3009</v>
      </c>
      <c r="D455" t="s">
        <v>3010</v>
      </c>
      <c r="E455" t="s">
        <v>2122</v>
      </c>
      <c r="F455" t="str">
        <f>"28574"</f>
        <v>28574</v>
      </c>
      <c r="G455" t="str">
        <f>"Je110321"</f>
        <v>Je110321</v>
      </c>
      <c r="H455" s="2">
        <f>46.17</f>
        <v>46.17</v>
      </c>
      <c r="I455" t="s">
        <v>15</v>
      </c>
      <c r="J455" t="s">
        <v>596</v>
      </c>
      <c r="K455" t="str">
        <f>"60023481"</f>
        <v>60023481</v>
      </c>
    </row>
    <row r="456" spans="1:11" x14ac:dyDescent="0.25">
      <c r="A456">
        <v>2021</v>
      </c>
      <c r="B456" t="s">
        <v>3011</v>
      </c>
      <c r="C456" t="s">
        <v>3012</v>
      </c>
      <c r="D456" t="s">
        <v>19</v>
      </c>
      <c r="E456" t="s">
        <v>20</v>
      </c>
      <c r="F456" t="str">
        <f>"43613-4930"</f>
        <v>43613-4930</v>
      </c>
      <c r="G456" t="str">
        <f>"402019"</f>
        <v>402019</v>
      </c>
      <c r="H456" s="2">
        <f>20</f>
        <v>20</v>
      </c>
      <c r="I456" t="s">
        <v>27</v>
      </c>
      <c r="J456" t="s">
        <v>42</v>
      </c>
      <c r="K456" t="str">
        <f>"116046"</f>
        <v>116046</v>
      </c>
    </row>
    <row r="457" spans="1:11" x14ac:dyDescent="0.25">
      <c r="A457">
        <v>2021</v>
      </c>
      <c r="B457" t="s">
        <v>3019</v>
      </c>
      <c r="C457" t="s">
        <v>3020</v>
      </c>
      <c r="D457" t="s">
        <v>64</v>
      </c>
      <c r="E457" t="s">
        <v>20</v>
      </c>
      <c r="F457" t="str">
        <f>"43566-1734"</f>
        <v>43566-1734</v>
      </c>
      <c r="G457" t="str">
        <f>"402019"</f>
        <v>402019</v>
      </c>
      <c r="H457" s="2">
        <f>10</f>
        <v>10</v>
      </c>
      <c r="I457" t="s">
        <v>27</v>
      </c>
      <c r="J457" t="s">
        <v>42</v>
      </c>
      <c r="K457" t="str">
        <f>"115854"</f>
        <v>115854</v>
      </c>
    </row>
    <row r="458" spans="1:11" x14ac:dyDescent="0.25">
      <c r="A458">
        <v>2021</v>
      </c>
      <c r="B458" t="s">
        <v>3021</v>
      </c>
      <c r="C458" t="s">
        <v>3022</v>
      </c>
      <c r="D458" t="s">
        <v>58</v>
      </c>
      <c r="E458" t="s">
        <v>20</v>
      </c>
      <c r="F458" t="str">
        <f>"43616-5784"</f>
        <v>43616-5784</v>
      </c>
      <c r="G458" t="str">
        <f>"402019"</f>
        <v>402019</v>
      </c>
      <c r="H458" s="2">
        <f>10</f>
        <v>10</v>
      </c>
      <c r="I458" t="s">
        <v>27</v>
      </c>
      <c r="J458" t="s">
        <v>42</v>
      </c>
      <c r="K458" t="str">
        <f>"111300"</f>
        <v>111300</v>
      </c>
    </row>
    <row r="459" spans="1:11" x14ac:dyDescent="0.25">
      <c r="A459">
        <v>2021</v>
      </c>
      <c r="B459" t="s">
        <v>3023</v>
      </c>
      <c r="C459" t="s">
        <v>3024</v>
      </c>
      <c r="D459" t="s">
        <v>50</v>
      </c>
      <c r="E459" t="s">
        <v>20</v>
      </c>
      <c r="F459" t="str">
        <f>"43560"</f>
        <v>43560</v>
      </c>
      <c r="G459" t="str">
        <f>"402017"</f>
        <v>402017</v>
      </c>
      <c r="H459" s="2">
        <f>182.76</f>
        <v>182.76</v>
      </c>
      <c r="I459" t="s">
        <v>27</v>
      </c>
      <c r="J459" t="s">
        <v>212</v>
      </c>
      <c r="K459" t="str">
        <f>"35337"</f>
        <v>35337</v>
      </c>
    </row>
    <row r="460" spans="1:11" x14ac:dyDescent="0.25">
      <c r="A460">
        <v>2021</v>
      </c>
      <c r="B460" t="s">
        <v>3029</v>
      </c>
      <c r="C460" t="s">
        <v>3030</v>
      </c>
      <c r="D460" t="s">
        <v>19</v>
      </c>
      <c r="E460" t="s">
        <v>20</v>
      </c>
      <c r="F460" t="str">
        <f>"43604"</f>
        <v>43604</v>
      </c>
      <c r="G460" t="str">
        <f>"402019"</f>
        <v>402019</v>
      </c>
      <c r="H460" s="2">
        <f>10</f>
        <v>10</v>
      </c>
      <c r="I460" t="s">
        <v>27</v>
      </c>
      <c r="J460" t="s">
        <v>42</v>
      </c>
      <c r="K460" t="str">
        <f>"112175"</f>
        <v>112175</v>
      </c>
    </row>
    <row r="461" spans="1:11" x14ac:dyDescent="0.25">
      <c r="A461">
        <v>2021</v>
      </c>
      <c r="B461" t="s">
        <v>3033</v>
      </c>
      <c r="C461" t="s">
        <v>3034</v>
      </c>
      <c r="D461" t="s">
        <v>19</v>
      </c>
      <c r="E461" t="s">
        <v>20</v>
      </c>
      <c r="F461" t="str">
        <f>"43613-3948"</f>
        <v>43613-3948</v>
      </c>
      <c r="G461" t="str">
        <f>"402019"</f>
        <v>402019</v>
      </c>
      <c r="H461" s="2">
        <f>20</f>
        <v>20</v>
      </c>
      <c r="I461" t="s">
        <v>27</v>
      </c>
      <c r="J461" t="s">
        <v>42</v>
      </c>
      <c r="K461" t="str">
        <f>"112383"</f>
        <v>112383</v>
      </c>
    </row>
    <row r="462" spans="1:11" x14ac:dyDescent="0.25">
      <c r="A462">
        <v>2021</v>
      </c>
      <c r="B462" t="s">
        <v>3041</v>
      </c>
      <c r="C462" t="s">
        <v>3040</v>
      </c>
      <c r="D462" t="s">
        <v>19</v>
      </c>
      <c r="E462" t="s">
        <v>20</v>
      </c>
      <c r="F462" t="str">
        <f t="shared" ref="F462:F468" si="10">"43610"</f>
        <v>43610</v>
      </c>
      <c r="G462" t="str">
        <f t="shared" ref="G462:G468" si="11">"402018"</f>
        <v>402018</v>
      </c>
      <c r="H462" s="2">
        <f>4</f>
        <v>4</v>
      </c>
      <c r="I462" t="s">
        <v>27</v>
      </c>
      <c r="J462" t="s">
        <v>171</v>
      </c>
      <c r="K462" t="str">
        <f>"515360"</f>
        <v>515360</v>
      </c>
    </row>
    <row r="463" spans="1:11" x14ac:dyDescent="0.25">
      <c r="A463">
        <v>2021</v>
      </c>
      <c r="B463" t="s">
        <v>3041</v>
      </c>
      <c r="C463" t="s">
        <v>3040</v>
      </c>
      <c r="D463" t="s">
        <v>19</v>
      </c>
      <c r="E463" t="s">
        <v>20</v>
      </c>
      <c r="F463" t="str">
        <f t="shared" si="10"/>
        <v>43610</v>
      </c>
      <c r="G463" t="str">
        <f t="shared" si="11"/>
        <v>402018</v>
      </c>
      <c r="H463" s="2">
        <f>2.95</f>
        <v>2.95</v>
      </c>
      <c r="I463" t="s">
        <v>27</v>
      </c>
      <c r="J463" t="s">
        <v>171</v>
      </c>
      <c r="K463" t="str">
        <f>"515540"</f>
        <v>515540</v>
      </c>
    </row>
    <row r="464" spans="1:11" x14ac:dyDescent="0.25">
      <c r="A464">
        <v>2021</v>
      </c>
      <c r="B464" t="s">
        <v>3041</v>
      </c>
      <c r="C464" t="s">
        <v>3040</v>
      </c>
      <c r="D464" t="s">
        <v>19</v>
      </c>
      <c r="E464" t="s">
        <v>20</v>
      </c>
      <c r="F464" t="str">
        <f t="shared" si="10"/>
        <v>43610</v>
      </c>
      <c r="G464" t="str">
        <f t="shared" si="11"/>
        <v>402018</v>
      </c>
      <c r="H464" s="2">
        <f>3.5</f>
        <v>3.5</v>
      </c>
      <c r="I464" t="s">
        <v>27</v>
      </c>
      <c r="J464" t="s">
        <v>171</v>
      </c>
      <c r="K464" t="str">
        <f>"516975"</f>
        <v>516975</v>
      </c>
    </row>
    <row r="465" spans="1:11" x14ac:dyDescent="0.25">
      <c r="A465">
        <v>2021</v>
      </c>
      <c r="B465" t="s">
        <v>3041</v>
      </c>
      <c r="C465" t="s">
        <v>3040</v>
      </c>
      <c r="D465" t="s">
        <v>19</v>
      </c>
      <c r="E465" t="s">
        <v>20</v>
      </c>
      <c r="F465" t="str">
        <f t="shared" si="10"/>
        <v>43610</v>
      </c>
      <c r="G465" t="str">
        <f t="shared" si="11"/>
        <v>402018</v>
      </c>
      <c r="H465" s="2">
        <f>3.05</f>
        <v>3.05</v>
      </c>
      <c r="I465" t="s">
        <v>27</v>
      </c>
      <c r="J465" t="s">
        <v>171</v>
      </c>
      <c r="K465" t="str">
        <f>"515801"</f>
        <v>515801</v>
      </c>
    </row>
    <row r="466" spans="1:11" x14ac:dyDescent="0.25">
      <c r="A466">
        <v>2021</v>
      </c>
      <c r="B466" t="s">
        <v>3041</v>
      </c>
      <c r="C466" t="s">
        <v>3040</v>
      </c>
      <c r="D466" t="s">
        <v>19</v>
      </c>
      <c r="E466" t="s">
        <v>20</v>
      </c>
      <c r="F466" t="str">
        <f t="shared" si="10"/>
        <v>43610</v>
      </c>
      <c r="G466" t="str">
        <f t="shared" si="11"/>
        <v>402018</v>
      </c>
      <c r="H466" s="2">
        <f>2.9</f>
        <v>2.9</v>
      </c>
      <c r="I466" t="s">
        <v>27</v>
      </c>
      <c r="J466" t="s">
        <v>171</v>
      </c>
      <c r="K466" t="str">
        <f>"516344"</f>
        <v>516344</v>
      </c>
    </row>
    <row r="467" spans="1:11" x14ac:dyDescent="0.25">
      <c r="A467">
        <v>2021</v>
      </c>
      <c r="B467" t="s">
        <v>3041</v>
      </c>
      <c r="C467" t="s">
        <v>3040</v>
      </c>
      <c r="D467" t="s">
        <v>19</v>
      </c>
      <c r="E467" t="s">
        <v>20</v>
      </c>
      <c r="F467" t="str">
        <f t="shared" si="10"/>
        <v>43610</v>
      </c>
      <c r="G467" t="str">
        <f t="shared" si="11"/>
        <v>402018</v>
      </c>
      <c r="H467" s="2">
        <f>2.95</f>
        <v>2.95</v>
      </c>
      <c r="I467" t="s">
        <v>27</v>
      </c>
      <c r="J467" t="s">
        <v>171</v>
      </c>
      <c r="K467" t="str">
        <f>"516764"</f>
        <v>516764</v>
      </c>
    </row>
    <row r="468" spans="1:11" x14ac:dyDescent="0.25">
      <c r="A468">
        <v>2021</v>
      </c>
      <c r="B468" t="s">
        <v>3041</v>
      </c>
      <c r="C468" t="s">
        <v>3040</v>
      </c>
      <c r="D468" t="s">
        <v>19</v>
      </c>
      <c r="E468" t="s">
        <v>20</v>
      </c>
      <c r="F468" t="str">
        <f t="shared" si="10"/>
        <v>43610</v>
      </c>
      <c r="G468" t="str">
        <f t="shared" si="11"/>
        <v>402018</v>
      </c>
      <c r="H468" s="2">
        <f>2</f>
        <v>2</v>
      </c>
      <c r="I468" t="s">
        <v>27</v>
      </c>
      <c r="J468" t="s">
        <v>171</v>
      </c>
      <c r="K468" t="str">
        <f>"516539"</f>
        <v>516539</v>
      </c>
    </row>
    <row r="469" spans="1:11" x14ac:dyDescent="0.25">
      <c r="A469">
        <v>2021</v>
      </c>
      <c r="B469" t="s">
        <v>3048</v>
      </c>
      <c r="C469" t="s">
        <v>3049</v>
      </c>
      <c r="D469" t="s">
        <v>19</v>
      </c>
      <c r="E469" t="s">
        <v>20</v>
      </c>
      <c r="F469" t="str">
        <f>"43614-4113"</f>
        <v>43614-4113</v>
      </c>
      <c r="G469" t="str">
        <f>"402019"</f>
        <v>402019</v>
      </c>
      <c r="H469" s="2">
        <f>10</f>
        <v>10</v>
      </c>
      <c r="I469" t="s">
        <v>27</v>
      </c>
      <c r="J469" t="s">
        <v>42</v>
      </c>
      <c r="K469" t="str">
        <f>"112739"</f>
        <v>112739</v>
      </c>
    </row>
    <row r="470" spans="1:11" x14ac:dyDescent="0.25">
      <c r="A470">
        <v>2021</v>
      </c>
      <c r="B470" t="s">
        <v>3066</v>
      </c>
      <c r="C470" t="s">
        <v>3067</v>
      </c>
      <c r="D470" t="s">
        <v>105</v>
      </c>
      <c r="E470" t="s">
        <v>20</v>
      </c>
      <c r="F470" t="str">
        <f>"43528"</f>
        <v>43528</v>
      </c>
      <c r="G470" t="str">
        <f>"402017"</f>
        <v>402017</v>
      </c>
      <c r="H470" s="2">
        <f>4.12</f>
        <v>4.12</v>
      </c>
      <c r="I470" t="s">
        <v>27</v>
      </c>
      <c r="J470" t="s">
        <v>212</v>
      </c>
      <c r="K470" t="str">
        <f>"32441"</f>
        <v>32441</v>
      </c>
    </row>
    <row r="471" spans="1:11" x14ac:dyDescent="0.25">
      <c r="A471">
        <v>2021</v>
      </c>
      <c r="B471" t="s">
        <v>3068</v>
      </c>
      <c r="C471" t="s">
        <v>3069</v>
      </c>
      <c r="D471" t="s">
        <v>19</v>
      </c>
      <c r="E471" t="s">
        <v>20</v>
      </c>
      <c r="F471" t="str">
        <f>"43612"</f>
        <v>43612</v>
      </c>
      <c r="G471" t="str">
        <f>"Pio448069"</f>
        <v>Pio448069</v>
      </c>
      <c r="H471" s="2">
        <f>7.19</f>
        <v>7.19</v>
      </c>
      <c r="I471" t="s">
        <v>86</v>
      </c>
      <c r="J471" t="s">
        <v>87</v>
      </c>
      <c r="K471" t="str">
        <f>"0"</f>
        <v>0</v>
      </c>
    </row>
    <row r="472" spans="1:11" x14ac:dyDescent="0.25">
      <c r="A472">
        <v>2021</v>
      </c>
      <c r="B472" t="s">
        <v>3070</v>
      </c>
      <c r="C472" t="s">
        <v>3071</v>
      </c>
      <c r="D472" t="s">
        <v>19</v>
      </c>
      <c r="E472" t="s">
        <v>20</v>
      </c>
      <c r="F472" t="str">
        <f>"43615"</f>
        <v>43615</v>
      </c>
      <c r="G472" t="str">
        <f>"Pio448069"</f>
        <v>Pio448069</v>
      </c>
      <c r="H472" s="2">
        <f>0.31</f>
        <v>0.31</v>
      </c>
      <c r="I472" t="s">
        <v>86</v>
      </c>
      <c r="J472" t="s">
        <v>87</v>
      </c>
      <c r="K472" t="str">
        <f>"0"</f>
        <v>0</v>
      </c>
    </row>
    <row r="473" spans="1:11" x14ac:dyDescent="0.25">
      <c r="A473">
        <v>2021</v>
      </c>
      <c r="B473" t="s">
        <v>3073</v>
      </c>
      <c r="C473" t="s">
        <v>3074</v>
      </c>
      <c r="D473" t="s">
        <v>105</v>
      </c>
      <c r="E473" t="s">
        <v>20</v>
      </c>
      <c r="F473" t="str">
        <f>"43528-9637"</f>
        <v>43528-9637</v>
      </c>
      <c r="G473" t="str">
        <f>"402019"</f>
        <v>402019</v>
      </c>
      <c r="H473" s="2">
        <f>10</f>
        <v>10</v>
      </c>
      <c r="I473" t="s">
        <v>27</v>
      </c>
      <c r="J473" t="s">
        <v>42</v>
      </c>
      <c r="K473" t="str">
        <f>"114359"</f>
        <v>114359</v>
      </c>
    </row>
    <row r="474" spans="1:11" x14ac:dyDescent="0.25">
      <c r="A474">
        <v>2021</v>
      </c>
      <c r="B474" t="s">
        <v>3077</v>
      </c>
      <c r="C474" t="s">
        <v>3078</v>
      </c>
      <c r="D474" t="s">
        <v>3079</v>
      </c>
      <c r="E474" t="s">
        <v>216</v>
      </c>
      <c r="F474" t="str">
        <f>"46614"</f>
        <v>46614</v>
      </c>
      <c r="G474" t="str">
        <f>"Pio448069"</f>
        <v>Pio448069</v>
      </c>
      <c r="H474" s="2">
        <f>10</f>
        <v>10</v>
      </c>
      <c r="I474" t="s">
        <v>86</v>
      </c>
      <c r="J474" t="s">
        <v>87</v>
      </c>
      <c r="K474" t="str">
        <f>"0"</f>
        <v>0</v>
      </c>
    </row>
    <row r="475" spans="1:11" x14ac:dyDescent="0.25">
      <c r="A475">
        <v>2021</v>
      </c>
      <c r="B475" t="s">
        <v>3096</v>
      </c>
      <c r="C475" t="s">
        <v>3097</v>
      </c>
      <c r="D475" t="s">
        <v>50</v>
      </c>
      <c r="E475" t="s">
        <v>20</v>
      </c>
      <c r="F475" t="str">
        <f>"43560-8608"</f>
        <v>43560-8608</v>
      </c>
      <c r="G475" t="str">
        <f>"402019"</f>
        <v>402019</v>
      </c>
      <c r="H475" s="2">
        <f>10</f>
        <v>10</v>
      </c>
      <c r="I475" t="s">
        <v>27</v>
      </c>
      <c r="J475" t="s">
        <v>42</v>
      </c>
      <c r="K475" t="str">
        <f>"114681"</f>
        <v>114681</v>
      </c>
    </row>
    <row r="476" spans="1:11" x14ac:dyDescent="0.25">
      <c r="A476">
        <v>2021</v>
      </c>
      <c r="B476" t="s">
        <v>3100</v>
      </c>
      <c r="C476" t="s">
        <v>3101</v>
      </c>
      <c r="D476" t="s">
        <v>1074</v>
      </c>
      <c r="E476" t="s">
        <v>20</v>
      </c>
      <c r="F476" t="str">
        <f>"43551-9040"</f>
        <v>43551-9040</v>
      </c>
      <c r="G476" t="str">
        <f>"Swucf4621"</f>
        <v>Swucf4621</v>
      </c>
      <c r="H476" s="2">
        <f>92.27</f>
        <v>92.27</v>
      </c>
      <c r="I476" t="s">
        <v>15</v>
      </c>
      <c r="J476" t="s">
        <v>81</v>
      </c>
      <c r="K476" t="str">
        <f>"6290330"</f>
        <v>6290330</v>
      </c>
    </row>
    <row r="477" spans="1:11" x14ac:dyDescent="0.25">
      <c r="A477">
        <v>2021</v>
      </c>
      <c r="B477" t="s">
        <v>3100</v>
      </c>
      <c r="C477" t="s">
        <v>3101</v>
      </c>
      <c r="D477" t="s">
        <v>1074</v>
      </c>
      <c r="E477" t="s">
        <v>20</v>
      </c>
      <c r="F477" t="str">
        <f>"43551-9040"</f>
        <v>43551-9040</v>
      </c>
      <c r="G477" t="str">
        <f>"Swucf4621"</f>
        <v>Swucf4621</v>
      </c>
      <c r="H477" s="2">
        <f>92.27</f>
        <v>92.27</v>
      </c>
      <c r="I477" t="s">
        <v>15</v>
      </c>
      <c r="J477" t="s">
        <v>81</v>
      </c>
      <c r="K477" t="str">
        <f>"6288715"</f>
        <v>6288715</v>
      </c>
    </row>
    <row r="478" spans="1:11" x14ac:dyDescent="0.25">
      <c r="A478">
        <v>2021</v>
      </c>
      <c r="B478" t="s">
        <v>3104</v>
      </c>
      <c r="C478" t="s">
        <v>3105</v>
      </c>
      <c r="D478" t="s">
        <v>19</v>
      </c>
      <c r="E478" t="s">
        <v>20</v>
      </c>
      <c r="F478" t="str">
        <f>"43604-8411"</f>
        <v>43604-8411</v>
      </c>
      <c r="G478" t="str">
        <f>"Swucf4621"</f>
        <v>Swucf4621</v>
      </c>
      <c r="H478" s="2">
        <f>18.45</f>
        <v>18.45</v>
      </c>
      <c r="I478" t="s">
        <v>15</v>
      </c>
      <c r="J478" t="s">
        <v>81</v>
      </c>
      <c r="K478" t="str">
        <f>"6291884"</f>
        <v>6291884</v>
      </c>
    </row>
    <row r="479" spans="1:11" x14ac:dyDescent="0.25">
      <c r="A479">
        <v>2021</v>
      </c>
      <c r="B479" t="s">
        <v>3104</v>
      </c>
      <c r="C479" t="s">
        <v>3105</v>
      </c>
      <c r="D479" t="s">
        <v>19</v>
      </c>
      <c r="E479" t="s">
        <v>20</v>
      </c>
      <c r="F479" t="str">
        <f>"43604-8411"</f>
        <v>43604-8411</v>
      </c>
      <c r="G479" t="str">
        <f>"Swucf4621"</f>
        <v>Swucf4621</v>
      </c>
      <c r="H479" s="2">
        <f>18.49</f>
        <v>18.489999999999998</v>
      </c>
      <c r="I479" t="s">
        <v>15</v>
      </c>
      <c r="J479" t="s">
        <v>81</v>
      </c>
      <c r="K479" t="str">
        <f>"6298268"</f>
        <v>6298268</v>
      </c>
    </row>
    <row r="480" spans="1:11" x14ac:dyDescent="0.25">
      <c r="A480">
        <v>2021</v>
      </c>
      <c r="B480" t="s">
        <v>3104</v>
      </c>
      <c r="C480" t="s">
        <v>3105</v>
      </c>
      <c r="D480" t="s">
        <v>19</v>
      </c>
      <c r="E480" t="s">
        <v>20</v>
      </c>
      <c r="F480" t="str">
        <f>"43604-8411"</f>
        <v>43604-8411</v>
      </c>
      <c r="G480" t="str">
        <f>"Swucf4621"</f>
        <v>Swucf4621</v>
      </c>
      <c r="H480" s="2">
        <f>18.49</f>
        <v>18.489999999999998</v>
      </c>
      <c r="I480" t="s">
        <v>15</v>
      </c>
      <c r="J480" t="s">
        <v>81</v>
      </c>
      <c r="K480" t="str">
        <f>"6293469"</f>
        <v>6293469</v>
      </c>
    </row>
    <row r="481" spans="1:11" x14ac:dyDescent="0.25">
      <c r="A481">
        <v>2021</v>
      </c>
      <c r="B481" t="s">
        <v>3106</v>
      </c>
      <c r="C481" t="s">
        <v>3105</v>
      </c>
      <c r="D481" t="s">
        <v>19</v>
      </c>
      <c r="E481" t="s">
        <v>20</v>
      </c>
      <c r="F481" t="str">
        <f>"43604"</f>
        <v>43604</v>
      </c>
      <c r="G481" t="str">
        <f>"Je110321"</f>
        <v>Je110321</v>
      </c>
      <c r="H481" s="2">
        <f>15.39</f>
        <v>15.39</v>
      </c>
      <c r="I481" t="s">
        <v>15</v>
      </c>
      <c r="J481" t="s">
        <v>596</v>
      </c>
      <c r="K481" t="str">
        <f>"60017477"</f>
        <v>60017477</v>
      </c>
    </row>
    <row r="482" spans="1:11" x14ac:dyDescent="0.25">
      <c r="A482">
        <v>2021</v>
      </c>
      <c r="B482" t="s">
        <v>3107</v>
      </c>
      <c r="C482" t="s">
        <v>3108</v>
      </c>
      <c r="D482" t="s">
        <v>2098</v>
      </c>
      <c r="E482" t="s">
        <v>20</v>
      </c>
      <c r="F482" t="str">
        <f>"44709"</f>
        <v>44709</v>
      </c>
      <c r="G482" t="str">
        <f>"Pio448069"</f>
        <v>Pio448069</v>
      </c>
      <c r="H482" s="2">
        <f>208</f>
        <v>208</v>
      </c>
      <c r="I482" t="s">
        <v>86</v>
      </c>
      <c r="J482" t="s">
        <v>87</v>
      </c>
      <c r="K482" t="str">
        <f>"0"</f>
        <v>0</v>
      </c>
    </row>
    <row r="483" spans="1:11" x14ac:dyDescent="0.25">
      <c r="A483">
        <v>2021</v>
      </c>
      <c r="B483" t="s">
        <v>3124</v>
      </c>
      <c r="C483" t="s">
        <v>3125</v>
      </c>
      <c r="D483" t="s">
        <v>19</v>
      </c>
      <c r="E483" t="s">
        <v>20</v>
      </c>
      <c r="F483" t="str">
        <f>"43613-3749"</f>
        <v>43613-3749</v>
      </c>
      <c r="G483" t="str">
        <f>"Swucf4621"</f>
        <v>Swucf4621</v>
      </c>
      <c r="H483" s="2">
        <f>27.68</f>
        <v>27.68</v>
      </c>
      <c r="I483" t="s">
        <v>15</v>
      </c>
      <c r="J483" t="s">
        <v>81</v>
      </c>
      <c r="K483" t="str">
        <f>"6290333"</f>
        <v>6290333</v>
      </c>
    </row>
    <row r="484" spans="1:11" x14ac:dyDescent="0.25">
      <c r="A484">
        <v>2021</v>
      </c>
      <c r="B484" t="s">
        <v>3127</v>
      </c>
      <c r="C484" t="s">
        <v>3128</v>
      </c>
      <c r="D484" t="s">
        <v>105</v>
      </c>
      <c r="E484" t="s">
        <v>20</v>
      </c>
      <c r="F484" t="str">
        <f>"43528"</f>
        <v>43528</v>
      </c>
      <c r="G484" t="str">
        <f>"397019"</f>
        <v>397019</v>
      </c>
      <c r="H484" s="2">
        <f>159</f>
        <v>159</v>
      </c>
      <c r="I484" t="s">
        <v>519</v>
      </c>
      <c r="J484" t="s">
        <v>519</v>
      </c>
      <c r="K484" t="str">
        <f>"10286"</f>
        <v>10286</v>
      </c>
    </row>
    <row r="485" spans="1:11" x14ac:dyDescent="0.25">
      <c r="A485">
        <v>2021</v>
      </c>
      <c r="B485" t="s">
        <v>3129</v>
      </c>
      <c r="C485" t="s">
        <v>3130</v>
      </c>
      <c r="D485" t="s">
        <v>19</v>
      </c>
      <c r="E485" t="s">
        <v>20</v>
      </c>
      <c r="F485" t="str">
        <f>"43605-1752"</f>
        <v>43605-1752</v>
      </c>
      <c r="G485" t="str">
        <f>"402019"</f>
        <v>402019</v>
      </c>
      <c r="H485" s="2">
        <f>10</f>
        <v>10</v>
      </c>
      <c r="I485" t="s">
        <v>27</v>
      </c>
      <c r="J485" t="s">
        <v>42</v>
      </c>
      <c r="K485" t="str">
        <f>"112968"</f>
        <v>112968</v>
      </c>
    </row>
    <row r="486" spans="1:11" x14ac:dyDescent="0.25">
      <c r="A486">
        <v>2021</v>
      </c>
      <c r="B486" t="s">
        <v>3133</v>
      </c>
      <c r="C486" t="s">
        <v>3134</v>
      </c>
      <c r="D486" t="s">
        <v>3135</v>
      </c>
      <c r="E486" t="s">
        <v>20</v>
      </c>
      <c r="F486" t="str">
        <f>"44022"</f>
        <v>44022</v>
      </c>
      <c r="G486" t="str">
        <f>"402018"</f>
        <v>402018</v>
      </c>
      <c r="H486" s="2">
        <f>10</f>
        <v>10</v>
      </c>
      <c r="I486" t="s">
        <v>27</v>
      </c>
      <c r="J486" t="s">
        <v>171</v>
      </c>
      <c r="K486" t="str">
        <f>"515406"</f>
        <v>515406</v>
      </c>
    </row>
    <row r="487" spans="1:11" x14ac:dyDescent="0.25">
      <c r="A487">
        <v>2021</v>
      </c>
      <c r="B487" t="s">
        <v>3136</v>
      </c>
      <c r="C487" t="s">
        <v>3137</v>
      </c>
      <c r="D487" t="s">
        <v>19</v>
      </c>
      <c r="E487" t="s">
        <v>20</v>
      </c>
      <c r="F487" t="str">
        <f>"43612-2607"</f>
        <v>43612-2607</v>
      </c>
      <c r="G487" t="str">
        <f>"402019"</f>
        <v>402019</v>
      </c>
      <c r="H487" s="2">
        <f>10</f>
        <v>10</v>
      </c>
      <c r="I487" t="s">
        <v>27</v>
      </c>
      <c r="J487" t="s">
        <v>42</v>
      </c>
      <c r="K487" t="str">
        <f>"114551"</f>
        <v>114551</v>
      </c>
    </row>
    <row r="488" spans="1:11" x14ac:dyDescent="0.25">
      <c r="A488">
        <v>2021</v>
      </c>
      <c r="B488" t="s">
        <v>3138</v>
      </c>
      <c r="C488" t="s">
        <v>3139</v>
      </c>
      <c r="D488" t="s">
        <v>19</v>
      </c>
      <c r="E488" t="s">
        <v>20</v>
      </c>
      <c r="F488" t="str">
        <f>"43611-1661"</f>
        <v>43611-1661</v>
      </c>
      <c r="G488" t="str">
        <f>"402019"</f>
        <v>402019</v>
      </c>
      <c r="H488" s="2">
        <f>10</f>
        <v>10</v>
      </c>
      <c r="I488" t="s">
        <v>27</v>
      </c>
      <c r="J488" t="s">
        <v>42</v>
      </c>
      <c r="K488" t="str">
        <f>"112536"</f>
        <v>112536</v>
      </c>
    </row>
    <row r="489" spans="1:11" x14ac:dyDescent="0.25">
      <c r="A489">
        <v>2021</v>
      </c>
      <c r="B489" t="s">
        <v>3140</v>
      </c>
      <c r="C489" t="s">
        <v>3141</v>
      </c>
      <c r="D489" t="s">
        <v>19</v>
      </c>
      <c r="E489" t="s">
        <v>20</v>
      </c>
      <c r="F489" t="str">
        <f>"43615-7849"</f>
        <v>43615-7849</v>
      </c>
      <c r="G489" t="str">
        <f>"402019"</f>
        <v>402019</v>
      </c>
      <c r="H489" s="2">
        <f>10</f>
        <v>10</v>
      </c>
      <c r="I489" t="s">
        <v>27</v>
      </c>
      <c r="J489" t="s">
        <v>42</v>
      </c>
      <c r="K489" t="str">
        <f>"111458"</f>
        <v>111458</v>
      </c>
    </row>
    <row r="490" spans="1:11" x14ac:dyDescent="0.25">
      <c r="A490">
        <v>2021</v>
      </c>
      <c r="B490" t="s">
        <v>3142</v>
      </c>
      <c r="C490" t="s">
        <v>3143</v>
      </c>
      <c r="D490" t="s">
        <v>19</v>
      </c>
      <c r="E490" t="s">
        <v>20</v>
      </c>
      <c r="F490" t="str">
        <f>"43614-2121"</f>
        <v>43614-2121</v>
      </c>
      <c r="G490" t="str">
        <f>"402019"</f>
        <v>402019</v>
      </c>
      <c r="H490" s="2">
        <f>10</f>
        <v>10</v>
      </c>
      <c r="I490" t="s">
        <v>27</v>
      </c>
      <c r="J490" t="s">
        <v>42</v>
      </c>
      <c r="K490" t="str">
        <f>"114789"</f>
        <v>114789</v>
      </c>
    </row>
    <row r="491" spans="1:11" x14ac:dyDescent="0.25">
      <c r="A491">
        <v>2021</v>
      </c>
      <c r="B491" t="s">
        <v>3152</v>
      </c>
      <c r="C491" t="s">
        <v>3153</v>
      </c>
      <c r="D491" t="s">
        <v>19</v>
      </c>
      <c r="E491" t="s">
        <v>20</v>
      </c>
      <c r="F491" t="str">
        <f>"43613"</f>
        <v>43613</v>
      </c>
      <c r="G491" t="str">
        <f>"Je092221"</f>
        <v>Je092221</v>
      </c>
      <c r="H491" s="2">
        <f>15</f>
        <v>15</v>
      </c>
      <c r="I491" t="s">
        <v>15</v>
      </c>
      <c r="J491" t="s">
        <v>114</v>
      </c>
      <c r="K491" t="str">
        <f>"60009173"</f>
        <v>60009173</v>
      </c>
    </row>
    <row r="492" spans="1:11" x14ac:dyDescent="0.25">
      <c r="A492">
        <v>2021</v>
      </c>
      <c r="B492" t="s">
        <v>3154</v>
      </c>
      <c r="C492" t="s">
        <v>3155</v>
      </c>
      <c r="D492" t="s">
        <v>19</v>
      </c>
      <c r="E492" t="s">
        <v>20</v>
      </c>
      <c r="F492" t="str">
        <f>"43615-4705"</f>
        <v>43615-4705</v>
      </c>
      <c r="G492" t="str">
        <f>"402019"</f>
        <v>402019</v>
      </c>
      <c r="H492" s="2">
        <f>10</f>
        <v>10</v>
      </c>
      <c r="I492" t="s">
        <v>27</v>
      </c>
      <c r="J492" t="s">
        <v>42</v>
      </c>
      <c r="K492" t="str">
        <f>"112547"</f>
        <v>112547</v>
      </c>
    </row>
    <row r="493" spans="1:11" x14ac:dyDescent="0.25">
      <c r="A493">
        <v>2021</v>
      </c>
      <c r="B493" t="s">
        <v>3156</v>
      </c>
      <c r="C493" t="s">
        <v>3157</v>
      </c>
      <c r="D493" t="s">
        <v>50</v>
      </c>
      <c r="E493" t="s">
        <v>20</v>
      </c>
      <c r="F493" t="str">
        <f>"43560-3087"</f>
        <v>43560-3087</v>
      </c>
      <c r="G493" t="str">
        <f>"402019"</f>
        <v>402019</v>
      </c>
      <c r="H493" s="2">
        <f>20</f>
        <v>20</v>
      </c>
      <c r="I493" t="s">
        <v>27</v>
      </c>
      <c r="J493" t="s">
        <v>42</v>
      </c>
      <c r="K493" t="str">
        <f>"112949"</f>
        <v>112949</v>
      </c>
    </row>
    <row r="494" spans="1:11" x14ac:dyDescent="0.25">
      <c r="A494">
        <v>2021</v>
      </c>
      <c r="B494" t="s">
        <v>3160</v>
      </c>
      <c r="C494" t="s">
        <v>3161</v>
      </c>
      <c r="D494" t="s">
        <v>19</v>
      </c>
      <c r="E494" t="s">
        <v>20</v>
      </c>
      <c r="F494" t="str">
        <f>"43614"</f>
        <v>43614</v>
      </c>
      <c r="G494" t="str">
        <f>"Je092221"</f>
        <v>Je092221</v>
      </c>
      <c r="H494" s="2">
        <f>291.81</f>
        <v>291.81</v>
      </c>
      <c r="I494" t="s">
        <v>15</v>
      </c>
      <c r="J494" t="s">
        <v>114</v>
      </c>
      <c r="K494" t="str">
        <f>"60014115"</f>
        <v>60014115</v>
      </c>
    </row>
    <row r="495" spans="1:11" x14ac:dyDescent="0.25">
      <c r="A495">
        <v>2021</v>
      </c>
      <c r="B495" t="s">
        <v>3162</v>
      </c>
      <c r="C495" t="s">
        <v>3163</v>
      </c>
      <c r="D495" t="s">
        <v>19</v>
      </c>
      <c r="E495" t="s">
        <v>20</v>
      </c>
      <c r="F495" t="str">
        <f>"43613"</f>
        <v>43613</v>
      </c>
      <c r="G495" t="str">
        <f>"Swucf4621"</f>
        <v>Swucf4621</v>
      </c>
      <c r="H495" s="2">
        <f>160</f>
        <v>160</v>
      </c>
      <c r="I495" t="s">
        <v>15</v>
      </c>
      <c r="J495" t="s">
        <v>81</v>
      </c>
      <c r="K495" t="str">
        <f>"6294383"</f>
        <v>6294383</v>
      </c>
    </row>
    <row r="496" spans="1:11" x14ac:dyDescent="0.25">
      <c r="A496">
        <v>2021</v>
      </c>
      <c r="B496" t="s">
        <v>3164</v>
      </c>
      <c r="C496" t="s">
        <v>3165</v>
      </c>
      <c r="D496" t="s">
        <v>125</v>
      </c>
      <c r="E496" t="s">
        <v>20</v>
      </c>
      <c r="F496" t="str">
        <f>"43537"</f>
        <v>43537</v>
      </c>
      <c r="G496" t="str">
        <f>"Je061721"</f>
        <v>Je061721</v>
      </c>
      <c r="H496" s="2">
        <f>101.69</f>
        <v>101.69</v>
      </c>
      <c r="I496" t="s">
        <v>15</v>
      </c>
      <c r="J496" t="s">
        <v>137</v>
      </c>
      <c r="K496" t="str">
        <f>"60003395"</f>
        <v>60003395</v>
      </c>
    </row>
    <row r="497" spans="1:11" x14ac:dyDescent="0.25">
      <c r="A497">
        <v>2021</v>
      </c>
      <c r="B497" t="s">
        <v>3164</v>
      </c>
      <c r="C497" t="s">
        <v>3165</v>
      </c>
      <c r="D497" t="s">
        <v>125</v>
      </c>
      <c r="E497" t="s">
        <v>20</v>
      </c>
      <c r="F497" t="str">
        <f>"43537"</f>
        <v>43537</v>
      </c>
      <c r="G497" t="str">
        <f>"Je061721"</f>
        <v>Je061721</v>
      </c>
      <c r="H497" s="2">
        <f>101.69</f>
        <v>101.69</v>
      </c>
      <c r="I497" t="s">
        <v>15</v>
      </c>
      <c r="J497" t="s">
        <v>137</v>
      </c>
      <c r="K497" t="str">
        <f>"60006516"</f>
        <v>60006516</v>
      </c>
    </row>
    <row r="498" spans="1:11" x14ac:dyDescent="0.25">
      <c r="A498">
        <v>2021</v>
      </c>
      <c r="B498" t="s">
        <v>3164</v>
      </c>
      <c r="C498" t="s">
        <v>3165</v>
      </c>
      <c r="D498" t="s">
        <v>125</v>
      </c>
      <c r="E498" t="s">
        <v>20</v>
      </c>
      <c r="F498" t="str">
        <f>"43537"</f>
        <v>43537</v>
      </c>
      <c r="G498" t="str">
        <f>"Je110321"</f>
        <v>Je110321</v>
      </c>
      <c r="H498" s="2">
        <f>84.64</f>
        <v>84.64</v>
      </c>
      <c r="I498" t="s">
        <v>15</v>
      </c>
      <c r="J498" t="s">
        <v>596</v>
      </c>
      <c r="K498" t="str">
        <f>"60017488"</f>
        <v>60017488</v>
      </c>
    </row>
    <row r="499" spans="1:11" x14ac:dyDescent="0.25">
      <c r="A499">
        <v>2021</v>
      </c>
      <c r="B499" t="s">
        <v>3168</v>
      </c>
      <c r="C499" t="s">
        <v>3169</v>
      </c>
      <c r="D499" t="s">
        <v>19</v>
      </c>
      <c r="E499" t="s">
        <v>20</v>
      </c>
      <c r="F499" t="str">
        <f>"43613-2847"</f>
        <v>43613-2847</v>
      </c>
      <c r="G499" t="str">
        <f>"402019"</f>
        <v>402019</v>
      </c>
      <c r="H499" s="2">
        <f>10</f>
        <v>10</v>
      </c>
      <c r="I499" t="s">
        <v>27</v>
      </c>
      <c r="J499" t="s">
        <v>42</v>
      </c>
      <c r="K499" t="str">
        <f>"113670"</f>
        <v>113670</v>
      </c>
    </row>
    <row r="500" spans="1:11" x14ac:dyDescent="0.25">
      <c r="A500">
        <v>2021</v>
      </c>
      <c r="B500" t="s">
        <v>3174</v>
      </c>
      <c r="C500" t="s">
        <v>3175</v>
      </c>
      <c r="D500" t="s">
        <v>19</v>
      </c>
      <c r="E500" t="s">
        <v>20</v>
      </c>
      <c r="F500" t="str">
        <f>"43623-1833"</f>
        <v>43623-1833</v>
      </c>
      <c r="G500" t="str">
        <f>"402019"</f>
        <v>402019</v>
      </c>
      <c r="H500" s="2">
        <f>10</f>
        <v>10</v>
      </c>
      <c r="I500" t="s">
        <v>27</v>
      </c>
      <c r="J500" t="s">
        <v>42</v>
      </c>
      <c r="K500" t="str">
        <f>"115296"</f>
        <v>115296</v>
      </c>
    </row>
    <row r="501" spans="1:11" x14ac:dyDescent="0.25">
      <c r="A501">
        <v>2021</v>
      </c>
      <c r="B501" t="s">
        <v>3176</v>
      </c>
      <c r="C501" t="s">
        <v>3177</v>
      </c>
      <c r="D501" t="s">
        <v>19</v>
      </c>
      <c r="E501" t="s">
        <v>20</v>
      </c>
      <c r="F501" t="str">
        <f>"43611-2124"</f>
        <v>43611-2124</v>
      </c>
      <c r="G501" t="str">
        <f>"402019"</f>
        <v>402019</v>
      </c>
      <c r="H501" s="2">
        <f>20</f>
        <v>20</v>
      </c>
      <c r="I501" t="s">
        <v>27</v>
      </c>
      <c r="J501" t="s">
        <v>42</v>
      </c>
      <c r="K501" t="str">
        <f>"111788"</f>
        <v>111788</v>
      </c>
    </row>
    <row r="502" spans="1:11" x14ac:dyDescent="0.25">
      <c r="A502">
        <v>2021</v>
      </c>
      <c r="B502" t="s">
        <v>3178</v>
      </c>
      <c r="C502" t="s">
        <v>3179</v>
      </c>
      <c r="D502" t="s">
        <v>50</v>
      </c>
      <c r="E502" t="s">
        <v>20</v>
      </c>
      <c r="F502" t="str">
        <f>"43560-9382"</f>
        <v>43560-9382</v>
      </c>
      <c r="G502" t="str">
        <f>"402019"</f>
        <v>402019</v>
      </c>
      <c r="H502" s="2">
        <f>10</f>
        <v>10</v>
      </c>
      <c r="I502" t="s">
        <v>27</v>
      </c>
      <c r="J502" t="s">
        <v>42</v>
      </c>
      <c r="K502" t="str">
        <f>"112955"</f>
        <v>112955</v>
      </c>
    </row>
    <row r="503" spans="1:11" x14ac:dyDescent="0.25">
      <c r="A503">
        <v>2021</v>
      </c>
      <c r="B503" t="s">
        <v>3186</v>
      </c>
      <c r="C503" t="s">
        <v>3187</v>
      </c>
      <c r="D503" t="s">
        <v>50</v>
      </c>
      <c r="E503" t="s">
        <v>20</v>
      </c>
      <c r="F503" t="str">
        <f>"43560"</f>
        <v>43560</v>
      </c>
      <c r="G503" t="str">
        <f>"Pio448069"</f>
        <v>Pio448069</v>
      </c>
      <c r="H503" s="2">
        <f>1</f>
        <v>1</v>
      </c>
      <c r="I503" t="s">
        <v>86</v>
      </c>
      <c r="J503" t="s">
        <v>87</v>
      </c>
      <c r="K503" t="str">
        <f>"0"</f>
        <v>0</v>
      </c>
    </row>
    <row r="504" spans="1:11" x14ac:dyDescent="0.25">
      <c r="A504">
        <v>2021</v>
      </c>
      <c r="B504" t="s">
        <v>3192</v>
      </c>
      <c r="C504" t="s">
        <v>3193</v>
      </c>
      <c r="D504" t="s">
        <v>19</v>
      </c>
      <c r="E504" t="s">
        <v>20</v>
      </c>
      <c r="F504" t="str">
        <f>"43611"</f>
        <v>43611</v>
      </c>
      <c r="G504" t="str">
        <f>"Pio448069"</f>
        <v>Pio448069</v>
      </c>
      <c r="H504" s="2">
        <f>1</f>
        <v>1</v>
      </c>
      <c r="I504" t="s">
        <v>86</v>
      </c>
      <c r="J504" t="s">
        <v>87</v>
      </c>
      <c r="K504" t="str">
        <f>"0"</f>
        <v>0</v>
      </c>
    </row>
    <row r="505" spans="1:11" x14ac:dyDescent="0.25">
      <c r="A505">
        <v>2021</v>
      </c>
      <c r="B505" t="s">
        <v>3194</v>
      </c>
      <c r="C505" t="s">
        <v>3195</v>
      </c>
      <c r="D505" t="s">
        <v>19</v>
      </c>
      <c r="E505" t="s">
        <v>20</v>
      </c>
      <c r="F505" t="str">
        <f>"43614-4532"</f>
        <v>43614-4532</v>
      </c>
      <c r="G505" t="str">
        <f>"402019"</f>
        <v>402019</v>
      </c>
      <c r="H505" s="2">
        <f>10</f>
        <v>10</v>
      </c>
      <c r="I505" t="s">
        <v>27</v>
      </c>
      <c r="J505" t="s">
        <v>42</v>
      </c>
      <c r="K505" t="str">
        <f>"111981"</f>
        <v>111981</v>
      </c>
    </row>
    <row r="506" spans="1:11" x14ac:dyDescent="0.25">
      <c r="A506">
        <v>2021</v>
      </c>
      <c r="B506" t="s">
        <v>3198</v>
      </c>
      <c r="C506" t="s">
        <v>3199</v>
      </c>
      <c r="D506" t="s">
        <v>19</v>
      </c>
      <c r="E506" t="s">
        <v>20</v>
      </c>
      <c r="F506" t="str">
        <f>"43623-4359"</f>
        <v>43623-4359</v>
      </c>
      <c r="G506" t="str">
        <f>"402019"</f>
        <v>402019</v>
      </c>
      <c r="H506" s="2">
        <f>20</f>
        <v>20</v>
      </c>
      <c r="I506" t="s">
        <v>27</v>
      </c>
      <c r="J506" t="s">
        <v>42</v>
      </c>
      <c r="K506" t="str">
        <f>"114245"</f>
        <v>114245</v>
      </c>
    </row>
    <row r="507" spans="1:11" x14ac:dyDescent="0.25">
      <c r="A507">
        <v>2021</v>
      </c>
      <c r="B507" t="s">
        <v>3208</v>
      </c>
      <c r="C507" t="s">
        <v>3209</v>
      </c>
      <c r="D507" t="s">
        <v>19</v>
      </c>
      <c r="E507" t="s">
        <v>20</v>
      </c>
      <c r="F507" t="str">
        <f>"43608"</f>
        <v>43608</v>
      </c>
      <c r="G507" t="str">
        <f>"Pio448069"</f>
        <v>Pio448069</v>
      </c>
      <c r="H507" s="2">
        <f>1</f>
        <v>1</v>
      </c>
      <c r="I507" t="s">
        <v>86</v>
      </c>
      <c r="J507" t="s">
        <v>87</v>
      </c>
      <c r="K507" t="str">
        <f>"0"</f>
        <v>0</v>
      </c>
    </row>
    <row r="508" spans="1:11" x14ac:dyDescent="0.25">
      <c r="A508">
        <v>2021</v>
      </c>
      <c r="B508" t="s">
        <v>3212</v>
      </c>
      <c r="C508" t="s">
        <v>3213</v>
      </c>
      <c r="D508" t="s">
        <v>19</v>
      </c>
      <c r="E508" t="s">
        <v>20</v>
      </c>
      <c r="F508" t="str">
        <f>"43614"</f>
        <v>43614</v>
      </c>
      <c r="G508" t="str">
        <f>"Je092221"</f>
        <v>Je092221</v>
      </c>
      <c r="H508" s="2">
        <f>35</f>
        <v>35</v>
      </c>
      <c r="I508" t="s">
        <v>15</v>
      </c>
      <c r="J508" t="s">
        <v>114</v>
      </c>
      <c r="K508" t="str">
        <f>"60010820"</f>
        <v>60010820</v>
      </c>
    </row>
    <row r="509" spans="1:11" x14ac:dyDescent="0.25">
      <c r="A509">
        <v>2021</v>
      </c>
      <c r="B509" t="s">
        <v>3214</v>
      </c>
      <c r="C509" t="s">
        <v>3215</v>
      </c>
      <c r="D509" t="s">
        <v>203</v>
      </c>
      <c r="E509" t="s">
        <v>204</v>
      </c>
      <c r="F509" t="str">
        <f>"30354"</f>
        <v>30354</v>
      </c>
      <c r="G509" t="str">
        <f>"402018"</f>
        <v>402018</v>
      </c>
      <c r="H509" s="2">
        <f>330</f>
        <v>330</v>
      </c>
      <c r="I509" t="s">
        <v>27</v>
      </c>
      <c r="J509" t="s">
        <v>171</v>
      </c>
      <c r="K509" t="str">
        <f>"516780"</f>
        <v>516780</v>
      </c>
    </row>
    <row r="510" spans="1:11" x14ac:dyDescent="0.25">
      <c r="A510">
        <v>2021</v>
      </c>
      <c r="B510" t="s">
        <v>3218</v>
      </c>
      <c r="C510" t="s">
        <v>3219</v>
      </c>
      <c r="D510" t="s">
        <v>19</v>
      </c>
      <c r="E510" t="s">
        <v>20</v>
      </c>
      <c r="F510" t="str">
        <f>"43609"</f>
        <v>43609</v>
      </c>
      <c r="G510" t="str">
        <f>"Pio448069"</f>
        <v>Pio448069</v>
      </c>
      <c r="H510" s="2">
        <f>21</f>
        <v>21</v>
      </c>
      <c r="I510" t="s">
        <v>86</v>
      </c>
      <c r="J510" t="s">
        <v>87</v>
      </c>
      <c r="K510" t="str">
        <f>"0"</f>
        <v>0</v>
      </c>
    </row>
    <row r="511" spans="1:11" x14ac:dyDescent="0.25">
      <c r="A511">
        <v>2021</v>
      </c>
      <c r="B511" t="s">
        <v>3224</v>
      </c>
      <c r="C511" t="s">
        <v>3225</v>
      </c>
      <c r="D511" t="s">
        <v>19</v>
      </c>
      <c r="E511" t="s">
        <v>20</v>
      </c>
      <c r="F511" t="str">
        <f>"43617-1197"</f>
        <v>43617-1197</v>
      </c>
      <c r="G511" t="str">
        <f>"402019"</f>
        <v>402019</v>
      </c>
      <c r="H511" s="2">
        <f>10</f>
        <v>10</v>
      </c>
      <c r="I511" t="s">
        <v>27</v>
      </c>
      <c r="J511" t="s">
        <v>42</v>
      </c>
      <c r="K511" t="str">
        <f>"115371"</f>
        <v>115371</v>
      </c>
    </row>
    <row r="512" spans="1:11" x14ac:dyDescent="0.25">
      <c r="A512">
        <v>2021</v>
      </c>
      <c r="B512" t="s">
        <v>3236</v>
      </c>
      <c r="C512" t="s">
        <v>3237</v>
      </c>
      <c r="D512" t="s">
        <v>19</v>
      </c>
      <c r="E512" t="s">
        <v>20</v>
      </c>
      <c r="F512" t="str">
        <f>"43620"</f>
        <v>43620</v>
      </c>
      <c r="G512" t="str">
        <f>"Je092221"</f>
        <v>Je092221</v>
      </c>
      <c r="H512" s="2">
        <f>35</f>
        <v>35</v>
      </c>
      <c r="I512" t="s">
        <v>15</v>
      </c>
      <c r="J512" t="s">
        <v>114</v>
      </c>
      <c r="K512" t="str">
        <f>"60010825"</f>
        <v>60010825</v>
      </c>
    </row>
    <row r="513" spans="1:11" x14ac:dyDescent="0.25">
      <c r="A513">
        <v>2021</v>
      </c>
      <c r="B513" t="s">
        <v>3244</v>
      </c>
      <c r="C513" t="s">
        <v>3245</v>
      </c>
      <c r="D513" t="s">
        <v>19</v>
      </c>
      <c r="E513" t="s">
        <v>20</v>
      </c>
      <c r="F513" t="str">
        <f>"43606-3226"</f>
        <v>43606-3226</v>
      </c>
      <c r="G513" t="str">
        <f>"Swucf4621"</f>
        <v>Swucf4621</v>
      </c>
      <c r="H513" s="2">
        <f>46.14</f>
        <v>46.14</v>
      </c>
      <c r="I513" t="s">
        <v>15</v>
      </c>
      <c r="J513" t="s">
        <v>81</v>
      </c>
      <c r="K513" t="str">
        <f>"6291912"</f>
        <v>6291912</v>
      </c>
    </row>
    <row r="514" spans="1:11" x14ac:dyDescent="0.25">
      <c r="A514">
        <v>2021</v>
      </c>
      <c r="B514" t="s">
        <v>3251</v>
      </c>
      <c r="C514" t="s">
        <v>3252</v>
      </c>
      <c r="D514" t="s">
        <v>19</v>
      </c>
      <c r="E514" t="s">
        <v>20</v>
      </c>
      <c r="F514" t="str">
        <f>"43615-3764"</f>
        <v>43615-3764</v>
      </c>
      <c r="G514" t="str">
        <f>"402019"</f>
        <v>402019</v>
      </c>
      <c r="H514" s="2">
        <f>20</f>
        <v>20</v>
      </c>
      <c r="I514" t="s">
        <v>27</v>
      </c>
      <c r="J514" t="s">
        <v>42</v>
      </c>
      <c r="K514" t="str">
        <f>"113175"</f>
        <v>113175</v>
      </c>
    </row>
    <row r="515" spans="1:11" x14ac:dyDescent="0.25">
      <c r="A515">
        <v>2021</v>
      </c>
      <c r="B515" t="s">
        <v>3255</v>
      </c>
      <c r="C515" t="s">
        <v>3256</v>
      </c>
      <c r="D515" t="s">
        <v>19</v>
      </c>
      <c r="E515" t="s">
        <v>20</v>
      </c>
      <c r="F515" t="str">
        <f>"43614"</f>
        <v>43614</v>
      </c>
      <c r="G515" t="str">
        <f>"402018"</f>
        <v>402018</v>
      </c>
      <c r="H515" s="2">
        <f>9.08</f>
        <v>9.08</v>
      </c>
      <c r="I515" t="s">
        <v>27</v>
      </c>
      <c r="J515" t="s">
        <v>171</v>
      </c>
      <c r="K515" t="str">
        <f>"517621"</f>
        <v>517621</v>
      </c>
    </row>
    <row r="516" spans="1:11" x14ac:dyDescent="0.25">
      <c r="A516">
        <v>2021</v>
      </c>
      <c r="B516" t="s">
        <v>3265</v>
      </c>
      <c r="C516" t="s">
        <v>3266</v>
      </c>
      <c r="D516" t="s">
        <v>50</v>
      </c>
      <c r="E516" t="s">
        <v>20</v>
      </c>
      <c r="F516" t="str">
        <f>"43560"</f>
        <v>43560</v>
      </c>
      <c r="G516" t="str">
        <f>"Pio448069"</f>
        <v>Pio448069</v>
      </c>
      <c r="H516" s="2">
        <f>25</f>
        <v>25</v>
      </c>
      <c r="I516" t="s">
        <v>86</v>
      </c>
      <c r="J516" t="s">
        <v>87</v>
      </c>
      <c r="K516" t="str">
        <f>"0"</f>
        <v>0</v>
      </c>
    </row>
    <row r="517" spans="1:11" x14ac:dyDescent="0.25">
      <c r="A517">
        <v>2021</v>
      </c>
      <c r="B517" t="s">
        <v>3292</v>
      </c>
      <c r="C517" t="s">
        <v>3293</v>
      </c>
      <c r="D517" t="s">
        <v>58</v>
      </c>
      <c r="E517" t="s">
        <v>20</v>
      </c>
      <c r="F517" t="str">
        <f>"43616-2203"</f>
        <v>43616-2203</v>
      </c>
      <c r="G517" t="str">
        <f>"402019"</f>
        <v>402019</v>
      </c>
      <c r="H517" s="2">
        <f>20</f>
        <v>20</v>
      </c>
      <c r="I517" t="s">
        <v>27</v>
      </c>
      <c r="J517" t="s">
        <v>42</v>
      </c>
      <c r="K517" t="str">
        <f>"115533"</f>
        <v>115533</v>
      </c>
    </row>
    <row r="518" spans="1:11" x14ac:dyDescent="0.25">
      <c r="A518">
        <v>2021</v>
      </c>
      <c r="B518" t="s">
        <v>3300</v>
      </c>
      <c r="C518" t="s">
        <v>3301</v>
      </c>
      <c r="D518" t="s">
        <v>19</v>
      </c>
      <c r="E518" t="s">
        <v>20</v>
      </c>
      <c r="F518" t="str">
        <f>"43608-2844"</f>
        <v>43608-2844</v>
      </c>
      <c r="G518" t="str">
        <f>"402019"</f>
        <v>402019</v>
      </c>
      <c r="H518" s="2">
        <f>10</f>
        <v>10</v>
      </c>
      <c r="I518" t="s">
        <v>27</v>
      </c>
      <c r="J518" t="s">
        <v>42</v>
      </c>
      <c r="K518" t="str">
        <f>"111376"</f>
        <v>111376</v>
      </c>
    </row>
    <row r="519" spans="1:11" x14ac:dyDescent="0.25">
      <c r="A519">
        <v>2021</v>
      </c>
      <c r="B519" t="s">
        <v>3308</v>
      </c>
      <c r="C519" t="s">
        <v>3309</v>
      </c>
      <c r="D519" t="s">
        <v>19</v>
      </c>
      <c r="E519" t="s">
        <v>20</v>
      </c>
      <c r="F519" t="str">
        <f>"43614-2529"</f>
        <v>43614-2529</v>
      </c>
      <c r="G519" t="str">
        <f>"402019"</f>
        <v>402019</v>
      </c>
      <c r="H519" s="2">
        <f>10</f>
        <v>10</v>
      </c>
      <c r="I519" t="s">
        <v>27</v>
      </c>
      <c r="J519" t="s">
        <v>42</v>
      </c>
      <c r="K519" t="str">
        <f>"114336"</f>
        <v>114336</v>
      </c>
    </row>
    <row r="520" spans="1:11" x14ac:dyDescent="0.25">
      <c r="A520">
        <v>2021</v>
      </c>
      <c r="B520" t="s">
        <v>3310</v>
      </c>
      <c r="C520" t="s">
        <v>3311</v>
      </c>
      <c r="D520" t="s">
        <v>1163</v>
      </c>
      <c r="E520" t="s">
        <v>20</v>
      </c>
      <c r="F520" t="str">
        <f>"45227"</f>
        <v>45227</v>
      </c>
      <c r="G520" t="str">
        <f>"402017"</f>
        <v>402017</v>
      </c>
      <c r="H520" s="2">
        <f>550</f>
        <v>550</v>
      </c>
      <c r="I520" t="s">
        <v>27</v>
      </c>
      <c r="J520" t="s">
        <v>212</v>
      </c>
      <c r="K520" t="str">
        <f>"33106"</f>
        <v>33106</v>
      </c>
    </row>
    <row r="521" spans="1:11" x14ac:dyDescent="0.25">
      <c r="A521">
        <v>2021</v>
      </c>
      <c r="B521" t="s">
        <v>3313</v>
      </c>
      <c r="C521" t="s">
        <v>3314</v>
      </c>
      <c r="D521" t="s">
        <v>1163</v>
      </c>
      <c r="E521" t="s">
        <v>20</v>
      </c>
      <c r="F521" t="str">
        <f>"45527"</f>
        <v>45527</v>
      </c>
      <c r="G521" t="str">
        <f>"402017"</f>
        <v>402017</v>
      </c>
      <c r="H521" s="2">
        <f>550</f>
        <v>550</v>
      </c>
      <c r="I521" t="s">
        <v>27</v>
      </c>
      <c r="J521" t="s">
        <v>212</v>
      </c>
      <c r="K521" t="str">
        <f>"33098"</f>
        <v>33098</v>
      </c>
    </row>
    <row r="522" spans="1:11" x14ac:dyDescent="0.25">
      <c r="A522">
        <v>2021</v>
      </c>
      <c r="B522" t="s">
        <v>3313</v>
      </c>
      <c r="C522" t="s">
        <v>1004</v>
      </c>
      <c r="D522" t="s">
        <v>1005</v>
      </c>
      <c r="E522" t="s">
        <v>20</v>
      </c>
      <c r="F522" t="str">
        <f>"44139"</f>
        <v>44139</v>
      </c>
      <c r="G522" t="str">
        <f>"402017"</f>
        <v>402017</v>
      </c>
      <c r="H522" s="2">
        <f>203.1</f>
        <v>203.1</v>
      </c>
      <c r="I522" t="s">
        <v>27</v>
      </c>
      <c r="J522" t="s">
        <v>212</v>
      </c>
      <c r="K522" t="str">
        <f>"34234"</f>
        <v>34234</v>
      </c>
    </row>
    <row r="523" spans="1:11" x14ac:dyDescent="0.25">
      <c r="A523">
        <v>2021</v>
      </c>
      <c r="B523" t="s">
        <v>3313</v>
      </c>
      <c r="C523" t="s">
        <v>3314</v>
      </c>
      <c r="D523" t="s">
        <v>1163</v>
      </c>
      <c r="E523" t="s">
        <v>20</v>
      </c>
      <c r="F523" t="str">
        <f>"45227"</f>
        <v>45227</v>
      </c>
      <c r="G523" t="str">
        <f>"402017"</f>
        <v>402017</v>
      </c>
      <c r="H523" s="2">
        <f>270.4</f>
        <v>270.39999999999998</v>
      </c>
      <c r="I523" t="s">
        <v>27</v>
      </c>
      <c r="J523" t="s">
        <v>212</v>
      </c>
      <c r="K523" t="str">
        <f>"35334"</f>
        <v>35334</v>
      </c>
    </row>
    <row r="524" spans="1:11" x14ac:dyDescent="0.25">
      <c r="A524">
        <v>2021</v>
      </c>
      <c r="B524" t="s">
        <v>3313</v>
      </c>
      <c r="C524" t="s">
        <v>3312</v>
      </c>
      <c r="D524" t="s">
        <v>1163</v>
      </c>
      <c r="E524" t="s">
        <v>20</v>
      </c>
      <c r="F524" t="str">
        <f>"45227"</f>
        <v>45227</v>
      </c>
      <c r="G524" t="str">
        <f>"402017"</f>
        <v>402017</v>
      </c>
      <c r="H524" s="2">
        <f>40.68</f>
        <v>40.68</v>
      </c>
      <c r="I524" t="s">
        <v>27</v>
      </c>
      <c r="J524" t="s">
        <v>212</v>
      </c>
      <c r="K524" t="str">
        <f>"35095"</f>
        <v>35095</v>
      </c>
    </row>
    <row r="525" spans="1:11" x14ac:dyDescent="0.25">
      <c r="A525">
        <v>2021</v>
      </c>
      <c r="B525" t="s">
        <v>3336</v>
      </c>
      <c r="C525" t="s">
        <v>3337</v>
      </c>
      <c r="D525" t="s">
        <v>19</v>
      </c>
      <c r="E525" t="s">
        <v>20</v>
      </c>
      <c r="F525" t="str">
        <f>"43607-3134"</f>
        <v>43607-3134</v>
      </c>
      <c r="G525" t="str">
        <f>"402019"</f>
        <v>402019</v>
      </c>
      <c r="H525" s="2">
        <f>20</f>
        <v>20</v>
      </c>
      <c r="I525" t="s">
        <v>27</v>
      </c>
      <c r="J525" t="s">
        <v>42</v>
      </c>
      <c r="K525" t="str">
        <f>"115619"</f>
        <v>115619</v>
      </c>
    </row>
    <row r="526" spans="1:11" x14ac:dyDescent="0.25">
      <c r="A526">
        <v>2021</v>
      </c>
      <c r="B526" t="s">
        <v>3344</v>
      </c>
      <c r="C526" t="s">
        <v>3345</v>
      </c>
      <c r="D526" t="s">
        <v>19</v>
      </c>
      <c r="E526" t="s">
        <v>20</v>
      </c>
      <c r="F526" t="str">
        <f>"43607"</f>
        <v>43607</v>
      </c>
      <c r="G526" t="str">
        <f>"Bwucf4621"</f>
        <v>Bwucf4621</v>
      </c>
      <c r="H526" s="2">
        <f>8.5</f>
        <v>8.5</v>
      </c>
      <c r="I526" t="s">
        <v>15</v>
      </c>
      <c r="J526" t="s">
        <v>295</v>
      </c>
      <c r="K526" t="str">
        <f>"01436709"</f>
        <v>01436709</v>
      </c>
    </row>
    <row r="527" spans="1:11" x14ac:dyDescent="0.25">
      <c r="A527">
        <v>2021</v>
      </c>
      <c r="B527" t="s">
        <v>3348</v>
      </c>
      <c r="C527" t="s">
        <v>3349</v>
      </c>
      <c r="D527" t="s">
        <v>2547</v>
      </c>
      <c r="E527" t="s">
        <v>20</v>
      </c>
      <c r="F527" t="str">
        <f>"43569"</f>
        <v>43569</v>
      </c>
      <c r="G527" t="str">
        <f>"Je092221"</f>
        <v>Je092221</v>
      </c>
      <c r="H527" s="2">
        <f>7.69</f>
        <v>7.69</v>
      </c>
      <c r="I527" t="s">
        <v>15</v>
      </c>
      <c r="J527" t="s">
        <v>114</v>
      </c>
      <c r="K527" t="str">
        <f>"60013175"</f>
        <v>60013175</v>
      </c>
    </row>
    <row r="528" spans="1:11" x14ac:dyDescent="0.25">
      <c r="A528">
        <v>2021</v>
      </c>
      <c r="B528" t="s">
        <v>3352</v>
      </c>
      <c r="C528" t="s">
        <v>3353</v>
      </c>
      <c r="D528" t="s">
        <v>19</v>
      </c>
      <c r="E528" t="s">
        <v>20</v>
      </c>
      <c r="F528" t="str">
        <f>"43612-1014"</f>
        <v>43612-1014</v>
      </c>
      <c r="G528" t="str">
        <f>"402019"</f>
        <v>402019</v>
      </c>
      <c r="H528" s="2">
        <f>10</f>
        <v>10</v>
      </c>
      <c r="I528" t="s">
        <v>27</v>
      </c>
      <c r="J528" t="s">
        <v>42</v>
      </c>
      <c r="K528" t="str">
        <f>"114841"</f>
        <v>114841</v>
      </c>
    </row>
    <row r="529" spans="1:11" x14ac:dyDescent="0.25">
      <c r="A529">
        <v>2021</v>
      </c>
      <c r="B529" t="s">
        <v>3354</v>
      </c>
      <c r="C529" t="s">
        <v>3355</v>
      </c>
      <c r="D529" t="s">
        <v>19</v>
      </c>
      <c r="E529" t="s">
        <v>20</v>
      </c>
      <c r="F529" t="str">
        <f>"43615-9012"</f>
        <v>43615-9012</v>
      </c>
      <c r="G529" t="str">
        <f>"402019"</f>
        <v>402019</v>
      </c>
      <c r="H529" s="2">
        <f>60</f>
        <v>60</v>
      </c>
      <c r="I529" t="s">
        <v>27</v>
      </c>
      <c r="J529" t="s">
        <v>42</v>
      </c>
      <c r="K529" t="str">
        <f>"111233"</f>
        <v>111233</v>
      </c>
    </row>
    <row r="530" spans="1:11" x14ac:dyDescent="0.25">
      <c r="A530">
        <v>2021</v>
      </c>
      <c r="B530" t="s">
        <v>3364</v>
      </c>
      <c r="C530" t="s">
        <v>3365</v>
      </c>
      <c r="D530" t="s">
        <v>19</v>
      </c>
      <c r="E530" t="s">
        <v>20</v>
      </c>
      <c r="F530" t="str">
        <f>"43604"</f>
        <v>43604</v>
      </c>
      <c r="G530" t="str">
        <f>"Je061721"</f>
        <v>Je061721</v>
      </c>
      <c r="H530" s="2">
        <f>397.74</f>
        <v>397.74</v>
      </c>
      <c r="I530" t="s">
        <v>15</v>
      </c>
      <c r="J530" t="s">
        <v>137</v>
      </c>
      <c r="K530" t="str">
        <f>"60007928"</f>
        <v>60007928</v>
      </c>
    </row>
    <row r="531" spans="1:11" x14ac:dyDescent="0.25">
      <c r="A531">
        <v>2021</v>
      </c>
      <c r="B531" t="s">
        <v>3368</v>
      </c>
      <c r="C531" t="s">
        <v>3369</v>
      </c>
      <c r="D531" t="s">
        <v>105</v>
      </c>
      <c r="E531" t="s">
        <v>20</v>
      </c>
      <c r="F531" t="str">
        <f>"43528-8294"</f>
        <v>43528-8294</v>
      </c>
      <c r="G531" t="str">
        <f>"402019"</f>
        <v>402019</v>
      </c>
      <c r="H531" s="2">
        <f>20</f>
        <v>20</v>
      </c>
      <c r="I531" t="s">
        <v>27</v>
      </c>
      <c r="J531" t="s">
        <v>42</v>
      </c>
      <c r="K531" t="str">
        <f>"113031"</f>
        <v>113031</v>
      </c>
    </row>
    <row r="532" spans="1:11" x14ac:dyDescent="0.25">
      <c r="A532">
        <v>2021</v>
      </c>
      <c r="B532" t="s">
        <v>3370</v>
      </c>
      <c r="C532" t="s">
        <v>3371</v>
      </c>
      <c r="D532" t="s">
        <v>19</v>
      </c>
      <c r="E532" t="s">
        <v>20</v>
      </c>
      <c r="F532" t="str">
        <f>"43615"</f>
        <v>43615</v>
      </c>
      <c r="G532" t="str">
        <f>"Je092221"</f>
        <v>Je092221</v>
      </c>
      <c r="H532" s="2">
        <f>30</f>
        <v>30</v>
      </c>
      <c r="I532" t="s">
        <v>15</v>
      </c>
      <c r="J532" t="s">
        <v>114</v>
      </c>
      <c r="K532" t="str">
        <f>"60009174"</f>
        <v>60009174</v>
      </c>
    </row>
    <row r="533" spans="1:11" x14ac:dyDescent="0.25">
      <c r="A533">
        <v>2021</v>
      </c>
      <c r="B533" t="s">
        <v>3374</v>
      </c>
      <c r="C533" t="s">
        <v>3375</v>
      </c>
      <c r="D533" t="s">
        <v>19</v>
      </c>
      <c r="E533" t="s">
        <v>20</v>
      </c>
      <c r="F533" t="str">
        <f>"43615-6356"</f>
        <v>43615-6356</v>
      </c>
      <c r="G533" t="str">
        <f>"402019"</f>
        <v>402019</v>
      </c>
      <c r="H533" s="2">
        <f>10</f>
        <v>10</v>
      </c>
      <c r="I533" t="s">
        <v>27</v>
      </c>
      <c r="J533" t="s">
        <v>42</v>
      </c>
      <c r="K533" t="str">
        <f>"115573"</f>
        <v>115573</v>
      </c>
    </row>
    <row r="534" spans="1:11" x14ac:dyDescent="0.25">
      <c r="A534">
        <v>2021</v>
      </c>
      <c r="B534" t="s">
        <v>3376</v>
      </c>
      <c r="C534" t="s">
        <v>3377</v>
      </c>
      <c r="D534" t="s">
        <v>19</v>
      </c>
      <c r="E534" t="s">
        <v>20</v>
      </c>
      <c r="F534" t="str">
        <f>"43606"</f>
        <v>43606</v>
      </c>
      <c r="G534" t="str">
        <f>"Swucf4621"</f>
        <v>Swucf4621</v>
      </c>
      <c r="H534" s="2">
        <f>13.72</f>
        <v>13.72</v>
      </c>
      <c r="I534" t="s">
        <v>15</v>
      </c>
      <c r="J534" t="s">
        <v>81</v>
      </c>
      <c r="K534" t="str">
        <f>"6289510"</f>
        <v>6289510</v>
      </c>
    </row>
    <row r="535" spans="1:11" x14ac:dyDescent="0.25">
      <c r="A535">
        <v>2021</v>
      </c>
      <c r="B535" t="s">
        <v>3389</v>
      </c>
      <c r="C535" t="s">
        <v>3390</v>
      </c>
      <c r="D535" t="s">
        <v>19</v>
      </c>
      <c r="E535" t="s">
        <v>20</v>
      </c>
      <c r="F535" t="str">
        <f>"43613"</f>
        <v>43613</v>
      </c>
      <c r="G535" t="str">
        <f>"402018"</f>
        <v>402018</v>
      </c>
      <c r="H535" s="2">
        <f>2.5</f>
        <v>2.5</v>
      </c>
      <c r="I535" t="s">
        <v>27</v>
      </c>
      <c r="J535" t="s">
        <v>171</v>
      </c>
      <c r="K535" t="str">
        <f>"516765"</f>
        <v>516765</v>
      </c>
    </row>
    <row r="536" spans="1:11" x14ac:dyDescent="0.25">
      <c r="A536">
        <v>2021</v>
      </c>
      <c r="B536" t="s">
        <v>3391</v>
      </c>
      <c r="C536" t="s">
        <v>3392</v>
      </c>
      <c r="D536" t="s">
        <v>19</v>
      </c>
      <c r="E536" t="s">
        <v>20</v>
      </c>
      <c r="F536" t="str">
        <f>"43609-1740"</f>
        <v>43609-1740</v>
      </c>
      <c r="G536" t="str">
        <f>"402019"</f>
        <v>402019</v>
      </c>
      <c r="H536" s="2">
        <f>10</f>
        <v>10</v>
      </c>
      <c r="I536" t="s">
        <v>27</v>
      </c>
      <c r="J536" t="s">
        <v>42</v>
      </c>
      <c r="K536" t="str">
        <f>"115640"</f>
        <v>115640</v>
      </c>
    </row>
    <row r="537" spans="1:11" x14ac:dyDescent="0.25">
      <c r="A537">
        <v>2021</v>
      </c>
      <c r="B537" t="s">
        <v>3397</v>
      </c>
      <c r="C537" t="s">
        <v>3398</v>
      </c>
      <c r="D537" t="s">
        <v>50</v>
      </c>
      <c r="E537" t="s">
        <v>20</v>
      </c>
      <c r="F537" t="str">
        <f>"43560"</f>
        <v>43560</v>
      </c>
      <c r="G537" t="str">
        <f>"Pio448069"</f>
        <v>Pio448069</v>
      </c>
      <c r="H537" s="2">
        <f>24</f>
        <v>24</v>
      </c>
      <c r="I537" t="s">
        <v>86</v>
      </c>
      <c r="J537" t="s">
        <v>87</v>
      </c>
      <c r="K537" t="str">
        <f>"0"</f>
        <v>0</v>
      </c>
    </row>
    <row r="538" spans="1:11" x14ac:dyDescent="0.25">
      <c r="A538">
        <v>2021</v>
      </c>
      <c r="B538" t="s">
        <v>3403</v>
      </c>
      <c r="C538" t="s">
        <v>3408</v>
      </c>
      <c r="D538" t="s">
        <v>50</v>
      </c>
      <c r="E538" t="s">
        <v>20</v>
      </c>
      <c r="F538" t="str">
        <f>"43560"</f>
        <v>43560</v>
      </c>
      <c r="G538" t="str">
        <f>"402063"</f>
        <v>402063</v>
      </c>
      <c r="H538" s="2">
        <f>14.71</f>
        <v>14.71</v>
      </c>
      <c r="I538" t="s">
        <v>27</v>
      </c>
      <c r="J538" t="s">
        <v>71</v>
      </c>
      <c r="K538" t="str">
        <f>"22022253"</f>
        <v>22022253</v>
      </c>
    </row>
    <row r="539" spans="1:11" x14ac:dyDescent="0.25">
      <c r="A539">
        <v>2021</v>
      </c>
      <c r="B539" t="s">
        <v>3403</v>
      </c>
      <c r="C539" t="s">
        <v>3408</v>
      </c>
      <c r="D539" t="s">
        <v>50</v>
      </c>
      <c r="E539" t="s">
        <v>20</v>
      </c>
      <c r="F539" t="str">
        <f>"43560"</f>
        <v>43560</v>
      </c>
      <c r="G539" t="str">
        <f>"402063"</f>
        <v>402063</v>
      </c>
      <c r="H539" s="2">
        <f>80.75</f>
        <v>80.75</v>
      </c>
      <c r="I539" t="s">
        <v>27</v>
      </c>
      <c r="J539" t="s">
        <v>71</v>
      </c>
      <c r="K539" t="str">
        <f>"33007030"</f>
        <v>33007030</v>
      </c>
    </row>
    <row r="540" spans="1:11" x14ac:dyDescent="0.25">
      <c r="A540">
        <v>2021</v>
      </c>
      <c r="B540" t="s">
        <v>3417</v>
      </c>
      <c r="C540" t="s">
        <v>3418</v>
      </c>
      <c r="D540" t="s">
        <v>19</v>
      </c>
      <c r="E540" t="s">
        <v>20</v>
      </c>
      <c r="F540" t="str">
        <f>"43609"</f>
        <v>43609</v>
      </c>
      <c r="G540" t="str">
        <f>"Pio448069"</f>
        <v>Pio448069</v>
      </c>
      <c r="H540" s="2">
        <f>45</f>
        <v>45</v>
      </c>
      <c r="I540" t="s">
        <v>86</v>
      </c>
      <c r="J540" t="s">
        <v>87</v>
      </c>
      <c r="K540" t="str">
        <f>"0"</f>
        <v>0</v>
      </c>
    </row>
    <row r="541" spans="1:11" x14ac:dyDescent="0.25">
      <c r="A541">
        <v>2021</v>
      </c>
      <c r="B541" t="s">
        <v>3419</v>
      </c>
      <c r="C541" t="s">
        <v>3420</v>
      </c>
      <c r="D541" t="s">
        <v>58</v>
      </c>
      <c r="E541" t="s">
        <v>20</v>
      </c>
      <c r="F541" t="str">
        <f>"43616"</f>
        <v>43616</v>
      </c>
      <c r="G541" t="str">
        <f>"Pio448069"</f>
        <v>Pio448069</v>
      </c>
      <c r="H541" s="2">
        <f>6</f>
        <v>6</v>
      </c>
      <c r="I541" t="s">
        <v>86</v>
      </c>
      <c r="J541" t="s">
        <v>87</v>
      </c>
      <c r="K541" t="str">
        <f>"0"</f>
        <v>0</v>
      </c>
    </row>
    <row r="542" spans="1:11" x14ac:dyDescent="0.25">
      <c r="A542">
        <v>2021</v>
      </c>
      <c r="B542" t="s">
        <v>3424</v>
      </c>
      <c r="C542" t="s">
        <v>3425</v>
      </c>
      <c r="D542" t="s">
        <v>3426</v>
      </c>
      <c r="E542" t="s">
        <v>20</v>
      </c>
      <c r="F542" t="str">
        <f>"44136"</f>
        <v>44136</v>
      </c>
      <c r="G542" t="str">
        <f>"402018"</f>
        <v>402018</v>
      </c>
      <c r="H542" s="2">
        <f>250</f>
        <v>250</v>
      </c>
      <c r="I542" t="s">
        <v>27</v>
      </c>
      <c r="J542" t="s">
        <v>171</v>
      </c>
      <c r="K542" t="str">
        <f>"515680"</f>
        <v>515680</v>
      </c>
    </row>
    <row r="543" spans="1:11" x14ac:dyDescent="0.25">
      <c r="A543">
        <v>2021</v>
      </c>
      <c r="B543" t="s">
        <v>3424</v>
      </c>
      <c r="C543" t="s">
        <v>3427</v>
      </c>
      <c r="D543" t="s">
        <v>19</v>
      </c>
      <c r="E543" t="s">
        <v>20</v>
      </c>
      <c r="F543" t="str">
        <f>"43606"</f>
        <v>43606</v>
      </c>
      <c r="G543" t="str">
        <f>"402018"</f>
        <v>402018</v>
      </c>
      <c r="H543" s="2">
        <f>50</f>
        <v>50</v>
      </c>
      <c r="I543" t="s">
        <v>27</v>
      </c>
      <c r="J543" t="s">
        <v>171</v>
      </c>
      <c r="K543" t="str">
        <f>"516645"</f>
        <v>516645</v>
      </c>
    </row>
    <row r="544" spans="1:11" x14ac:dyDescent="0.25">
      <c r="A544">
        <v>2021</v>
      </c>
      <c r="B544" t="s">
        <v>3424</v>
      </c>
      <c r="C544" t="s">
        <v>3425</v>
      </c>
      <c r="D544" t="s">
        <v>3426</v>
      </c>
      <c r="E544" t="s">
        <v>20</v>
      </c>
      <c r="F544" t="str">
        <f>"44136"</f>
        <v>44136</v>
      </c>
      <c r="G544" t="str">
        <f>"402018"</f>
        <v>402018</v>
      </c>
      <c r="H544" s="2">
        <f>20</f>
        <v>20</v>
      </c>
      <c r="I544" t="s">
        <v>27</v>
      </c>
      <c r="J544" t="s">
        <v>171</v>
      </c>
      <c r="K544" t="str">
        <f>"516376"</f>
        <v>516376</v>
      </c>
    </row>
    <row r="545" spans="1:11" x14ac:dyDescent="0.25">
      <c r="A545">
        <v>2021</v>
      </c>
      <c r="B545" t="s">
        <v>3424</v>
      </c>
      <c r="C545" t="s">
        <v>3425</v>
      </c>
      <c r="D545" t="s">
        <v>3426</v>
      </c>
      <c r="E545" t="s">
        <v>20</v>
      </c>
      <c r="F545" t="str">
        <f>"44136"</f>
        <v>44136</v>
      </c>
      <c r="G545" t="str">
        <f>"402018"</f>
        <v>402018</v>
      </c>
      <c r="H545" s="2">
        <f>15</f>
        <v>15</v>
      </c>
      <c r="I545" t="s">
        <v>27</v>
      </c>
      <c r="J545" t="s">
        <v>171</v>
      </c>
      <c r="K545" t="str">
        <f>"516102"</f>
        <v>516102</v>
      </c>
    </row>
    <row r="546" spans="1:11" x14ac:dyDescent="0.25">
      <c r="A546">
        <v>2021</v>
      </c>
      <c r="B546" t="s">
        <v>3430</v>
      </c>
      <c r="C546" t="s">
        <v>3431</v>
      </c>
      <c r="D546" t="s">
        <v>50</v>
      </c>
      <c r="E546" t="s">
        <v>20</v>
      </c>
      <c r="F546" t="str">
        <f>"43560-1532"</f>
        <v>43560-1532</v>
      </c>
      <c r="G546" t="str">
        <f>"402019"</f>
        <v>402019</v>
      </c>
      <c r="H546" s="2">
        <f>10</f>
        <v>10</v>
      </c>
      <c r="I546" t="s">
        <v>27</v>
      </c>
      <c r="J546" t="s">
        <v>42</v>
      </c>
      <c r="K546" t="str">
        <f>"112044"</f>
        <v>112044</v>
      </c>
    </row>
    <row r="547" spans="1:11" x14ac:dyDescent="0.25">
      <c r="A547">
        <v>2021</v>
      </c>
      <c r="B547" t="s">
        <v>3434</v>
      </c>
      <c r="C547" t="s">
        <v>3435</v>
      </c>
      <c r="D547" t="s">
        <v>19</v>
      </c>
      <c r="E547" t="s">
        <v>20</v>
      </c>
      <c r="F547" t="str">
        <f>"43612"</f>
        <v>43612</v>
      </c>
      <c r="G547" t="str">
        <f>"Pio448069"</f>
        <v>Pio448069</v>
      </c>
      <c r="H547" s="2">
        <f>0.33</f>
        <v>0.33</v>
      </c>
      <c r="I547" t="s">
        <v>86</v>
      </c>
      <c r="J547" t="s">
        <v>87</v>
      </c>
      <c r="K547" t="str">
        <f>"0"</f>
        <v>0</v>
      </c>
    </row>
    <row r="548" spans="1:11" x14ac:dyDescent="0.25">
      <c r="A548">
        <v>2021</v>
      </c>
      <c r="B548" t="s">
        <v>3452</v>
      </c>
      <c r="C548" t="s">
        <v>3453</v>
      </c>
      <c r="D548" t="s">
        <v>19</v>
      </c>
      <c r="E548" t="s">
        <v>20</v>
      </c>
      <c r="F548" t="str">
        <f>"43613-1656"</f>
        <v>43613-1656</v>
      </c>
      <c r="G548" t="str">
        <f>"402019"</f>
        <v>402019</v>
      </c>
      <c r="H548" s="2">
        <f>20</f>
        <v>20</v>
      </c>
      <c r="I548" t="s">
        <v>27</v>
      </c>
      <c r="J548" t="s">
        <v>42</v>
      </c>
      <c r="K548" t="str">
        <f>"113517"</f>
        <v>113517</v>
      </c>
    </row>
    <row r="549" spans="1:11" x14ac:dyDescent="0.25">
      <c r="A549">
        <v>2021</v>
      </c>
      <c r="B549" t="s">
        <v>3458</v>
      </c>
      <c r="C549" t="s">
        <v>3459</v>
      </c>
      <c r="D549" t="s">
        <v>50</v>
      </c>
      <c r="E549" t="s">
        <v>20</v>
      </c>
      <c r="F549" t="str">
        <f>"43560"</f>
        <v>43560</v>
      </c>
      <c r="G549" t="str">
        <f>"402019"</f>
        <v>402019</v>
      </c>
      <c r="H549" s="2">
        <f>10</f>
        <v>10</v>
      </c>
      <c r="I549" t="s">
        <v>27</v>
      </c>
      <c r="J549" t="s">
        <v>42</v>
      </c>
      <c r="K549" t="str">
        <f>"111888"</f>
        <v>111888</v>
      </c>
    </row>
    <row r="550" spans="1:11" x14ac:dyDescent="0.25">
      <c r="A550">
        <v>2021</v>
      </c>
      <c r="B550" t="s">
        <v>3460</v>
      </c>
      <c r="C550" t="s">
        <v>3461</v>
      </c>
      <c r="D550" t="s">
        <v>512</v>
      </c>
      <c r="E550" t="s">
        <v>20</v>
      </c>
      <c r="F550" t="str">
        <f>"43512"</f>
        <v>43512</v>
      </c>
      <c r="G550" t="str">
        <f>"Je092221"</f>
        <v>Je092221</v>
      </c>
      <c r="H550" s="2">
        <f>16.93</f>
        <v>16.93</v>
      </c>
      <c r="I550" t="s">
        <v>15</v>
      </c>
      <c r="J550" t="s">
        <v>114</v>
      </c>
      <c r="K550" t="str">
        <f>"60015262"</f>
        <v>60015262</v>
      </c>
    </row>
    <row r="551" spans="1:11" x14ac:dyDescent="0.25">
      <c r="A551">
        <v>2021</v>
      </c>
      <c r="B551" t="s">
        <v>3465</v>
      </c>
      <c r="C551" t="s">
        <v>3466</v>
      </c>
      <c r="D551" t="s">
        <v>19</v>
      </c>
      <c r="E551" t="s">
        <v>20</v>
      </c>
      <c r="F551" t="str">
        <f>"43611"</f>
        <v>43611</v>
      </c>
      <c r="G551" t="str">
        <f>"Swucf4621"</f>
        <v>Swucf4621</v>
      </c>
      <c r="H551" s="2">
        <f>46.56</f>
        <v>46.56</v>
      </c>
      <c r="I551" t="s">
        <v>15</v>
      </c>
      <c r="J551" t="s">
        <v>81</v>
      </c>
      <c r="K551" t="str">
        <f>"6289511"</f>
        <v>6289511</v>
      </c>
    </row>
    <row r="552" spans="1:11" x14ac:dyDescent="0.25">
      <c r="A552">
        <v>2021</v>
      </c>
      <c r="B552" t="s">
        <v>3479</v>
      </c>
      <c r="C552" t="s">
        <v>3480</v>
      </c>
      <c r="D552" t="s">
        <v>19</v>
      </c>
      <c r="E552" t="s">
        <v>20</v>
      </c>
      <c r="F552" t="str">
        <f>"43614-2503"</f>
        <v>43614-2503</v>
      </c>
      <c r="G552" t="str">
        <f>"402019"</f>
        <v>402019</v>
      </c>
      <c r="H552" s="2">
        <f>10</f>
        <v>10</v>
      </c>
      <c r="I552" t="s">
        <v>27</v>
      </c>
      <c r="J552" t="s">
        <v>42</v>
      </c>
      <c r="K552" t="str">
        <f>"111406"</f>
        <v>111406</v>
      </c>
    </row>
    <row r="553" spans="1:11" x14ac:dyDescent="0.25">
      <c r="A553">
        <v>2021</v>
      </c>
      <c r="B553" t="s">
        <v>3481</v>
      </c>
      <c r="C553" t="s">
        <v>3482</v>
      </c>
      <c r="D553" t="s">
        <v>19</v>
      </c>
      <c r="E553" t="s">
        <v>20</v>
      </c>
      <c r="F553" t="str">
        <f>"43610-1108"</f>
        <v>43610-1108</v>
      </c>
      <c r="G553" t="str">
        <f>"402019"</f>
        <v>402019</v>
      </c>
      <c r="H553" s="2">
        <f>10</f>
        <v>10</v>
      </c>
      <c r="I553" t="s">
        <v>27</v>
      </c>
      <c r="J553" t="s">
        <v>42</v>
      </c>
      <c r="K553" t="str">
        <f>"115876"</f>
        <v>115876</v>
      </c>
    </row>
    <row r="554" spans="1:11" x14ac:dyDescent="0.25">
      <c r="A554">
        <v>2021</v>
      </c>
      <c r="B554" t="s">
        <v>3485</v>
      </c>
      <c r="C554" t="s">
        <v>3486</v>
      </c>
      <c r="D554" t="s">
        <v>19</v>
      </c>
      <c r="E554" t="s">
        <v>20</v>
      </c>
      <c r="F554" t="str">
        <f>"43609-2067"</f>
        <v>43609-2067</v>
      </c>
      <c r="G554" t="str">
        <f>"402019"</f>
        <v>402019</v>
      </c>
      <c r="H554" s="2">
        <f>10</f>
        <v>10</v>
      </c>
      <c r="I554" t="s">
        <v>27</v>
      </c>
      <c r="J554" t="s">
        <v>42</v>
      </c>
      <c r="K554" t="str">
        <f>"115614"</f>
        <v>115614</v>
      </c>
    </row>
    <row r="555" spans="1:11" x14ac:dyDescent="0.25">
      <c r="A555">
        <v>2021</v>
      </c>
      <c r="B555" t="s">
        <v>3491</v>
      </c>
      <c r="C555" t="s">
        <v>3492</v>
      </c>
      <c r="D555" t="s">
        <v>3493</v>
      </c>
      <c r="E555" t="s">
        <v>20</v>
      </c>
      <c r="F555" t="str">
        <f>"45856-9441"</f>
        <v>45856-9441</v>
      </c>
      <c r="G555" t="str">
        <f>"Swucf4621"</f>
        <v>Swucf4621</v>
      </c>
      <c r="H555" s="2">
        <f>20.3</f>
        <v>20.3</v>
      </c>
      <c r="I555" t="s">
        <v>15</v>
      </c>
      <c r="J555" t="s">
        <v>81</v>
      </c>
      <c r="K555" t="str">
        <f>"6288757"</f>
        <v>6288757</v>
      </c>
    </row>
    <row r="556" spans="1:11" x14ac:dyDescent="0.25">
      <c r="A556">
        <v>2021</v>
      </c>
      <c r="B556" t="s">
        <v>3496</v>
      </c>
      <c r="C556" t="s">
        <v>3497</v>
      </c>
      <c r="D556" t="s">
        <v>19</v>
      </c>
      <c r="E556" t="s">
        <v>20</v>
      </c>
      <c r="F556" t="str">
        <f>"43615-5441"</f>
        <v>43615-5441</v>
      </c>
      <c r="G556" t="str">
        <f>"402019"</f>
        <v>402019</v>
      </c>
      <c r="H556" s="2">
        <f>20</f>
        <v>20</v>
      </c>
      <c r="I556" t="s">
        <v>27</v>
      </c>
      <c r="J556" t="s">
        <v>42</v>
      </c>
      <c r="K556" t="str">
        <f>"111885"</f>
        <v>111885</v>
      </c>
    </row>
    <row r="557" spans="1:11" x14ac:dyDescent="0.25">
      <c r="A557">
        <v>2021</v>
      </c>
      <c r="B557" t="s">
        <v>3510</v>
      </c>
      <c r="C557" t="s">
        <v>3511</v>
      </c>
      <c r="D557" t="s">
        <v>19</v>
      </c>
      <c r="E557" t="s">
        <v>20</v>
      </c>
      <c r="F557" t="str">
        <f>"43615"</f>
        <v>43615</v>
      </c>
      <c r="G557" t="str">
        <f>"Je092221"</f>
        <v>Je092221</v>
      </c>
      <c r="H557" s="2">
        <f>75</f>
        <v>75</v>
      </c>
      <c r="I557" t="s">
        <v>15</v>
      </c>
      <c r="J557" t="s">
        <v>114</v>
      </c>
      <c r="K557" t="str">
        <f>"60010863"</f>
        <v>60010863</v>
      </c>
    </row>
    <row r="558" spans="1:11" x14ac:dyDescent="0.25">
      <c r="A558">
        <v>2021</v>
      </c>
      <c r="B558" t="s">
        <v>3512</v>
      </c>
      <c r="C558" t="s">
        <v>3513</v>
      </c>
      <c r="D558" t="s">
        <v>105</v>
      </c>
      <c r="E558" t="s">
        <v>20</v>
      </c>
      <c r="F558" t="str">
        <f>"43528-9140"</f>
        <v>43528-9140</v>
      </c>
      <c r="G558" t="str">
        <f>"402019"</f>
        <v>402019</v>
      </c>
      <c r="H558" s="2">
        <f>10</f>
        <v>10</v>
      </c>
      <c r="I558" t="s">
        <v>27</v>
      </c>
      <c r="J558" t="s">
        <v>42</v>
      </c>
      <c r="K558" t="str">
        <f>"112152"</f>
        <v>112152</v>
      </c>
    </row>
    <row r="559" spans="1:11" x14ac:dyDescent="0.25">
      <c r="A559">
        <v>2021</v>
      </c>
      <c r="B559" t="s">
        <v>3521</v>
      </c>
      <c r="C559" t="s">
        <v>3522</v>
      </c>
      <c r="D559" t="s">
        <v>19</v>
      </c>
      <c r="E559" t="s">
        <v>20</v>
      </c>
      <c r="F559" t="str">
        <f>"43607-4429"</f>
        <v>43607-4429</v>
      </c>
      <c r="G559" t="str">
        <f>"402019"</f>
        <v>402019</v>
      </c>
      <c r="H559" s="2">
        <f>10</f>
        <v>10</v>
      </c>
      <c r="I559" t="s">
        <v>27</v>
      </c>
      <c r="J559" t="s">
        <v>42</v>
      </c>
      <c r="K559" t="str">
        <f>"111459"</f>
        <v>111459</v>
      </c>
    </row>
    <row r="560" spans="1:11" x14ac:dyDescent="0.25">
      <c r="A560">
        <v>2021</v>
      </c>
      <c r="B560" t="s">
        <v>3523</v>
      </c>
      <c r="C560" t="s">
        <v>3524</v>
      </c>
      <c r="D560" t="s">
        <v>125</v>
      </c>
      <c r="E560" t="s">
        <v>20</v>
      </c>
      <c r="F560" t="str">
        <f>"43537"</f>
        <v>43537</v>
      </c>
      <c r="G560" t="str">
        <f>"Je092221"</f>
        <v>Je092221</v>
      </c>
      <c r="H560" s="2">
        <f>35</f>
        <v>35</v>
      </c>
      <c r="I560" t="s">
        <v>15</v>
      </c>
      <c r="J560" t="s">
        <v>114</v>
      </c>
      <c r="K560" t="str">
        <f>"60010869"</f>
        <v>60010869</v>
      </c>
    </row>
    <row r="561" spans="1:11" x14ac:dyDescent="0.25">
      <c r="A561">
        <v>2021</v>
      </c>
      <c r="B561" t="s">
        <v>3527</v>
      </c>
      <c r="C561" t="s">
        <v>3528</v>
      </c>
      <c r="D561" t="s">
        <v>19</v>
      </c>
      <c r="E561" t="s">
        <v>20</v>
      </c>
      <c r="F561" t="str">
        <f>"43608"</f>
        <v>43608</v>
      </c>
      <c r="G561" t="str">
        <f>"402018"</f>
        <v>402018</v>
      </c>
      <c r="H561" s="2">
        <f>20</f>
        <v>20</v>
      </c>
      <c r="I561" t="s">
        <v>27</v>
      </c>
      <c r="J561" t="s">
        <v>171</v>
      </c>
      <c r="K561" t="str">
        <f>"517961"</f>
        <v>517961</v>
      </c>
    </row>
    <row r="562" spans="1:11" x14ac:dyDescent="0.25">
      <c r="A562">
        <v>2021</v>
      </c>
      <c r="B562" t="s">
        <v>3531</v>
      </c>
      <c r="C562" t="s">
        <v>3532</v>
      </c>
      <c r="D562" t="s">
        <v>19</v>
      </c>
      <c r="E562" t="s">
        <v>20</v>
      </c>
      <c r="F562" t="str">
        <f>"43605"</f>
        <v>43605</v>
      </c>
      <c r="G562" t="str">
        <f>"Pio448069"</f>
        <v>Pio448069</v>
      </c>
      <c r="H562" s="2">
        <f>0.12</f>
        <v>0.12</v>
      </c>
      <c r="I562" t="s">
        <v>86</v>
      </c>
      <c r="J562" t="s">
        <v>87</v>
      </c>
      <c r="K562" t="str">
        <f>"0"</f>
        <v>0</v>
      </c>
    </row>
    <row r="563" spans="1:11" x14ac:dyDescent="0.25">
      <c r="A563">
        <v>2021</v>
      </c>
      <c r="B563" t="s">
        <v>3543</v>
      </c>
      <c r="C563" t="s">
        <v>3544</v>
      </c>
      <c r="D563" t="s">
        <v>19</v>
      </c>
      <c r="E563" t="s">
        <v>20</v>
      </c>
      <c r="F563" t="str">
        <f>"43609-3023"</f>
        <v>43609-3023</v>
      </c>
      <c r="G563" t="str">
        <f>"402019"</f>
        <v>402019</v>
      </c>
      <c r="H563" s="2">
        <f>10</f>
        <v>10</v>
      </c>
      <c r="I563" t="s">
        <v>27</v>
      </c>
      <c r="J563" t="s">
        <v>42</v>
      </c>
      <c r="K563" t="str">
        <f>"114884"</f>
        <v>114884</v>
      </c>
    </row>
    <row r="564" spans="1:11" x14ac:dyDescent="0.25">
      <c r="A564">
        <v>2021</v>
      </c>
      <c r="B564" t="s">
        <v>3547</v>
      </c>
      <c r="C564" t="s">
        <v>3548</v>
      </c>
      <c r="D564" t="s">
        <v>58</v>
      </c>
      <c r="E564" t="s">
        <v>20</v>
      </c>
      <c r="F564" t="str">
        <f>"43616-4040"</f>
        <v>43616-4040</v>
      </c>
      <c r="G564" t="str">
        <f>"402019"</f>
        <v>402019</v>
      </c>
      <c r="H564" s="2">
        <f>10</f>
        <v>10</v>
      </c>
      <c r="I564" t="s">
        <v>27</v>
      </c>
      <c r="J564" t="s">
        <v>42</v>
      </c>
      <c r="K564" t="str">
        <f>"114329"</f>
        <v>114329</v>
      </c>
    </row>
    <row r="565" spans="1:11" x14ac:dyDescent="0.25">
      <c r="A565">
        <v>2021</v>
      </c>
      <c r="B565" t="s">
        <v>3566</v>
      </c>
      <c r="C565" t="s">
        <v>3567</v>
      </c>
      <c r="D565" t="s">
        <v>50</v>
      </c>
      <c r="E565" t="s">
        <v>20</v>
      </c>
      <c r="F565" t="str">
        <f t="shared" ref="F565:F570" si="12">"43560"</f>
        <v>43560</v>
      </c>
      <c r="G565" t="str">
        <f t="shared" ref="G565:G571" si="13">"402018"</f>
        <v>402018</v>
      </c>
      <c r="H565" s="2">
        <f>200</f>
        <v>200</v>
      </c>
      <c r="I565" t="s">
        <v>27</v>
      </c>
      <c r="J565" t="s">
        <v>171</v>
      </c>
      <c r="K565" t="str">
        <f>"517363"</f>
        <v>517363</v>
      </c>
    </row>
    <row r="566" spans="1:11" x14ac:dyDescent="0.25">
      <c r="A566">
        <v>2021</v>
      </c>
      <c r="B566" t="s">
        <v>3566</v>
      </c>
      <c r="C566" t="s">
        <v>3567</v>
      </c>
      <c r="D566" t="s">
        <v>50</v>
      </c>
      <c r="E566" t="s">
        <v>20</v>
      </c>
      <c r="F566" t="str">
        <f t="shared" si="12"/>
        <v>43560</v>
      </c>
      <c r="G566" t="str">
        <f t="shared" si="13"/>
        <v>402018</v>
      </c>
      <c r="H566" s="2">
        <f>200</f>
        <v>200</v>
      </c>
      <c r="I566" t="s">
        <v>27</v>
      </c>
      <c r="J566" t="s">
        <v>171</v>
      </c>
      <c r="K566" t="str">
        <f>"516168"</f>
        <v>516168</v>
      </c>
    </row>
    <row r="567" spans="1:11" x14ac:dyDescent="0.25">
      <c r="A567">
        <v>2021</v>
      </c>
      <c r="B567" t="s">
        <v>3566</v>
      </c>
      <c r="C567" t="s">
        <v>3567</v>
      </c>
      <c r="D567" t="s">
        <v>50</v>
      </c>
      <c r="E567" t="s">
        <v>20</v>
      </c>
      <c r="F567" t="str">
        <f t="shared" si="12"/>
        <v>43560</v>
      </c>
      <c r="G567" t="str">
        <f t="shared" si="13"/>
        <v>402018</v>
      </c>
      <c r="H567" s="2">
        <f>200</f>
        <v>200</v>
      </c>
      <c r="I567" t="s">
        <v>27</v>
      </c>
      <c r="J567" t="s">
        <v>171</v>
      </c>
      <c r="K567" t="str">
        <f>"516770"</f>
        <v>516770</v>
      </c>
    </row>
    <row r="568" spans="1:11" x14ac:dyDescent="0.25">
      <c r="A568">
        <v>2021</v>
      </c>
      <c r="B568" t="s">
        <v>3566</v>
      </c>
      <c r="C568" t="s">
        <v>3567</v>
      </c>
      <c r="D568" t="s">
        <v>50</v>
      </c>
      <c r="E568" t="s">
        <v>20</v>
      </c>
      <c r="F568" t="str">
        <f t="shared" si="12"/>
        <v>43560</v>
      </c>
      <c r="G568" t="str">
        <f t="shared" si="13"/>
        <v>402018</v>
      </c>
      <c r="H568" s="2">
        <f>250</f>
        <v>250</v>
      </c>
      <c r="I568" t="s">
        <v>27</v>
      </c>
      <c r="J568" t="s">
        <v>171</v>
      </c>
      <c r="K568" t="str">
        <f>"518269"</f>
        <v>518269</v>
      </c>
    </row>
    <row r="569" spans="1:11" x14ac:dyDescent="0.25">
      <c r="A569">
        <v>2021</v>
      </c>
      <c r="B569" t="s">
        <v>3574</v>
      </c>
      <c r="C569" t="s">
        <v>3575</v>
      </c>
      <c r="D569" t="s">
        <v>50</v>
      </c>
      <c r="E569" t="s">
        <v>20</v>
      </c>
      <c r="F569" t="str">
        <f t="shared" si="12"/>
        <v>43560</v>
      </c>
      <c r="G569" t="str">
        <f t="shared" si="13"/>
        <v>402018</v>
      </c>
      <c r="H569" s="2">
        <f>2.5</f>
        <v>2.5</v>
      </c>
      <c r="I569" t="s">
        <v>27</v>
      </c>
      <c r="J569" t="s">
        <v>171</v>
      </c>
      <c r="K569" t="str">
        <f>"516142"</f>
        <v>516142</v>
      </c>
    </row>
    <row r="570" spans="1:11" x14ac:dyDescent="0.25">
      <c r="A570">
        <v>2021</v>
      </c>
      <c r="B570" t="s">
        <v>3574</v>
      </c>
      <c r="C570" t="s">
        <v>3575</v>
      </c>
      <c r="D570" t="s">
        <v>50</v>
      </c>
      <c r="E570" t="s">
        <v>20</v>
      </c>
      <c r="F570" t="str">
        <f t="shared" si="12"/>
        <v>43560</v>
      </c>
      <c r="G570" t="str">
        <f t="shared" si="13"/>
        <v>402018</v>
      </c>
      <c r="H570" s="2">
        <f>1</f>
        <v>1</v>
      </c>
      <c r="I570" t="s">
        <v>27</v>
      </c>
      <c r="J570" t="s">
        <v>171</v>
      </c>
      <c r="K570" t="str">
        <f>"518049"</f>
        <v>518049</v>
      </c>
    </row>
    <row r="571" spans="1:11" x14ac:dyDescent="0.25">
      <c r="A571">
        <v>2021</v>
      </c>
      <c r="B571" t="s">
        <v>3585</v>
      </c>
      <c r="C571" t="s">
        <v>3586</v>
      </c>
      <c r="D571" t="s">
        <v>19</v>
      </c>
      <c r="E571" t="s">
        <v>20</v>
      </c>
      <c r="F571" t="str">
        <f>"43617"</f>
        <v>43617</v>
      </c>
      <c r="G571" t="str">
        <f t="shared" si="13"/>
        <v>402018</v>
      </c>
      <c r="H571" s="2">
        <f>9.08</f>
        <v>9.08</v>
      </c>
      <c r="I571" t="s">
        <v>27</v>
      </c>
      <c r="J571" t="s">
        <v>171</v>
      </c>
      <c r="K571" t="str">
        <f>"517625"</f>
        <v>517625</v>
      </c>
    </row>
    <row r="572" spans="1:11" x14ac:dyDescent="0.25">
      <c r="A572">
        <v>2021</v>
      </c>
      <c r="B572" t="s">
        <v>3589</v>
      </c>
      <c r="C572" t="s">
        <v>3590</v>
      </c>
      <c r="D572" t="s">
        <v>19</v>
      </c>
      <c r="E572" t="s">
        <v>20</v>
      </c>
      <c r="F572" t="str">
        <f>"43615"</f>
        <v>43615</v>
      </c>
      <c r="G572" t="str">
        <f>"Pio448069"</f>
        <v>Pio448069</v>
      </c>
      <c r="H572" s="2">
        <f>38</f>
        <v>38</v>
      </c>
      <c r="I572" t="s">
        <v>86</v>
      </c>
      <c r="J572" t="s">
        <v>87</v>
      </c>
      <c r="K572" t="str">
        <f>"0"</f>
        <v>0</v>
      </c>
    </row>
    <row r="573" spans="1:11" x14ac:dyDescent="0.25">
      <c r="A573">
        <v>2021</v>
      </c>
      <c r="B573" t="s">
        <v>3614</v>
      </c>
      <c r="C573" t="s">
        <v>3615</v>
      </c>
      <c r="D573" t="s">
        <v>19</v>
      </c>
      <c r="E573" t="s">
        <v>20</v>
      </c>
      <c r="F573" t="str">
        <f>"43615"</f>
        <v>43615</v>
      </c>
      <c r="G573" t="str">
        <f>"402018"</f>
        <v>402018</v>
      </c>
      <c r="H573" s="2">
        <f>4.05</f>
        <v>4.05</v>
      </c>
      <c r="I573" t="s">
        <v>27</v>
      </c>
      <c r="J573" t="s">
        <v>171</v>
      </c>
      <c r="K573" t="str">
        <f>"516608"</f>
        <v>516608</v>
      </c>
    </row>
    <row r="574" spans="1:11" x14ac:dyDescent="0.25">
      <c r="A574">
        <v>2021</v>
      </c>
      <c r="B574" t="s">
        <v>3618</v>
      </c>
      <c r="C574" t="s">
        <v>3619</v>
      </c>
      <c r="D574" t="s">
        <v>58</v>
      </c>
      <c r="E574" t="s">
        <v>20</v>
      </c>
      <c r="F574" t="str">
        <f>"43616"</f>
        <v>43616</v>
      </c>
      <c r="G574" t="str">
        <f>"Bwucf4621"</f>
        <v>Bwucf4621</v>
      </c>
      <c r="H574" s="2">
        <f>600</f>
        <v>600</v>
      </c>
      <c r="I574" t="s">
        <v>15</v>
      </c>
      <c r="J574" t="s">
        <v>295</v>
      </c>
      <c r="K574" t="str">
        <f>"01437968"</f>
        <v>01437968</v>
      </c>
    </row>
    <row r="575" spans="1:11" x14ac:dyDescent="0.25">
      <c r="A575">
        <v>2021</v>
      </c>
      <c r="B575" t="s">
        <v>3627</v>
      </c>
      <c r="C575" t="s">
        <v>3625</v>
      </c>
      <c r="D575" t="s">
        <v>3626</v>
      </c>
      <c r="E575" t="s">
        <v>14</v>
      </c>
      <c r="F575" t="str">
        <f>"48067-3937"</f>
        <v>48067-3937</v>
      </c>
      <c r="G575" t="str">
        <f>"Swucf4621"</f>
        <v>Swucf4621</v>
      </c>
      <c r="H575" s="2">
        <f>73.96</f>
        <v>73.959999999999994</v>
      </c>
      <c r="I575" t="s">
        <v>15</v>
      </c>
      <c r="J575" t="s">
        <v>81</v>
      </c>
      <c r="K575" t="str">
        <f>"6293518"</f>
        <v>6293518</v>
      </c>
    </row>
    <row r="576" spans="1:11" x14ac:dyDescent="0.25">
      <c r="A576">
        <v>2021</v>
      </c>
      <c r="B576" t="s">
        <v>3624</v>
      </c>
      <c r="C576" t="s">
        <v>3625</v>
      </c>
      <c r="D576" t="s">
        <v>3626</v>
      </c>
      <c r="E576" t="s">
        <v>14</v>
      </c>
      <c r="F576" t="str">
        <f>"48067"</f>
        <v>48067</v>
      </c>
      <c r="G576" t="str">
        <f>"Je110321"</f>
        <v>Je110321</v>
      </c>
      <c r="H576" s="2">
        <f>61.56</f>
        <v>61.56</v>
      </c>
      <c r="I576" t="s">
        <v>15</v>
      </c>
      <c r="J576" t="s">
        <v>596</v>
      </c>
      <c r="K576" t="str">
        <f>"60023534"</f>
        <v>60023534</v>
      </c>
    </row>
    <row r="577" spans="1:11" x14ac:dyDescent="0.25">
      <c r="A577">
        <v>2021</v>
      </c>
      <c r="B577" t="s">
        <v>3624</v>
      </c>
      <c r="C577" t="s">
        <v>3625</v>
      </c>
      <c r="D577" t="s">
        <v>3626</v>
      </c>
      <c r="E577" t="s">
        <v>14</v>
      </c>
      <c r="F577" t="str">
        <f>"48067"</f>
        <v>48067</v>
      </c>
      <c r="G577" t="str">
        <f>"Je110321"</f>
        <v>Je110321</v>
      </c>
      <c r="H577" s="2">
        <f>61.56</f>
        <v>61.56</v>
      </c>
      <c r="I577" t="s">
        <v>15</v>
      </c>
      <c r="J577" t="s">
        <v>596</v>
      </c>
      <c r="K577" t="str">
        <f>"60020042"</f>
        <v>60020042</v>
      </c>
    </row>
    <row r="578" spans="1:11" x14ac:dyDescent="0.25">
      <c r="A578">
        <v>2021</v>
      </c>
      <c r="B578" t="s">
        <v>3628</v>
      </c>
      <c r="C578" t="s">
        <v>3629</v>
      </c>
      <c r="D578" t="s">
        <v>19</v>
      </c>
      <c r="E578" t="s">
        <v>20</v>
      </c>
      <c r="F578" t="str">
        <f>"43604"</f>
        <v>43604</v>
      </c>
      <c r="G578" t="str">
        <f>"Pio448069"</f>
        <v>Pio448069</v>
      </c>
      <c r="H578" s="2">
        <f>0.17</f>
        <v>0.17</v>
      </c>
      <c r="I578" t="s">
        <v>86</v>
      </c>
      <c r="J578" t="s">
        <v>87</v>
      </c>
      <c r="K578" t="str">
        <f>"0"</f>
        <v>0</v>
      </c>
    </row>
    <row r="579" spans="1:11" x14ac:dyDescent="0.25">
      <c r="A579">
        <v>2021</v>
      </c>
      <c r="B579" t="s">
        <v>3634</v>
      </c>
      <c r="C579" t="s">
        <v>3635</v>
      </c>
      <c r="D579" t="s">
        <v>19</v>
      </c>
      <c r="E579" t="s">
        <v>20</v>
      </c>
      <c r="F579" t="str">
        <f>"43615"</f>
        <v>43615</v>
      </c>
      <c r="G579" t="str">
        <f>"402063"</f>
        <v>402063</v>
      </c>
      <c r="H579" s="2">
        <f>10</f>
        <v>10</v>
      </c>
      <c r="I579" t="s">
        <v>27</v>
      </c>
      <c r="J579" t="s">
        <v>71</v>
      </c>
      <c r="K579" t="str">
        <f>"33007418"</f>
        <v>33007418</v>
      </c>
    </row>
    <row r="580" spans="1:11" x14ac:dyDescent="0.25">
      <c r="A580">
        <v>2021</v>
      </c>
      <c r="B580" t="s">
        <v>3636</v>
      </c>
      <c r="C580" t="s">
        <v>3637</v>
      </c>
      <c r="D580" t="s">
        <v>3638</v>
      </c>
      <c r="E580" t="s">
        <v>436</v>
      </c>
      <c r="F580" t="str">
        <f>"19034-3404"</f>
        <v>19034-3404</v>
      </c>
      <c r="G580" t="str">
        <f>"Je110321"</f>
        <v>Je110321</v>
      </c>
      <c r="H580" s="2">
        <f>199</f>
        <v>199</v>
      </c>
      <c r="I580" t="s">
        <v>15</v>
      </c>
      <c r="J580" t="s">
        <v>596</v>
      </c>
      <c r="K580" t="str">
        <f>"60018197"</f>
        <v>60018197</v>
      </c>
    </row>
    <row r="581" spans="1:11" x14ac:dyDescent="0.25">
      <c r="A581">
        <v>2021</v>
      </c>
      <c r="B581" t="s">
        <v>3645</v>
      </c>
      <c r="C581" t="s">
        <v>3646</v>
      </c>
      <c r="D581" t="s">
        <v>3647</v>
      </c>
      <c r="E581" t="s">
        <v>216</v>
      </c>
      <c r="F581" t="str">
        <f>"46804"</f>
        <v>46804</v>
      </c>
      <c r="G581" t="str">
        <f>"Je061721"</f>
        <v>Je061721</v>
      </c>
      <c r="H581" s="2">
        <f>1143.48</f>
        <v>1143.48</v>
      </c>
      <c r="I581" t="s">
        <v>15</v>
      </c>
      <c r="J581" t="s">
        <v>137</v>
      </c>
      <c r="K581" t="str">
        <f>"60008522"</f>
        <v>60008522</v>
      </c>
    </row>
    <row r="582" spans="1:11" x14ac:dyDescent="0.25">
      <c r="A582">
        <v>2021</v>
      </c>
      <c r="B582" t="s">
        <v>3652</v>
      </c>
      <c r="C582" t="s">
        <v>3653</v>
      </c>
      <c r="D582" t="s">
        <v>19</v>
      </c>
      <c r="E582" t="s">
        <v>20</v>
      </c>
      <c r="F582" t="str">
        <f>"43614-2807"</f>
        <v>43614-2807</v>
      </c>
      <c r="G582" t="str">
        <f>"402019"</f>
        <v>402019</v>
      </c>
      <c r="H582" s="2">
        <f>20</f>
        <v>20</v>
      </c>
      <c r="I582" t="s">
        <v>27</v>
      </c>
      <c r="J582" t="s">
        <v>42</v>
      </c>
      <c r="K582" t="str">
        <f>"112469"</f>
        <v>112469</v>
      </c>
    </row>
    <row r="583" spans="1:11" x14ac:dyDescent="0.25">
      <c r="A583">
        <v>2021</v>
      </c>
      <c r="B583" t="s">
        <v>3654</v>
      </c>
      <c r="C583" t="s">
        <v>3655</v>
      </c>
      <c r="D583" t="s">
        <v>19</v>
      </c>
      <c r="E583" t="s">
        <v>20</v>
      </c>
      <c r="F583" t="str">
        <f>"43614-3914"</f>
        <v>43614-3914</v>
      </c>
      <c r="G583" t="str">
        <f>"402019"</f>
        <v>402019</v>
      </c>
      <c r="H583" s="2">
        <f>20</f>
        <v>20</v>
      </c>
      <c r="I583" t="s">
        <v>27</v>
      </c>
      <c r="J583" t="s">
        <v>42</v>
      </c>
      <c r="K583" t="str">
        <f>"113586"</f>
        <v>113586</v>
      </c>
    </row>
    <row r="584" spans="1:11" x14ac:dyDescent="0.25">
      <c r="A584">
        <v>2021</v>
      </c>
      <c r="B584" t="s">
        <v>3661</v>
      </c>
      <c r="C584" t="s">
        <v>3662</v>
      </c>
      <c r="D584" t="s">
        <v>19</v>
      </c>
      <c r="E584" t="s">
        <v>20</v>
      </c>
      <c r="F584" t="str">
        <f>"43609"</f>
        <v>43609</v>
      </c>
      <c r="G584" t="str">
        <f>"Pio448069"</f>
        <v>Pio448069</v>
      </c>
      <c r="H584" s="2">
        <f>36</f>
        <v>36</v>
      </c>
      <c r="I584" t="s">
        <v>86</v>
      </c>
      <c r="J584" t="s">
        <v>87</v>
      </c>
      <c r="K584" t="str">
        <f>"0"</f>
        <v>0</v>
      </c>
    </row>
    <row r="585" spans="1:11" x14ac:dyDescent="0.25">
      <c r="A585">
        <v>2021</v>
      </c>
      <c r="B585" t="s">
        <v>3665</v>
      </c>
      <c r="C585" t="s">
        <v>3666</v>
      </c>
      <c r="D585" t="s">
        <v>19</v>
      </c>
      <c r="E585" t="s">
        <v>20</v>
      </c>
      <c r="F585" t="str">
        <f>"43605"</f>
        <v>43605</v>
      </c>
      <c r="G585" t="str">
        <f>"Pio448069"</f>
        <v>Pio448069</v>
      </c>
      <c r="H585" s="2">
        <f>1</f>
        <v>1</v>
      </c>
      <c r="I585" t="s">
        <v>86</v>
      </c>
      <c r="J585" t="s">
        <v>87</v>
      </c>
      <c r="K585" t="str">
        <f>"0"</f>
        <v>0</v>
      </c>
    </row>
    <row r="586" spans="1:11" x14ac:dyDescent="0.25">
      <c r="A586">
        <v>2021</v>
      </c>
      <c r="B586" t="s">
        <v>3671</v>
      </c>
      <c r="C586" t="s">
        <v>3672</v>
      </c>
      <c r="D586" t="s">
        <v>19</v>
      </c>
      <c r="E586" t="s">
        <v>20</v>
      </c>
      <c r="F586" t="str">
        <f>"43611"</f>
        <v>43611</v>
      </c>
      <c r="G586" t="str">
        <f>"Pio448069"</f>
        <v>Pio448069</v>
      </c>
      <c r="H586" s="2">
        <f>8.73</f>
        <v>8.73</v>
      </c>
      <c r="I586" t="s">
        <v>86</v>
      </c>
      <c r="J586" t="s">
        <v>87</v>
      </c>
      <c r="K586" t="str">
        <f>"0"</f>
        <v>0</v>
      </c>
    </row>
    <row r="587" spans="1:11" x14ac:dyDescent="0.25">
      <c r="A587">
        <v>2021</v>
      </c>
      <c r="B587" t="s">
        <v>3675</v>
      </c>
      <c r="C587" t="s">
        <v>3676</v>
      </c>
      <c r="D587" t="s">
        <v>19</v>
      </c>
      <c r="E587" t="s">
        <v>20</v>
      </c>
      <c r="F587" t="str">
        <f>"43609"</f>
        <v>43609</v>
      </c>
      <c r="G587" t="str">
        <f>"Je092221"</f>
        <v>Je092221</v>
      </c>
      <c r="H587" s="2">
        <f>15</f>
        <v>15</v>
      </c>
      <c r="I587" t="s">
        <v>15</v>
      </c>
      <c r="J587" t="s">
        <v>114</v>
      </c>
      <c r="K587" t="str">
        <f>"60010886"</f>
        <v>60010886</v>
      </c>
    </row>
    <row r="588" spans="1:11" x14ac:dyDescent="0.25">
      <c r="A588">
        <v>2021</v>
      </c>
      <c r="B588" t="s">
        <v>3677</v>
      </c>
      <c r="C588" t="s">
        <v>3678</v>
      </c>
      <c r="D588" t="s">
        <v>19</v>
      </c>
      <c r="E588" t="s">
        <v>20</v>
      </c>
      <c r="F588" t="str">
        <f>"43612"</f>
        <v>43612</v>
      </c>
      <c r="G588" t="str">
        <f>"Pio448069"</f>
        <v>Pio448069</v>
      </c>
      <c r="H588" s="2">
        <f>1.23</f>
        <v>1.23</v>
      </c>
      <c r="I588" t="s">
        <v>86</v>
      </c>
      <c r="J588" t="s">
        <v>87</v>
      </c>
      <c r="K588" t="str">
        <f>"0"</f>
        <v>0</v>
      </c>
    </row>
    <row r="589" spans="1:11" x14ac:dyDescent="0.25">
      <c r="A589">
        <v>2021</v>
      </c>
      <c r="B589" t="s">
        <v>3679</v>
      </c>
      <c r="C589" t="s">
        <v>3680</v>
      </c>
      <c r="D589" t="s">
        <v>19</v>
      </c>
      <c r="E589" t="s">
        <v>20</v>
      </c>
      <c r="F589" t="str">
        <f t="shared" ref="F589:F599" si="14">"43606"</f>
        <v>43606</v>
      </c>
      <c r="G589" t="str">
        <f t="shared" ref="G589:G599" si="15">"402018"</f>
        <v>402018</v>
      </c>
      <c r="H589" s="2">
        <f>23</f>
        <v>23</v>
      </c>
      <c r="I589" t="s">
        <v>27</v>
      </c>
      <c r="J589" t="s">
        <v>171</v>
      </c>
      <c r="K589" t="str">
        <f>"515917"</f>
        <v>515917</v>
      </c>
    </row>
    <row r="590" spans="1:11" x14ac:dyDescent="0.25">
      <c r="A590">
        <v>2021</v>
      </c>
      <c r="B590" t="s">
        <v>3679</v>
      </c>
      <c r="C590" t="s">
        <v>3681</v>
      </c>
      <c r="D590" t="s">
        <v>19</v>
      </c>
      <c r="E590" t="s">
        <v>20</v>
      </c>
      <c r="F590" t="str">
        <f t="shared" si="14"/>
        <v>43606</v>
      </c>
      <c r="G590" t="str">
        <f t="shared" si="15"/>
        <v>402018</v>
      </c>
      <c r="H590" s="2">
        <f>8</f>
        <v>8</v>
      </c>
      <c r="I590" t="s">
        <v>27</v>
      </c>
      <c r="J590" t="s">
        <v>171</v>
      </c>
      <c r="K590" t="str">
        <f>"515957"</f>
        <v>515957</v>
      </c>
    </row>
    <row r="591" spans="1:11" x14ac:dyDescent="0.25">
      <c r="A591">
        <v>2021</v>
      </c>
      <c r="B591" t="s">
        <v>3679</v>
      </c>
      <c r="C591" t="s">
        <v>3681</v>
      </c>
      <c r="D591" t="s">
        <v>19</v>
      </c>
      <c r="E591" t="s">
        <v>20</v>
      </c>
      <c r="F591" t="str">
        <f t="shared" si="14"/>
        <v>43606</v>
      </c>
      <c r="G591" t="str">
        <f t="shared" si="15"/>
        <v>402018</v>
      </c>
      <c r="H591" s="2">
        <f>10</f>
        <v>10</v>
      </c>
      <c r="I591" t="s">
        <v>27</v>
      </c>
      <c r="J591" t="s">
        <v>171</v>
      </c>
      <c r="K591" t="str">
        <f>"516092"</f>
        <v>516092</v>
      </c>
    </row>
    <row r="592" spans="1:11" x14ac:dyDescent="0.25">
      <c r="A592">
        <v>2021</v>
      </c>
      <c r="B592" t="s">
        <v>3679</v>
      </c>
      <c r="C592" t="s">
        <v>3681</v>
      </c>
      <c r="D592" t="s">
        <v>19</v>
      </c>
      <c r="E592" t="s">
        <v>20</v>
      </c>
      <c r="F592" t="str">
        <f t="shared" si="14"/>
        <v>43606</v>
      </c>
      <c r="G592" t="str">
        <f t="shared" si="15"/>
        <v>402018</v>
      </c>
      <c r="H592" s="2">
        <f>10</f>
        <v>10</v>
      </c>
      <c r="I592" t="s">
        <v>27</v>
      </c>
      <c r="J592" t="s">
        <v>171</v>
      </c>
      <c r="K592" t="str">
        <f>"516369"</f>
        <v>516369</v>
      </c>
    </row>
    <row r="593" spans="1:11" x14ac:dyDescent="0.25">
      <c r="A593">
        <v>2021</v>
      </c>
      <c r="B593" t="s">
        <v>3679</v>
      </c>
      <c r="C593" t="s">
        <v>3681</v>
      </c>
      <c r="D593" t="s">
        <v>19</v>
      </c>
      <c r="E593" t="s">
        <v>20</v>
      </c>
      <c r="F593" t="str">
        <f t="shared" si="14"/>
        <v>43606</v>
      </c>
      <c r="G593" t="str">
        <f t="shared" si="15"/>
        <v>402018</v>
      </c>
      <c r="H593" s="2">
        <f>13</f>
        <v>13</v>
      </c>
      <c r="I593" t="s">
        <v>27</v>
      </c>
      <c r="J593" t="s">
        <v>171</v>
      </c>
      <c r="K593" t="str">
        <f>"516565"</f>
        <v>516565</v>
      </c>
    </row>
    <row r="594" spans="1:11" x14ac:dyDescent="0.25">
      <c r="A594">
        <v>2021</v>
      </c>
      <c r="B594" t="s">
        <v>3679</v>
      </c>
      <c r="C594" t="s">
        <v>3681</v>
      </c>
      <c r="D594" t="s">
        <v>19</v>
      </c>
      <c r="E594" t="s">
        <v>20</v>
      </c>
      <c r="F594" t="str">
        <f t="shared" si="14"/>
        <v>43606</v>
      </c>
      <c r="G594" t="str">
        <f t="shared" si="15"/>
        <v>402018</v>
      </c>
      <c r="H594" s="2">
        <f>20</f>
        <v>20</v>
      </c>
      <c r="I594" t="s">
        <v>27</v>
      </c>
      <c r="J594" t="s">
        <v>171</v>
      </c>
      <c r="K594" t="str">
        <f>"516459"</f>
        <v>516459</v>
      </c>
    </row>
    <row r="595" spans="1:11" x14ac:dyDescent="0.25">
      <c r="A595">
        <v>2021</v>
      </c>
      <c r="B595" t="s">
        <v>3679</v>
      </c>
      <c r="C595" t="s">
        <v>3681</v>
      </c>
      <c r="D595" t="s">
        <v>19</v>
      </c>
      <c r="E595" t="s">
        <v>20</v>
      </c>
      <c r="F595" t="str">
        <f t="shared" si="14"/>
        <v>43606</v>
      </c>
      <c r="G595" t="str">
        <f t="shared" si="15"/>
        <v>402018</v>
      </c>
      <c r="H595" s="2">
        <f>15</f>
        <v>15</v>
      </c>
      <c r="I595" t="s">
        <v>27</v>
      </c>
      <c r="J595" t="s">
        <v>171</v>
      </c>
      <c r="K595" t="str">
        <f>"517529"</f>
        <v>517529</v>
      </c>
    </row>
    <row r="596" spans="1:11" x14ac:dyDescent="0.25">
      <c r="A596">
        <v>2021</v>
      </c>
      <c r="B596" t="s">
        <v>3679</v>
      </c>
      <c r="C596" t="s">
        <v>3681</v>
      </c>
      <c r="D596" t="s">
        <v>19</v>
      </c>
      <c r="E596" t="s">
        <v>20</v>
      </c>
      <c r="F596" t="str">
        <f t="shared" si="14"/>
        <v>43606</v>
      </c>
      <c r="G596" t="str">
        <f t="shared" si="15"/>
        <v>402018</v>
      </c>
      <c r="H596" s="2">
        <f>15</f>
        <v>15</v>
      </c>
      <c r="I596" t="s">
        <v>27</v>
      </c>
      <c r="J596" t="s">
        <v>171</v>
      </c>
      <c r="K596" t="str">
        <f>"517377"</f>
        <v>517377</v>
      </c>
    </row>
    <row r="597" spans="1:11" x14ac:dyDescent="0.25">
      <c r="A597">
        <v>2021</v>
      </c>
      <c r="B597" t="s">
        <v>3679</v>
      </c>
      <c r="C597" t="s">
        <v>3681</v>
      </c>
      <c r="D597" t="s">
        <v>19</v>
      </c>
      <c r="E597" t="s">
        <v>20</v>
      </c>
      <c r="F597" t="str">
        <f t="shared" si="14"/>
        <v>43606</v>
      </c>
      <c r="G597" t="str">
        <f t="shared" si="15"/>
        <v>402018</v>
      </c>
      <c r="H597" s="2">
        <f>5</f>
        <v>5</v>
      </c>
      <c r="I597" t="s">
        <v>27</v>
      </c>
      <c r="J597" t="s">
        <v>171</v>
      </c>
      <c r="K597" t="str">
        <f>"516871"</f>
        <v>516871</v>
      </c>
    </row>
    <row r="598" spans="1:11" x14ac:dyDescent="0.25">
      <c r="A598">
        <v>2021</v>
      </c>
      <c r="B598" t="s">
        <v>3679</v>
      </c>
      <c r="C598" t="s">
        <v>3681</v>
      </c>
      <c r="D598" t="s">
        <v>19</v>
      </c>
      <c r="E598" t="s">
        <v>20</v>
      </c>
      <c r="F598" t="str">
        <f t="shared" si="14"/>
        <v>43606</v>
      </c>
      <c r="G598" t="str">
        <f t="shared" si="15"/>
        <v>402018</v>
      </c>
      <c r="H598" s="2">
        <f>20</f>
        <v>20</v>
      </c>
      <c r="I598" t="s">
        <v>27</v>
      </c>
      <c r="J598" t="s">
        <v>171</v>
      </c>
      <c r="K598" t="str">
        <f>"515673"</f>
        <v>515673</v>
      </c>
    </row>
    <row r="599" spans="1:11" x14ac:dyDescent="0.25">
      <c r="A599">
        <v>2021</v>
      </c>
      <c r="B599" t="s">
        <v>3679</v>
      </c>
      <c r="C599" t="s">
        <v>3681</v>
      </c>
      <c r="D599" t="s">
        <v>19</v>
      </c>
      <c r="E599" t="s">
        <v>20</v>
      </c>
      <c r="F599" t="str">
        <f t="shared" si="14"/>
        <v>43606</v>
      </c>
      <c r="G599" t="str">
        <f t="shared" si="15"/>
        <v>402018</v>
      </c>
      <c r="H599" s="2">
        <f>20</f>
        <v>20</v>
      </c>
      <c r="I599" t="s">
        <v>27</v>
      </c>
      <c r="J599" t="s">
        <v>171</v>
      </c>
      <c r="K599" t="str">
        <f>"515448"</f>
        <v>515448</v>
      </c>
    </row>
    <row r="600" spans="1:11" x14ac:dyDescent="0.25">
      <c r="A600">
        <v>2021</v>
      </c>
      <c r="B600" t="s">
        <v>3684</v>
      </c>
      <c r="C600" t="s">
        <v>3685</v>
      </c>
      <c r="D600" t="s">
        <v>19</v>
      </c>
      <c r="E600" t="s">
        <v>20</v>
      </c>
      <c r="F600" t="str">
        <f>"43614-3656"</f>
        <v>43614-3656</v>
      </c>
      <c r="G600" t="str">
        <f>"402019"</f>
        <v>402019</v>
      </c>
      <c r="H600" s="2">
        <f>10</f>
        <v>10</v>
      </c>
      <c r="I600" t="s">
        <v>27</v>
      </c>
      <c r="J600" t="s">
        <v>42</v>
      </c>
      <c r="K600" t="str">
        <f>"114903"</f>
        <v>114903</v>
      </c>
    </row>
    <row r="601" spans="1:11" x14ac:dyDescent="0.25">
      <c r="A601">
        <v>2021</v>
      </c>
      <c r="B601" t="s">
        <v>3692</v>
      </c>
      <c r="C601" t="s">
        <v>3693</v>
      </c>
      <c r="D601" t="s">
        <v>50</v>
      </c>
      <c r="E601" t="s">
        <v>20</v>
      </c>
      <c r="F601" t="str">
        <f>"43560"</f>
        <v>43560</v>
      </c>
      <c r="G601" t="str">
        <f>"402019"</f>
        <v>402019</v>
      </c>
      <c r="H601" s="2">
        <f>20</f>
        <v>20</v>
      </c>
      <c r="I601" t="s">
        <v>27</v>
      </c>
      <c r="J601" t="s">
        <v>42</v>
      </c>
      <c r="K601" t="str">
        <f>"114385"</f>
        <v>114385</v>
      </c>
    </row>
    <row r="602" spans="1:11" x14ac:dyDescent="0.25">
      <c r="A602">
        <v>2021</v>
      </c>
      <c r="B602" t="s">
        <v>3694</v>
      </c>
      <c r="C602" t="s">
        <v>3695</v>
      </c>
      <c r="D602" t="s">
        <v>19</v>
      </c>
      <c r="E602" t="s">
        <v>20</v>
      </c>
      <c r="F602" t="str">
        <f>"43613"</f>
        <v>43613</v>
      </c>
      <c r="G602" t="str">
        <f>"402063"</f>
        <v>402063</v>
      </c>
      <c r="H602" s="2">
        <f>4</f>
        <v>4</v>
      </c>
      <c r="I602" t="s">
        <v>27</v>
      </c>
      <c r="J602" t="s">
        <v>71</v>
      </c>
      <c r="K602" t="str">
        <f>"11003367"</f>
        <v>11003367</v>
      </c>
    </row>
    <row r="603" spans="1:11" x14ac:dyDescent="0.25">
      <c r="A603">
        <v>2021</v>
      </c>
      <c r="B603" t="s">
        <v>3704</v>
      </c>
      <c r="C603" t="s">
        <v>3705</v>
      </c>
      <c r="D603" t="s">
        <v>125</v>
      </c>
      <c r="E603" t="s">
        <v>20</v>
      </c>
      <c r="F603" t="str">
        <f>"43537-2850"</f>
        <v>43537-2850</v>
      </c>
      <c r="G603" t="str">
        <f>"402019"</f>
        <v>402019</v>
      </c>
      <c r="H603" s="2">
        <f>10</f>
        <v>10</v>
      </c>
      <c r="I603" t="s">
        <v>27</v>
      </c>
      <c r="J603" t="s">
        <v>42</v>
      </c>
      <c r="K603" t="str">
        <f>"111244"</f>
        <v>111244</v>
      </c>
    </row>
    <row r="604" spans="1:11" x14ac:dyDescent="0.25">
      <c r="A604">
        <v>2021</v>
      </c>
      <c r="B604" t="s">
        <v>3716</v>
      </c>
      <c r="C604" t="s">
        <v>3717</v>
      </c>
      <c r="D604" t="s">
        <v>19</v>
      </c>
      <c r="E604" t="s">
        <v>20</v>
      </c>
      <c r="F604" t="str">
        <f>"43606-3057"</f>
        <v>43606-3057</v>
      </c>
      <c r="G604" t="str">
        <f>"402019"</f>
        <v>402019</v>
      </c>
      <c r="H604" s="2">
        <f>10</f>
        <v>10</v>
      </c>
      <c r="I604" t="s">
        <v>27</v>
      </c>
      <c r="J604" t="s">
        <v>42</v>
      </c>
      <c r="K604" t="str">
        <f>"112237"</f>
        <v>112237</v>
      </c>
    </row>
    <row r="605" spans="1:11" x14ac:dyDescent="0.25">
      <c r="A605">
        <v>2021</v>
      </c>
      <c r="B605" t="s">
        <v>3728</v>
      </c>
      <c r="C605" t="s">
        <v>3729</v>
      </c>
      <c r="D605" t="s">
        <v>50</v>
      </c>
      <c r="E605" t="s">
        <v>20</v>
      </c>
      <c r="F605" t="str">
        <f>"43560-3557"</f>
        <v>43560-3557</v>
      </c>
      <c r="G605" t="str">
        <f>"402019"</f>
        <v>402019</v>
      </c>
      <c r="H605" s="2">
        <f>10</f>
        <v>10</v>
      </c>
      <c r="I605" t="s">
        <v>27</v>
      </c>
      <c r="J605" t="s">
        <v>42</v>
      </c>
      <c r="K605" t="str">
        <f>"114553"</f>
        <v>114553</v>
      </c>
    </row>
    <row r="606" spans="1:11" x14ac:dyDescent="0.25">
      <c r="A606">
        <v>2021</v>
      </c>
      <c r="B606" t="s">
        <v>3744</v>
      </c>
      <c r="C606" t="s">
        <v>3745</v>
      </c>
      <c r="D606" t="s">
        <v>19</v>
      </c>
      <c r="E606" t="s">
        <v>20</v>
      </c>
      <c r="F606" t="str">
        <f>"43604"</f>
        <v>43604</v>
      </c>
      <c r="G606" t="str">
        <f>"402017"</f>
        <v>402017</v>
      </c>
      <c r="H606" s="2">
        <f>20</f>
        <v>20</v>
      </c>
      <c r="I606" t="s">
        <v>27</v>
      </c>
      <c r="J606" t="s">
        <v>212</v>
      </c>
      <c r="K606" t="str">
        <f>"34231"</f>
        <v>34231</v>
      </c>
    </row>
    <row r="607" spans="1:11" x14ac:dyDescent="0.25">
      <c r="A607">
        <v>2021</v>
      </c>
      <c r="B607" t="s">
        <v>3746</v>
      </c>
      <c r="C607" t="s">
        <v>3747</v>
      </c>
      <c r="D607" t="s">
        <v>19</v>
      </c>
      <c r="E607" t="s">
        <v>20</v>
      </c>
      <c r="F607" t="str">
        <f>"43608"</f>
        <v>43608</v>
      </c>
      <c r="G607" t="str">
        <f>"Pio448069"</f>
        <v>Pio448069</v>
      </c>
      <c r="H607" s="2">
        <f>1</f>
        <v>1</v>
      </c>
      <c r="I607" t="s">
        <v>86</v>
      </c>
      <c r="J607" t="s">
        <v>87</v>
      </c>
      <c r="K607" t="str">
        <f>"0"</f>
        <v>0</v>
      </c>
    </row>
    <row r="608" spans="1:11" x14ac:dyDescent="0.25">
      <c r="A608">
        <v>2021</v>
      </c>
      <c r="B608" t="s">
        <v>3748</v>
      </c>
      <c r="C608" t="s">
        <v>3749</v>
      </c>
      <c r="D608" t="s">
        <v>3750</v>
      </c>
      <c r="E608" t="s">
        <v>3751</v>
      </c>
      <c r="F608" t="str">
        <f>"70814"</f>
        <v>70814</v>
      </c>
      <c r="G608" t="str">
        <f>"Je092221"</f>
        <v>Je092221</v>
      </c>
      <c r="H608" s="2">
        <f>129.43</f>
        <v>129.43</v>
      </c>
      <c r="I608" t="s">
        <v>15</v>
      </c>
      <c r="J608" t="s">
        <v>114</v>
      </c>
      <c r="K608" t="str">
        <f>"60009583"</f>
        <v>60009583</v>
      </c>
    </row>
    <row r="609" spans="1:11" x14ac:dyDescent="0.25">
      <c r="A609">
        <v>2021</v>
      </c>
      <c r="B609" t="s">
        <v>3759</v>
      </c>
      <c r="C609" t="s">
        <v>3760</v>
      </c>
      <c r="D609" t="s">
        <v>19</v>
      </c>
      <c r="E609" t="s">
        <v>20</v>
      </c>
      <c r="F609" t="str">
        <f>"43617-1391"</f>
        <v>43617-1391</v>
      </c>
      <c r="G609" t="str">
        <f>"402019"</f>
        <v>402019</v>
      </c>
      <c r="H609" s="2">
        <f>10</f>
        <v>10</v>
      </c>
      <c r="I609" t="s">
        <v>27</v>
      </c>
      <c r="J609" t="s">
        <v>42</v>
      </c>
      <c r="K609" t="str">
        <f>"115105"</f>
        <v>115105</v>
      </c>
    </row>
    <row r="610" spans="1:11" x14ac:dyDescent="0.25">
      <c r="A610">
        <v>2021</v>
      </c>
      <c r="B610" t="s">
        <v>3802</v>
      </c>
      <c r="C610" t="s">
        <v>3803</v>
      </c>
      <c r="D610" t="s">
        <v>19</v>
      </c>
      <c r="E610" t="s">
        <v>20</v>
      </c>
      <c r="F610" t="str">
        <f>"43612"</f>
        <v>43612</v>
      </c>
      <c r="G610" t="str">
        <f>"402019"</f>
        <v>402019</v>
      </c>
      <c r="H610" s="2">
        <f>10</f>
        <v>10</v>
      </c>
      <c r="I610" t="s">
        <v>27</v>
      </c>
      <c r="J610" t="s">
        <v>42</v>
      </c>
      <c r="K610" t="str">
        <f>"115885"</f>
        <v>115885</v>
      </c>
    </row>
    <row r="611" spans="1:11" x14ac:dyDescent="0.25">
      <c r="A611">
        <v>2021</v>
      </c>
      <c r="B611" t="s">
        <v>3804</v>
      </c>
      <c r="C611" t="s">
        <v>3805</v>
      </c>
      <c r="D611" t="s">
        <v>19</v>
      </c>
      <c r="E611" t="s">
        <v>20</v>
      </c>
      <c r="F611" t="str">
        <f>"43609"</f>
        <v>43609</v>
      </c>
      <c r="G611" t="str">
        <f>"402063"</f>
        <v>402063</v>
      </c>
      <c r="H611" s="2">
        <f>10.05</f>
        <v>10.050000000000001</v>
      </c>
      <c r="I611" t="s">
        <v>27</v>
      </c>
      <c r="J611" t="s">
        <v>71</v>
      </c>
      <c r="K611" t="str">
        <f>"22019162"</f>
        <v>22019162</v>
      </c>
    </row>
    <row r="612" spans="1:11" x14ac:dyDescent="0.25">
      <c r="A612">
        <v>2021</v>
      </c>
      <c r="B612" t="s">
        <v>3804</v>
      </c>
      <c r="C612" t="s">
        <v>3806</v>
      </c>
      <c r="D612" t="s">
        <v>2098</v>
      </c>
      <c r="E612" t="s">
        <v>14</v>
      </c>
      <c r="F612" t="str">
        <f>"48187"</f>
        <v>48187</v>
      </c>
      <c r="G612" t="str">
        <f>"402063"</f>
        <v>402063</v>
      </c>
      <c r="H612" s="2">
        <f>21.02</f>
        <v>21.02</v>
      </c>
      <c r="I612" t="s">
        <v>27</v>
      </c>
      <c r="J612" t="s">
        <v>71</v>
      </c>
      <c r="K612" t="str">
        <f>"22019965"</f>
        <v>22019965</v>
      </c>
    </row>
    <row r="613" spans="1:11" x14ac:dyDescent="0.25">
      <c r="A613">
        <v>2021</v>
      </c>
      <c r="B613" t="s">
        <v>3817</v>
      </c>
      <c r="C613" t="s">
        <v>3818</v>
      </c>
      <c r="D613" t="s">
        <v>3819</v>
      </c>
      <c r="E613" t="s">
        <v>1664</v>
      </c>
      <c r="F613" t="str">
        <f>"23454"</f>
        <v>23454</v>
      </c>
      <c r="G613" t="str">
        <f>"Bwucf4621"</f>
        <v>Bwucf4621</v>
      </c>
      <c r="H613" s="2">
        <f>27</f>
        <v>27</v>
      </c>
      <c r="I613" t="s">
        <v>15</v>
      </c>
      <c r="J613" t="s">
        <v>295</v>
      </c>
      <c r="K613" t="str">
        <f>"01438781"</f>
        <v>01438781</v>
      </c>
    </row>
    <row r="614" spans="1:11" x14ac:dyDescent="0.25">
      <c r="A614">
        <v>2021</v>
      </c>
      <c r="B614" t="s">
        <v>3845</v>
      </c>
      <c r="C614" t="s">
        <v>3846</v>
      </c>
      <c r="D614" t="s">
        <v>19</v>
      </c>
      <c r="E614" t="s">
        <v>20</v>
      </c>
      <c r="F614" t="str">
        <f>"43623-1063"</f>
        <v>43623-1063</v>
      </c>
      <c r="G614" t="str">
        <f t="shared" ref="G614:G622" si="16">"402019"</f>
        <v>402019</v>
      </c>
      <c r="H614" s="2">
        <f>10</f>
        <v>10</v>
      </c>
      <c r="I614" t="s">
        <v>27</v>
      </c>
      <c r="J614" t="s">
        <v>42</v>
      </c>
      <c r="K614" t="str">
        <f>"112990"</f>
        <v>112990</v>
      </c>
    </row>
    <row r="615" spans="1:11" x14ac:dyDescent="0.25">
      <c r="A615">
        <v>2021</v>
      </c>
      <c r="B615" t="s">
        <v>3847</v>
      </c>
      <c r="C615" t="s">
        <v>3848</v>
      </c>
      <c r="D615" t="s">
        <v>19</v>
      </c>
      <c r="E615" t="s">
        <v>20</v>
      </c>
      <c r="F615" t="str">
        <f>"43606-3343"</f>
        <v>43606-3343</v>
      </c>
      <c r="G615" t="str">
        <f t="shared" si="16"/>
        <v>402019</v>
      </c>
      <c r="H615" s="2">
        <f>30</f>
        <v>30</v>
      </c>
      <c r="I615" t="s">
        <v>27</v>
      </c>
      <c r="J615" t="s">
        <v>42</v>
      </c>
      <c r="K615" t="str">
        <f>"116057"</f>
        <v>116057</v>
      </c>
    </row>
    <row r="616" spans="1:11" x14ac:dyDescent="0.25">
      <c r="A616">
        <v>2021</v>
      </c>
      <c r="B616" t="s">
        <v>3860</v>
      </c>
      <c r="C616" t="s">
        <v>3861</v>
      </c>
      <c r="D616" t="s">
        <v>19</v>
      </c>
      <c r="E616" t="s">
        <v>20</v>
      </c>
      <c r="F616" t="str">
        <f>"43606"</f>
        <v>43606</v>
      </c>
      <c r="G616" t="str">
        <f t="shared" si="16"/>
        <v>402019</v>
      </c>
      <c r="H616" s="2">
        <f>10</f>
        <v>10</v>
      </c>
      <c r="I616" t="s">
        <v>27</v>
      </c>
      <c r="J616" t="s">
        <v>42</v>
      </c>
      <c r="K616" t="str">
        <f>"115474"</f>
        <v>115474</v>
      </c>
    </row>
    <row r="617" spans="1:11" x14ac:dyDescent="0.25">
      <c r="A617">
        <v>2021</v>
      </c>
      <c r="B617" t="s">
        <v>3870</v>
      </c>
      <c r="C617" t="s">
        <v>3871</v>
      </c>
      <c r="D617" t="s">
        <v>323</v>
      </c>
      <c r="E617" t="s">
        <v>20</v>
      </c>
      <c r="F617" t="str">
        <f>"43571-9627"</f>
        <v>43571-9627</v>
      </c>
      <c r="G617" t="str">
        <f t="shared" si="16"/>
        <v>402019</v>
      </c>
      <c r="H617" s="2">
        <f>10</f>
        <v>10</v>
      </c>
      <c r="I617" t="s">
        <v>27</v>
      </c>
      <c r="J617" t="s">
        <v>42</v>
      </c>
      <c r="K617" t="str">
        <f>"111234"</f>
        <v>111234</v>
      </c>
    </row>
    <row r="618" spans="1:11" x14ac:dyDescent="0.25">
      <c r="A618">
        <v>2021</v>
      </c>
      <c r="B618" t="s">
        <v>3874</v>
      </c>
      <c r="C618" t="s">
        <v>3875</v>
      </c>
      <c r="D618" t="s">
        <v>19</v>
      </c>
      <c r="E618" t="s">
        <v>20</v>
      </c>
      <c r="F618" t="str">
        <f>"43611-1875"</f>
        <v>43611-1875</v>
      </c>
      <c r="G618" t="str">
        <f t="shared" si="16"/>
        <v>402019</v>
      </c>
      <c r="H618" s="2">
        <f>20</f>
        <v>20</v>
      </c>
      <c r="I618" t="s">
        <v>27</v>
      </c>
      <c r="J618" t="s">
        <v>42</v>
      </c>
      <c r="K618" t="str">
        <f>"114362"</f>
        <v>114362</v>
      </c>
    </row>
    <row r="619" spans="1:11" x14ac:dyDescent="0.25">
      <c r="A619">
        <v>2021</v>
      </c>
      <c r="B619" t="s">
        <v>3886</v>
      </c>
      <c r="C619" t="s">
        <v>3887</v>
      </c>
      <c r="D619" t="s">
        <v>19</v>
      </c>
      <c r="E619" t="s">
        <v>20</v>
      </c>
      <c r="F619" t="str">
        <f>"43613-5128"</f>
        <v>43613-5128</v>
      </c>
      <c r="G619" t="str">
        <f t="shared" si="16"/>
        <v>402019</v>
      </c>
      <c r="H619" s="2">
        <f>20</f>
        <v>20</v>
      </c>
      <c r="I619" t="s">
        <v>27</v>
      </c>
      <c r="J619" t="s">
        <v>42</v>
      </c>
      <c r="K619" t="str">
        <f>"115968"</f>
        <v>115968</v>
      </c>
    </row>
    <row r="620" spans="1:11" x14ac:dyDescent="0.25">
      <c r="A620">
        <v>2021</v>
      </c>
      <c r="B620" t="s">
        <v>3888</v>
      </c>
      <c r="C620" t="s">
        <v>3889</v>
      </c>
      <c r="D620" t="s">
        <v>125</v>
      </c>
      <c r="E620" t="s">
        <v>20</v>
      </c>
      <c r="F620" t="str">
        <f>"43537-9239"</f>
        <v>43537-9239</v>
      </c>
      <c r="G620" t="str">
        <f t="shared" si="16"/>
        <v>402019</v>
      </c>
      <c r="H620" s="2">
        <f>10</f>
        <v>10</v>
      </c>
      <c r="I620" t="s">
        <v>27</v>
      </c>
      <c r="J620" t="s">
        <v>42</v>
      </c>
      <c r="K620" t="str">
        <f>"115606"</f>
        <v>115606</v>
      </c>
    </row>
    <row r="621" spans="1:11" x14ac:dyDescent="0.25">
      <c r="A621">
        <v>2021</v>
      </c>
      <c r="B621" t="s">
        <v>3890</v>
      </c>
      <c r="C621" t="s">
        <v>3891</v>
      </c>
      <c r="D621" t="s">
        <v>105</v>
      </c>
      <c r="E621" t="s">
        <v>20</v>
      </c>
      <c r="F621" t="str">
        <f>"43528-9454"</f>
        <v>43528-9454</v>
      </c>
      <c r="G621" t="str">
        <f t="shared" si="16"/>
        <v>402019</v>
      </c>
      <c r="H621" s="2">
        <f>20</f>
        <v>20</v>
      </c>
      <c r="I621" t="s">
        <v>27</v>
      </c>
      <c r="J621" t="s">
        <v>42</v>
      </c>
      <c r="K621" t="str">
        <f>"114910"</f>
        <v>114910</v>
      </c>
    </row>
    <row r="622" spans="1:11" x14ac:dyDescent="0.25">
      <c r="A622">
        <v>2021</v>
      </c>
      <c r="B622" t="s">
        <v>3896</v>
      </c>
      <c r="C622" t="s">
        <v>3897</v>
      </c>
      <c r="D622" t="s">
        <v>19</v>
      </c>
      <c r="E622" t="s">
        <v>20</v>
      </c>
      <c r="F622" t="str">
        <f>"43615"</f>
        <v>43615</v>
      </c>
      <c r="G622" t="str">
        <f t="shared" si="16"/>
        <v>402019</v>
      </c>
      <c r="H622" s="2">
        <f>60</f>
        <v>60</v>
      </c>
      <c r="I622" t="s">
        <v>27</v>
      </c>
      <c r="J622" t="s">
        <v>42</v>
      </c>
      <c r="K622" t="str">
        <f>"113774"</f>
        <v>113774</v>
      </c>
    </row>
    <row r="623" spans="1:11" x14ac:dyDescent="0.25">
      <c r="A623">
        <v>2021</v>
      </c>
      <c r="B623" t="s">
        <v>3900</v>
      </c>
      <c r="C623" t="s">
        <v>3848</v>
      </c>
      <c r="D623" t="s">
        <v>19</v>
      </c>
      <c r="E623" t="s">
        <v>20</v>
      </c>
      <c r="F623" t="str">
        <f>"43606"</f>
        <v>43606</v>
      </c>
      <c r="G623" t="str">
        <f>"Je110321"</f>
        <v>Je110321</v>
      </c>
      <c r="H623" s="2">
        <f>583.12</f>
        <v>583.12</v>
      </c>
      <c r="I623" t="s">
        <v>15</v>
      </c>
      <c r="J623" t="s">
        <v>596</v>
      </c>
      <c r="K623" t="str">
        <f>"60019566"</f>
        <v>60019566</v>
      </c>
    </row>
    <row r="624" spans="1:11" x14ac:dyDescent="0.25">
      <c r="A624">
        <v>2021</v>
      </c>
      <c r="B624" t="s">
        <v>3905</v>
      </c>
      <c r="C624" t="s">
        <v>3906</v>
      </c>
      <c r="D624" t="s">
        <v>19</v>
      </c>
      <c r="E624" t="s">
        <v>20</v>
      </c>
      <c r="F624" t="str">
        <f>"43606-3642"</f>
        <v>43606-3642</v>
      </c>
      <c r="G624" t="str">
        <f>"402019"</f>
        <v>402019</v>
      </c>
      <c r="H624" s="2">
        <f>10</f>
        <v>10</v>
      </c>
      <c r="I624" t="s">
        <v>27</v>
      </c>
      <c r="J624" t="s">
        <v>42</v>
      </c>
      <c r="K624" t="str">
        <f>"113360"</f>
        <v>113360</v>
      </c>
    </row>
    <row r="625" spans="1:11" x14ac:dyDescent="0.25">
      <c r="A625">
        <v>2021</v>
      </c>
      <c r="B625" t="s">
        <v>3913</v>
      </c>
      <c r="C625" t="s">
        <v>3914</v>
      </c>
      <c r="D625" t="s">
        <v>3915</v>
      </c>
      <c r="E625" t="s">
        <v>20</v>
      </c>
      <c r="F625" t="str">
        <f>"44870-8107"</f>
        <v>44870-8107</v>
      </c>
      <c r="G625" t="str">
        <f>"Swucf4621"</f>
        <v>Swucf4621</v>
      </c>
      <c r="H625" s="2">
        <f>18.45</f>
        <v>18.45</v>
      </c>
      <c r="I625" t="s">
        <v>15</v>
      </c>
      <c r="J625" t="s">
        <v>81</v>
      </c>
      <c r="K625" t="str">
        <f>"6290401"</f>
        <v>6290401</v>
      </c>
    </row>
    <row r="626" spans="1:11" x14ac:dyDescent="0.25">
      <c r="A626">
        <v>2021</v>
      </c>
      <c r="B626" t="s">
        <v>3913</v>
      </c>
      <c r="C626" t="s">
        <v>3914</v>
      </c>
      <c r="D626" t="s">
        <v>3915</v>
      </c>
      <c r="E626" t="s">
        <v>20</v>
      </c>
      <c r="F626" t="str">
        <f>"44870-8107"</f>
        <v>44870-8107</v>
      </c>
      <c r="G626" t="str">
        <f>"Swucf4621"</f>
        <v>Swucf4621</v>
      </c>
      <c r="H626" s="2">
        <f>18.45</f>
        <v>18.45</v>
      </c>
      <c r="I626" t="s">
        <v>15</v>
      </c>
      <c r="J626" t="s">
        <v>81</v>
      </c>
      <c r="K626" t="str">
        <f>"6291953"</f>
        <v>6291953</v>
      </c>
    </row>
    <row r="627" spans="1:11" x14ac:dyDescent="0.25">
      <c r="A627">
        <v>2021</v>
      </c>
      <c r="B627" t="s">
        <v>3913</v>
      </c>
      <c r="C627" t="s">
        <v>3914</v>
      </c>
      <c r="D627" t="s">
        <v>3915</v>
      </c>
      <c r="E627" t="s">
        <v>20</v>
      </c>
      <c r="F627" t="str">
        <f>"44870-8107"</f>
        <v>44870-8107</v>
      </c>
      <c r="G627" t="str">
        <f>"Swucf4621"</f>
        <v>Swucf4621</v>
      </c>
      <c r="H627" s="2">
        <f>18.49</f>
        <v>18.489999999999998</v>
      </c>
      <c r="I627" t="s">
        <v>15</v>
      </c>
      <c r="J627" t="s">
        <v>81</v>
      </c>
      <c r="K627" t="str">
        <f>"6293539"</f>
        <v>6293539</v>
      </c>
    </row>
    <row r="628" spans="1:11" x14ac:dyDescent="0.25">
      <c r="A628">
        <v>2021</v>
      </c>
      <c r="B628" t="s">
        <v>3913</v>
      </c>
      <c r="C628" t="s">
        <v>3914</v>
      </c>
      <c r="D628" t="s">
        <v>3915</v>
      </c>
      <c r="E628" t="s">
        <v>20</v>
      </c>
      <c r="F628" t="str">
        <f>"44870-8107"</f>
        <v>44870-8107</v>
      </c>
      <c r="G628" t="str">
        <f>"Swucf4621"</f>
        <v>Swucf4621</v>
      </c>
      <c r="H628" s="2">
        <f>18.49</f>
        <v>18.489999999999998</v>
      </c>
      <c r="I628" t="s">
        <v>15</v>
      </c>
      <c r="J628" t="s">
        <v>81</v>
      </c>
      <c r="K628" t="str">
        <f>"6295771"</f>
        <v>6295771</v>
      </c>
    </row>
    <row r="629" spans="1:11" x14ac:dyDescent="0.25">
      <c r="A629">
        <v>2021</v>
      </c>
      <c r="B629" t="s">
        <v>3916</v>
      </c>
      <c r="C629" t="s">
        <v>3917</v>
      </c>
      <c r="D629" t="s">
        <v>19</v>
      </c>
      <c r="E629" t="s">
        <v>20</v>
      </c>
      <c r="F629" t="str">
        <f>"43605-2761"</f>
        <v>43605-2761</v>
      </c>
      <c r="G629" t="str">
        <f>"Swucf4621"</f>
        <v>Swucf4621</v>
      </c>
      <c r="H629" s="2">
        <f>18.49</f>
        <v>18.489999999999998</v>
      </c>
      <c r="I629" t="s">
        <v>15</v>
      </c>
      <c r="J629" t="s">
        <v>81</v>
      </c>
      <c r="K629" t="str">
        <f>"6298334"</f>
        <v>6298334</v>
      </c>
    </row>
    <row r="630" spans="1:11" x14ac:dyDescent="0.25">
      <c r="A630">
        <v>2021</v>
      </c>
      <c r="B630" t="s">
        <v>3918</v>
      </c>
      <c r="C630" t="s">
        <v>3914</v>
      </c>
      <c r="D630" t="s">
        <v>3915</v>
      </c>
      <c r="E630" t="s">
        <v>20</v>
      </c>
      <c r="F630" t="str">
        <f>"44870"</f>
        <v>44870</v>
      </c>
      <c r="G630" t="str">
        <f>"Je110321"</f>
        <v>Je110321</v>
      </c>
      <c r="H630" s="2">
        <f>15.39</f>
        <v>15.39</v>
      </c>
      <c r="I630" t="s">
        <v>15</v>
      </c>
      <c r="J630" t="s">
        <v>596</v>
      </c>
      <c r="K630" t="str">
        <f>"60023552"</f>
        <v>60023552</v>
      </c>
    </row>
    <row r="631" spans="1:11" x14ac:dyDescent="0.25">
      <c r="A631">
        <v>2021</v>
      </c>
      <c r="B631" t="s">
        <v>3918</v>
      </c>
      <c r="C631" t="s">
        <v>3914</v>
      </c>
      <c r="D631" t="s">
        <v>3915</v>
      </c>
      <c r="E631" t="s">
        <v>20</v>
      </c>
      <c r="F631" t="str">
        <f>"44870"</f>
        <v>44870</v>
      </c>
      <c r="G631" t="str">
        <f>"Je061721"</f>
        <v>Je061721</v>
      </c>
      <c r="H631" s="2">
        <f>18.49</f>
        <v>18.489999999999998</v>
      </c>
      <c r="I631" t="s">
        <v>15</v>
      </c>
      <c r="J631" t="s">
        <v>137</v>
      </c>
      <c r="K631" t="str">
        <f>"60000452"</f>
        <v>60000452</v>
      </c>
    </row>
    <row r="632" spans="1:11" x14ac:dyDescent="0.25">
      <c r="A632">
        <v>2021</v>
      </c>
      <c r="B632" t="s">
        <v>3918</v>
      </c>
      <c r="C632" t="s">
        <v>3914</v>
      </c>
      <c r="D632" t="s">
        <v>3915</v>
      </c>
      <c r="E632" t="s">
        <v>20</v>
      </c>
      <c r="F632" t="str">
        <f>"44870"</f>
        <v>44870</v>
      </c>
      <c r="G632" t="str">
        <f>"Je061721"</f>
        <v>Je061721</v>
      </c>
      <c r="H632" s="2">
        <f>18.49</f>
        <v>18.489999999999998</v>
      </c>
      <c r="I632" t="s">
        <v>15</v>
      </c>
      <c r="J632" t="s">
        <v>137</v>
      </c>
      <c r="K632" t="str">
        <f>"60006572"</f>
        <v>60006572</v>
      </c>
    </row>
    <row r="633" spans="1:11" x14ac:dyDescent="0.25">
      <c r="A633">
        <v>2021</v>
      </c>
      <c r="B633" t="s">
        <v>3918</v>
      </c>
      <c r="C633" t="s">
        <v>3914</v>
      </c>
      <c r="D633" t="s">
        <v>3915</v>
      </c>
      <c r="E633" t="s">
        <v>20</v>
      </c>
      <c r="F633" t="str">
        <f>"44870"</f>
        <v>44870</v>
      </c>
      <c r="G633" t="str">
        <f>"Je061721"</f>
        <v>Je061721</v>
      </c>
      <c r="H633" s="2">
        <f>18.49</f>
        <v>18.489999999999998</v>
      </c>
      <c r="I633" t="s">
        <v>15</v>
      </c>
      <c r="J633" t="s">
        <v>137</v>
      </c>
      <c r="K633" t="str">
        <f>"60003445"</f>
        <v>60003445</v>
      </c>
    </row>
    <row r="634" spans="1:11" x14ac:dyDescent="0.25">
      <c r="A634">
        <v>2021</v>
      </c>
      <c r="B634" t="s">
        <v>3929</v>
      </c>
      <c r="C634" t="s">
        <v>3930</v>
      </c>
      <c r="D634" t="s">
        <v>19</v>
      </c>
      <c r="E634" t="s">
        <v>20</v>
      </c>
      <c r="F634" t="str">
        <f>"43620"</f>
        <v>43620</v>
      </c>
      <c r="G634" t="str">
        <f>"402063"</f>
        <v>402063</v>
      </c>
      <c r="H634" s="2">
        <f>10.73</f>
        <v>10.73</v>
      </c>
      <c r="I634" t="s">
        <v>27</v>
      </c>
      <c r="J634" t="s">
        <v>71</v>
      </c>
      <c r="K634" t="str">
        <f>"11003587"</f>
        <v>11003587</v>
      </c>
    </row>
    <row r="635" spans="1:11" x14ac:dyDescent="0.25">
      <c r="A635">
        <v>2021</v>
      </c>
      <c r="B635" t="s">
        <v>3947</v>
      </c>
      <c r="C635" t="s">
        <v>3948</v>
      </c>
      <c r="D635" t="s">
        <v>19</v>
      </c>
      <c r="E635" t="s">
        <v>20</v>
      </c>
      <c r="F635" t="str">
        <f>"43623-1504"</f>
        <v>43623-1504</v>
      </c>
      <c r="G635" t="str">
        <f>"402019"</f>
        <v>402019</v>
      </c>
      <c r="H635" s="2">
        <f>50</f>
        <v>50</v>
      </c>
      <c r="I635" t="s">
        <v>27</v>
      </c>
      <c r="J635" t="s">
        <v>42</v>
      </c>
      <c r="K635" t="str">
        <f>"111997"</f>
        <v>111997</v>
      </c>
    </row>
    <row r="636" spans="1:11" x14ac:dyDescent="0.25">
      <c r="A636">
        <v>2021</v>
      </c>
      <c r="B636" t="s">
        <v>3957</v>
      </c>
      <c r="C636" t="s">
        <v>3958</v>
      </c>
      <c r="D636" t="s">
        <v>19</v>
      </c>
      <c r="E636" t="s">
        <v>20</v>
      </c>
      <c r="F636" t="str">
        <f>"43697"</f>
        <v>43697</v>
      </c>
      <c r="G636" t="str">
        <f>"402295"</f>
        <v>402295</v>
      </c>
      <c r="H636" s="2">
        <f>3922.22</f>
        <v>3922.22</v>
      </c>
      <c r="I636" t="s">
        <v>148</v>
      </c>
      <c r="J636" t="s">
        <v>3959</v>
      </c>
      <c r="K636" t="str">
        <f>""</f>
        <v/>
      </c>
    </row>
    <row r="637" spans="1:11" x14ac:dyDescent="0.25">
      <c r="A637">
        <v>2021</v>
      </c>
      <c r="B637" t="s">
        <v>3977</v>
      </c>
      <c r="C637" t="s">
        <v>3978</v>
      </c>
      <c r="D637" t="s">
        <v>19</v>
      </c>
      <c r="E637" t="s">
        <v>20</v>
      </c>
      <c r="F637" t="str">
        <f>"43612"</f>
        <v>43612</v>
      </c>
      <c r="G637" t="str">
        <f>"Pio448069"</f>
        <v>Pio448069</v>
      </c>
      <c r="H637" s="2">
        <f>5.12</f>
        <v>5.12</v>
      </c>
      <c r="I637" t="s">
        <v>86</v>
      </c>
      <c r="J637" t="s">
        <v>87</v>
      </c>
      <c r="K637" t="str">
        <f>"0"</f>
        <v>0</v>
      </c>
    </row>
    <row r="638" spans="1:11" x14ac:dyDescent="0.25">
      <c r="A638">
        <v>2021</v>
      </c>
      <c r="B638" t="s">
        <v>3979</v>
      </c>
      <c r="C638" t="s">
        <v>3980</v>
      </c>
      <c r="D638" t="s">
        <v>19</v>
      </c>
      <c r="E638" t="s">
        <v>20</v>
      </c>
      <c r="F638" t="str">
        <f>"43613-1532"</f>
        <v>43613-1532</v>
      </c>
      <c r="G638" t="str">
        <f>"402019"</f>
        <v>402019</v>
      </c>
      <c r="H638" s="2">
        <f>20</f>
        <v>20</v>
      </c>
      <c r="I638" t="s">
        <v>27</v>
      </c>
      <c r="J638" t="s">
        <v>42</v>
      </c>
      <c r="K638" t="str">
        <f>"113683"</f>
        <v>113683</v>
      </c>
    </row>
    <row r="639" spans="1:11" x14ac:dyDescent="0.25">
      <c r="A639">
        <v>2021</v>
      </c>
      <c r="B639" t="s">
        <v>3998</v>
      </c>
      <c r="C639" t="s">
        <v>3999</v>
      </c>
      <c r="D639" t="s">
        <v>19</v>
      </c>
      <c r="E639" t="s">
        <v>20</v>
      </c>
      <c r="F639" t="str">
        <f>"43613"</f>
        <v>43613</v>
      </c>
      <c r="G639" t="str">
        <f>"Pio448069"</f>
        <v>Pio448069</v>
      </c>
      <c r="H639" s="2">
        <f>0.09</f>
        <v>0.09</v>
      </c>
      <c r="I639" t="s">
        <v>86</v>
      </c>
      <c r="J639" t="s">
        <v>87</v>
      </c>
      <c r="K639" t="str">
        <f>"0"</f>
        <v>0</v>
      </c>
    </row>
    <row r="640" spans="1:11" x14ac:dyDescent="0.25">
      <c r="A640">
        <v>2021</v>
      </c>
      <c r="B640" t="s">
        <v>4000</v>
      </c>
      <c r="C640" t="s">
        <v>4001</v>
      </c>
      <c r="D640" t="s">
        <v>19</v>
      </c>
      <c r="E640" t="s">
        <v>20</v>
      </c>
      <c r="F640" t="str">
        <f>"43605"</f>
        <v>43605</v>
      </c>
      <c r="G640" t="str">
        <f>"Pio448069"</f>
        <v>Pio448069</v>
      </c>
      <c r="H640" s="2">
        <f>20</f>
        <v>20</v>
      </c>
      <c r="I640" t="s">
        <v>86</v>
      </c>
      <c r="J640" t="s">
        <v>87</v>
      </c>
      <c r="K640" t="str">
        <f>"0"</f>
        <v>0</v>
      </c>
    </row>
    <row r="641" spans="1:11" x14ac:dyDescent="0.25">
      <c r="A641">
        <v>2021</v>
      </c>
      <c r="B641" t="s">
        <v>4007</v>
      </c>
      <c r="C641" t="s">
        <v>4008</v>
      </c>
      <c r="D641" t="s">
        <v>105</v>
      </c>
      <c r="E641" t="s">
        <v>20</v>
      </c>
      <c r="F641" t="str">
        <f>"43528"</f>
        <v>43528</v>
      </c>
      <c r="G641" t="str">
        <f>"402018"</f>
        <v>402018</v>
      </c>
      <c r="H641" s="2">
        <f>9.08</f>
        <v>9.08</v>
      </c>
      <c r="I641" t="s">
        <v>27</v>
      </c>
      <c r="J641" t="s">
        <v>171</v>
      </c>
      <c r="K641" t="str">
        <f>"517628"</f>
        <v>517628</v>
      </c>
    </row>
    <row r="642" spans="1:11" x14ac:dyDescent="0.25">
      <c r="A642">
        <v>2021</v>
      </c>
      <c r="B642" t="s">
        <v>4015</v>
      </c>
      <c r="C642" t="s">
        <v>4016</v>
      </c>
      <c r="D642" t="s">
        <v>19</v>
      </c>
      <c r="E642" t="s">
        <v>20</v>
      </c>
      <c r="F642" t="str">
        <f>"43612"</f>
        <v>43612</v>
      </c>
      <c r="G642" t="str">
        <f>"402018"</f>
        <v>402018</v>
      </c>
      <c r="H642" s="2">
        <f>50</f>
        <v>50</v>
      </c>
      <c r="I642" t="s">
        <v>27</v>
      </c>
      <c r="J642" t="s">
        <v>171</v>
      </c>
      <c r="K642" t="str">
        <f>"516660"</f>
        <v>516660</v>
      </c>
    </row>
    <row r="643" spans="1:11" x14ac:dyDescent="0.25">
      <c r="A643">
        <v>2021</v>
      </c>
      <c r="B643" t="s">
        <v>4019</v>
      </c>
      <c r="C643" t="s">
        <v>4020</v>
      </c>
      <c r="D643" t="s">
        <v>19</v>
      </c>
      <c r="E643" t="s">
        <v>20</v>
      </c>
      <c r="F643" t="str">
        <f>"43615"</f>
        <v>43615</v>
      </c>
      <c r="G643" t="str">
        <f>"402018"</f>
        <v>402018</v>
      </c>
      <c r="H643" s="2">
        <f>4.33</f>
        <v>4.33</v>
      </c>
      <c r="I643" t="s">
        <v>27</v>
      </c>
      <c r="J643" t="s">
        <v>171</v>
      </c>
      <c r="K643" t="str">
        <f>"517342"</f>
        <v>517342</v>
      </c>
    </row>
    <row r="644" spans="1:11" x14ac:dyDescent="0.25">
      <c r="A644">
        <v>2021</v>
      </c>
      <c r="B644" t="s">
        <v>4027</v>
      </c>
      <c r="C644" t="s">
        <v>4028</v>
      </c>
      <c r="D644" t="s">
        <v>19</v>
      </c>
      <c r="E644" t="s">
        <v>20</v>
      </c>
      <c r="F644" t="str">
        <f>"43615"</f>
        <v>43615</v>
      </c>
      <c r="G644" t="str">
        <f>"Pio448069"</f>
        <v>Pio448069</v>
      </c>
      <c r="H644" s="2">
        <f>11.1</f>
        <v>11.1</v>
      </c>
      <c r="I644" t="s">
        <v>86</v>
      </c>
      <c r="J644" t="s">
        <v>87</v>
      </c>
      <c r="K644" t="str">
        <f>"0"</f>
        <v>0</v>
      </c>
    </row>
    <row r="645" spans="1:11" x14ac:dyDescent="0.25">
      <c r="A645">
        <v>2021</v>
      </c>
      <c r="B645" t="s">
        <v>4029</v>
      </c>
      <c r="C645" t="s">
        <v>4030</v>
      </c>
      <c r="D645" t="s">
        <v>19</v>
      </c>
      <c r="E645" t="s">
        <v>20</v>
      </c>
      <c r="F645" t="str">
        <f>"43604"</f>
        <v>43604</v>
      </c>
      <c r="G645" t="str">
        <f>"Pio448069"</f>
        <v>Pio448069</v>
      </c>
      <c r="H645" s="2">
        <f>25</f>
        <v>25</v>
      </c>
      <c r="I645" t="s">
        <v>86</v>
      </c>
      <c r="J645" t="s">
        <v>87</v>
      </c>
      <c r="K645" t="str">
        <f>"0"</f>
        <v>0</v>
      </c>
    </row>
    <row r="646" spans="1:11" x14ac:dyDescent="0.25">
      <c r="A646">
        <v>2021</v>
      </c>
      <c r="B646" t="s">
        <v>4031</v>
      </c>
      <c r="C646" t="s">
        <v>4032</v>
      </c>
      <c r="D646" t="s">
        <v>19</v>
      </c>
      <c r="E646" t="s">
        <v>20</v>
      </c>
      <c r="F646" t="str">
        <f>"43613"</f>
        <v>43613</v>
      </c>
      <c r="G646" t="str">
        <f>"Pio448069"</f>
        <v>Pio448069</v>
      </c>
      <c r="H646" s="2">
        <f>1.2</f>
        <v>1.2</v>
      </c>
      <c r="I646" t="s">
        <v>86</v>
      </c>
      <c r="J646" t="s">
        <v>87</v>
      </c>
      <c r="K646" t="str">
        <f>"0"</f>
        <v>0</v>
      </c>
    </row>
    <row r="647" spans="1:11" x14ac:dyDescent="0.25">
      <c r="A647">
        <v>2021</v>
      </c>
      <c r="B647" t="s">
        <v>4033</v>
      </c>
      <c r="C647" t="s">
        <v>4034</v>
      </c>
      <c r="D647" t="s">
        <v>19</v>
      </c>
      <c r="E647" t="s">
        <v>20</v>
      </c>
      <c r="F647" t="str">
        <f>"43604"</f>
        <v>43604</v>
      </c>
      <c r="G647" t="str">
        <f>"Pio448069"</f>
        <v>Pio448069</v>
      </c>
      <c r="H647" s="2">
        <f>2.8</f>
        <v>2.8</v>
      </c>
      <c r="I647" t="s">
        <v>86</v>
      </c>
      <c r="J647" t="s">
        <v>87</v>
      </c>
      <c r="K647" t="str">
        <f>"0"</f>
        <v>0</v>
      </c>
    </row>
    <row r="648" spans="1:11" x14ac:dyDescent="0.25">
      <c r="A648">
        <v>2021</v>
      </c>
      <c r="B648" t="s">
        <v>4037</v>
      </c>
      <c r="C648" t="s">
        <v>4038</v>
      </c>
      <c r="D648" t="s">
        <v>19</v>
      </c>
      <c r="E648" t="s">
        <v>20</v>
      </c>
      <c r="F648" t="str">
        <f>"43607"</f>
        <v>43607</v>
      </c>
      <c r="G648" t="str">
        <f>"Pio448069"</f>
        <v>Pio448069</v>
      </c>
      <c r="H648" s="2">
        <f>1.43</f>
        <v>1.43</v>
      </c>
      <c r="I648" t="s">
        <v>86</v>
      </c>
      <c r="J648" t="s">
        <v>87</v>
      </c>
      <c r="K648" t="str">
        <f>"0"</f>
        <v>0</v>
      </c>
    </row>
    <row r="649" spans="1:11" x14ac:dyDescent="0.25">
      <c r="A649">
        <v>2021</v>
      </c>
      <c r="B649" t="s">
        <v>4039</v>
      </c>
      <c r="C649" t="s">
        <v>4040</v>
      </c>
      <c r="D649" t="s">
        <v>50</v>
      </c>
      <c r="E649" t="s">
        <v>20</v>
      </c>
      <c r="F649" t="str">
        <f>"43560"</f>
        <v>43560</v>
      </c>
      <c r="G649" t="str">
        <f>"Swucf4621"</f>
        <v>Swucf4621</v>
      </c>
      <c r="H649" s="2">
        <f>27.5</f>
        <v>27.5</v>
      </c>
      <c r="I649" t="s">
        <v>15</v>
      </c>
      <c r="J649" t="s">
        <v>81</v>
      </c>
      <c r="K649" t="str">
        <f>"6289512"</f>
        <v>6289512</v>
      </c>
    </row>
    <row r="650" spans="1:11" x14ac:dyDescent="0.25">
      <c r="A650">
        <v>2021</v>
      </c>
      <c r="B650" t="s">
        <v>4039</v>
      </c>
      <c r="C650" t="s">
        <v>4040</v>
      </c>
      <c r="D650" t="s">
        <v>50</v>
      </c>
      <c r="E650" t="s">
        <v>20</v>
      </c>
      <c r="F650" t="str">
        <f>"43560"</f>
        <v>43560</v>
      </c>
      <c r="G650" t="str">
        <f>"Swucf4621"</f>
        <v>Swucf4621</v>
      </c>
      <c r="H650" s="2">
        <f>20.66</f>
        <v>20.66</v>
      </c>
      <c r="I650" t="s">
        <v>15</v>
      </c>
      <c r="J650" t="s">
        <v>81</v>
      </c>
      <c r="K650" t="str">
        <f>"6289513"</f>
        <v>6289513</v>
      </c>
    </row>
    <row r="651" spans="1:11" x14ac:dyDescent="0.25">
      <c r="A651">
        <v>2021</v>
      </c>
      <c r="B651" t="s">
        <v>4039</v>
      </c>
      <c r="C651" t="s">
        <v>4041</v>
      </c>
      <c r="D651" t="s">
        <v>50</v>
      </c>
      <c r="E651" t="s">
        <v>20</v>
      </c>
      <c r="F651" t="str">
        <f>"43560"</f>
        <v>43560</v>
      </c>
      <c r="G651" t="str">
        <f>"Swucf4621"</f>
        <v>Swucf4621</v>
      </c>
      <c r="H651" s="2">
        <f>6.84</f>
        <v>6.84</v>
      </c>
      <c r="I651" t="s">
        <v>15</v>
      </c>
      <c r="J651" t="s">
        <v>81</v>
      </c>
      <c r="K651" t="str">
        <f>"6289514"</f>
        <v>6289514</v>
      </c>
    </row>
    <row r="652" spans="1:11" x14ac:dyDescent="0.25">
      <c r="A652">
        <v>2021</v>
      </c>
      <c r="B652" t="s">
        <v>4050</v>
      </c>
      <c r="C652" t="s">
        <v>3123</v>
      </c>
      <c r="D652" t="s">
        <v>1005</v>
      </c>
      <c r="E652" t="s">
        <v>20</v>
      </c>
      <c r="F652" t="str">
        <f>"44139"</f>
        <v>44139</v>
      </c>
      <c r="G652" t="str">
        <f>"402017"</f>
        <v>402017</v>
      </c>
      <c r="H652" s="2">
        <f>550</f>
        <v>550</v>
      </c>
      <c r="I652" t="s">
        <v>27</v>
      </c>
      <c r="J652" t="s">
        <v>212</v>
      </c>
      <c r="K652" t="str">
        <f>"34358"</f>
        <v>34358</v>
      </c>
    </row>
    <row r="653" spans="1:11" x14ac:dyDescent="0.25">
      <c r="A653">
        <v>2021</v>
      </c>
      <c r="B653" t="s">
        <v>4053</v>
      </c>
      <c r="C653" t="s">
        <v>4054</v>
      </c>
      <c r="D653" t="s">
        <v>19</v>
      </c>
      <c r="E653" t="s">
        <v>20</v>
      </c>
      <c r="F653" t="str">
        <f>"43606"</f>
        <v>43606</v>
      </c>
      <c r="G653" t="str">
        <f>"Pio448069"</f>
        <v>Pio448069</v>
      </c>
      <c r="H653" s="2">
        <f>1</f>
        <v>1</v>
      </c>
      <c r="I653" t="s">
        <v>86</v>
      </c>
      <c r="J653" t="s">
        <v>87</v>
      </c>
      <c r="K653" t="str">
        <f>"0"</f>
        <v>0</v>
      </c>
    </row>
    <row r="654" spans="1:11" x14ac:dyDescent="0.25">
      <c r="A654">
        <v>2021</v>
      </c>
      <c r="B654" t="s">
        <v>4055</v>
      </c>
      <c r="C654" t="s">
        <v>4056</v>
      </c>
      <c r="D654" t="s">
        <v>1754</v>
      </c>
      <c r="E654" t="s">
        <v>20</v>
      </c>
      <c r="F654" t="str">
        <f>"45040"</f>
        <v>45040</v>
      </c>
      <c r="G654" t="str">
        <f>"402018"</f>
        <v>402018</v>
      </c>
      <c r="H654" s="2">
        <f>10.15</f>
        <v>10.15</v>
      </c>
      <c r="I654" t="s">
        <v>27</v>
      </c>
      <c r="J654" t="s">
        <v>171</v>
      </c>
      <c r="K654" t="str">
        <f>"517380"</f>
        <v>517380</v>
      </c>
    </row>
    <row r="655" spans="1:11" x14ac:dyDescent="0.25">
      <c r="A655">
        <v>2021</v>
      </c>
      <c r="B655" t="s">
        <v>4055</v>
      </c>
      <c r="C655" t="s">
        <v>4056</v>
      </c>
      <c r="D655" t="s">
        <v>1754</v>
      </c>
      <c r="E655" t="s">
        <v>20</v>
      </c>
      <c r="F655" t="str">
        <f>"45040"</f>
        <v>45040</v>
      </c>
      <c r="G655" t="str">
        <f>"402018"</f>
        <v>402018</v>
      </c>
      <c r="H655" s="2">
        <f>10.15</f>
        <v>10.15</v>
      </c>
      <c r="I655" t="s">
        <v>27</v>
      </c>
      <c r="J655" t="s">
        <v>171</v>
      </c>
      <c r="K655" t="str">
        <f>"517091"</f>
        <v>517091</v>
      </c>
    </row>
    <row r="656" spans="1:11" x14ac:dyDescent="0.25">
      <c r="A656">
        <v>2021</v>
      </c>
      <c r="B656" t="s">
        <v>4055</v>
      </c>
      <c r="C656" t="s">
        <v>4057</v>
      </c>
      <c r="D656" t="s">
        <v>1754</v>
      </c>
      <c r="E656" t="s">
        <v>20</v>
      </c>
      <c r="F656" t="str">
        <f>"45040"</f>
        <v>45040</v>
      </c>
      <c r="G656" t="str">
        <f>"402018"</f>
        <v>402018</v>
      </c>
      <c r="H656" s="2">
        <f>10</f>
        <v>10</v>
      </c>
      <c r="I656" t="s">
        <v>27</v>
      </c>
      <c r="J656" t="s">
        <v>171</v>
      </c>
      <c r="K656" t="str">
        <f>"515570"</f>
        <v>515570</v>
      </c>
    </row>
    <row r="657" spans="1:11" x14ac:dyDescent="0.25">
      <c r="A657">
        <v>2021</v>
      </c>
      <c r="B657" t="s">
        <v>4055</v>
      </c>
      <c r="C657" t="s">
        <v>4057</v>
      </c>
      <c r="D657" t="s">
        <v>1754</v>
      </c>
      <c r="E657" t="s">
        <v>20</v>
      </c>
      <c r="F657" t="str">
        <f>"45040"</f>
        <v>45040</v>
      </c>
      <c r="G657" t="str">
        <f>"402018"</f>
        <v>402018</v>
      </c>
      <c r="H657" s="2">
        <f>10.1</f>
        <v>10.1</v>
      </c>
      <c r="I657" t="s">
        <v>27</v>
      </c>
      <c r="J657" t="s">
        <v>171</v>
      </c>
      <c r="K657" t="str">
        <f>"517093"</f>
        <v>517093</v>
      </c>
    </row>
    <row r="658" spans="1:11" x14ac:dyDescent="0.25">
      <c r="A658">
        <v>2021</v>
      </c>
      <c r="B658" t="s">
        <v>4055</v>
      </c>
      <c r="C658" t="s">
        <v>4056</v>
      </c>
      <c r="D658" t="s">
        <v>1754</v>
      </c>
      <c r="E658" t="s">
        <v>20</v>
      </c>
      <c r="F658" t="str">
        <f>"45040"</f>
        <v>45040</v>
      </c>
      <c r="G658" t="str">
        <f>"402018"</f>
        <v>402018</v>
      </c>
      <c r="H658" s="2">
        <f>10.5</f>
        <v>10.5</v>
      </c>
      <c r="I658" t="s">
        <v>27</v>
      </c>
      <c r="J658" t="s">
        <v>171</v>
      </c>
      <c r="K658" t="str">
        <f>"515569"</f>
        <v>515569</v>
      </c>
    </row>
    <row r="659" spans="1:11" x14ac:dyDescent="0.25">
      <c r="A659">
        <v>2021</v>
      </c>
      <c r="B659" t="s">
        <v>4062</v>
      </c>
      <c r="C659" t="s">
        <v>4063</v>
      </c>
      <c r="D659" t="s">
        <v>19</v>
      </c>
      <c r="E659" t="s">
        <v>20</v>
      </c>
      <c r="F659" t="str">
        <f>"43608-2557"</f>
        <v>43608-2557</v>
      </c>
      <c r="G659" t="str">
        <f>"402019"</f>
        <v>402019</v>
      </c>
      <c r="H659" s="2">
        <f>10</f>
        <v>10</v>
      </c>
      <c r="I659" t="s">
        <v>27</v>
      </c>
      <c r="J659" t="s">
        <v>42</v>
      </c>
      <c r="K659" t="str">
        <f>"112183"</f>
        <v>112183</v>
      </c>
    </row>
    <row r="660" spans="1:11" x14ac:dyDescent="0.25">
      <c r="A660">
        <v>2021</v>
      </c>
      <c r="B660" t="s">
        <v>4068</v>
      </c>
      <c r="C660" t="s">
        <v>4069</v>
      </c>
      <c r="D660" t="s">
        <v>19</v>
      </c>
      <c r="E660" t="s">
        <v>20</v>
      </c>
      <c r="F660" t="str">
        <f>"43615"</f>
        <v>43615</v>
      </c>
      <c r="G660" t="str">
        <f>"Pio448069"</f>
        <v>Pio448069</v>
      </c>
      <c r="H660" s="2">
        <f>0.29</f>
        <v>0.28999999999999998</v>
      </c>
      <c r="I660" t="s">
        <v>86</v>
      </c>
      <c r="J660" t="s">
        <v>87</v>
      </c>
      <c r="K660" t="str">
        <f>"0"</f>
        <v>0</v>
      </c>
    </row>
    <row r="661" spans="1:11" x14ac:dyDescent="0.25">
      <c r="A661">
        <v>2021</v>
      </c>
      <c r="B661" t="s">
        <v>4072</v>
      </c>
      <c r="C661" t="s">
        <v>4073</v>
      </c>
      <c r="D661" t="s">
        <v>19</v>
      </c>
      <c r="E661" t="s">
        <v>20</v>
      </c>
      <c r="F661" t="str">
        <f>"43611"</f>
        <v>43611</v>
      </c>
      <c r="G661" t="str">
        <f>"402018"</f>
        <v>402018</v>
      </c>
      <c r="H661" s="2">
        <f>10</f>
        <v>10</v>
      </c>
      <c r="I661" t="s">
        <v>27</v>
      </c>
      <c r="J661" t="s">
        <v>171</v>
      </c>
      <c r="K661" t="str">
        <f>"518012"</f>
        <v>518012</v>
      </c>
    </row>
    <row r="662" spans="1:11" x14ac:dyDescent="0.25">
      <c r="A662">
        <v>2021</v>
      </c>
      <c r="B662" t="s">
        <v>4072</v>
      </c>
      <c r="C662" t="s">
        <v>4073</v>
      </c>
      <c r="D662" t="s">
        <v>19</v>
      </c>
      <c r="E662" t="s">
        <v>20</v>
      </c>
      <c r="F662" t="str">
        <f>"43611"</f>
        <v>43611</v>
      </c>
      <c r="G662" t="str">
        <f>"402018"</f>
        <v>402018</v>
      </c>
      <c r="H662" s="2">
        <f>20</f>
        <v>20</v>
      </c>
      <c r="I662" t="s">
        <v>27</v>
      </c>
      <c r="J662" t="s">
        <v>171</v>
      </c>
      <c r="K662" t="str">
        <f>"515385"</f>
        <v>515385</v>
      </c>
    </row>
    <row r="663" spans="1:11" x14ac:dyDescent="0.25">
      <c r="A663">
        <v>2021</v>
      </c>
      <c r="B663" t="s">
        <v>4072</v>
      </c>
      <c r="C663" t="s">
        <v>4073</v>
      </c>
      <c r="D663" t="s">
        <v>19</v>
      </c>
      <c r="E663" t="s">
        <v>20</v>
      </c>
      <c r="F663" t="str">
        <f>"43611"</f>
        <v>43611</v>
      </c>
      <c r="G663" t="str">
        <f>"402018"</f>
        <v>402018</v>
      </c>
      <c r="H663" s="2">
        <f>10</f>
        <v>10</v>
      </c>
      <c r="I663" t="s">
        <v>27</v>
      </c>
      <c r="J663" t="s">
        <v>171</v>
      </c>
      <c r="K663" t="str">
        <f>"515832"</f>
        <v>515832</v>
      </c>
    </row>
    <row r="664" spans="1:11" x14ac:dyDescent="0.25">
      <c r="A664">
        <v>2021</v>
      </c>
      <c r="B664" t="s">
        <v>4072</v>
      </c>
      <c r="C664" t="s">
        <v>4074</v>
      </c>
      <c r="D664" t="s">
        <v>19</v>
      </c>
      <c r="E664" t="s">
        <v>20</v>
      </c>
      <c r="F664" t="str">
        <f>"43611"</f>
        <v>43611</v>
      </c>
      <c r="G664" t="str">
        <f>"402018"</f>
        <v>402018</v>
      </c>
      <c r="H664" s="2">
        <f>10</f>
        <v>10</v>
      </c>
      <c r="I664" t="s">
        <v>27</v>
      </c>
      <c r="J664" t="s">
        <v>171</v>
      </c>
      <c r="K664" t="str">
        <f>"516105"</f>
        <v>516105</v>
      </c>
    </row>
    <row r="665" spans="1:11" x14ac:dyDescent="0.25">
      <c r="A665">
        <v>2021</v>
      </c>
      <c r="B665" t="s">
        <v>4072</v>
      </c>
      <c r="C665" t="s">
        <v>4073</v>
      </c>
      <c r="D665" t="s">
        <v>19</v>
      </c>
      <c r="E665" t="s">
        <v>20</v>
      </c>
      <c r="F665" t="str">
        <f>"43611"</f>
        <v>43611</v>
      </c>
      <c r="G665" t="str">
        <f>"402018"</f>
        <v>402018</v>
      </c>
      <c r="H665" s="2">
        <f>10</f>
        <v>10</v>
      </c>
      <c r="I665" t="s">
        <v>27</v>
      </c>
      <c r="J665" t="s">
        <v>171</v>
      </c>
      <c r="K665" t="str">
        <f>"516377"</f>
        <v>516377</v>
      </c>
    </row>
    <row r="666" spans="1:11" x14ac:dyDescent="0.25">
      <c r="A666">
        <v>2021</v>
      </c>
      <c r="B666" t="s">
        <v>4075</v>
      </c>
      <c r="C666" t="s">
        <v>4076</v>
      </c>
      <c r="D666" t="s">
        <v>19</v>
      </c>
      <c r="E666" t="s">
        <v>20</v>
      </c>
      <c r="F666" t="str">
        <f>"43609"</f>
        <v>43609</v>
      </c>
      <c r="G666" t="str">
        <f>"Pio448069"</f>
        <v>Pio448069</v>
      </c>
      <c r="H666" s="2">
        <f>4.59</f>
        <v>4.59</v>
      </c>
      <c r="I666" t="s">
        <v>86</v>
      </c>
      <c r="J666" t="s">
        <v>87</v>
      </c>
      <c r="K666" t="str">
        <f>"0"</f>
        <v>0</v>
      </c>
    </row>
    <row r="667" spans="1:11" x14ac:dyDescent="0.25">
      <c r="A667">
        <v>2021</v>
      </c>
      <c r="B667" t="s">
        <v>4085</v>
      </c>
      <c r="C667" t="s">
        <v>4086</v>
      </c>
      <c r="D667" t="s">
        <v>19</v>
      </c>
      <c r="E667" t="s">
        <v>20</v>
      </c>
      <c r="F667" t="str">
        <f>"43620"</f>
        <v>43620</v>
      </c>
      <c r="G667" t="str">
        <f>"Pio448069"</f>
        <v>Pio448069</v>
      </c>
      <c r="H667" s="2">
        <f>1.39</f>
        <v>1.39</v>
      </c>
      <c r="I667" t="s">
        <v>86</v>
      </c>
      <c r="J667" t="s">
        <v>87</v>
      </c>
      <c r="K667" t="str">
        <f>"0"</f>
        <v>0</v>
      </c>
    </row>
    <row r="668" spans="1:11" x14ac:dyDescent="0.25">
      <c r="A668">
        <v>2021</v>
      </c>
      <c r="B668" t="s">
        <v>4089</v>
      </c>
      <c r="C668" t="s">
        <v>4090</v>
      </c>
      <c r="D668" t="s">
        <v>19</v>
      </c>
      <c r="E668" t="s">
        <v>20</v>
      </c>
      <c r="F668" t="str">
        <f>"43697"</f>
        <v>43697</v>
      </c>
      <c r="G668" t="str">
        <f>"402017"</f>
        <v>402017</v>
      </c>
      <c r="H668" s="2">
        <f>10.33</f>
        <v>10.33</v>
      </c>
      <c r="I668" t="s">
        <v>27</v>
      </c>
      <c r="J668" t="s">
        <v>212</v>
      </c>
      <c r="K668" t="str">
        <f>"34564"</f>
        <v>34564</v>
      </c>
    </row>
    <row r="669" spans="1:11" x14ac:dyDescent="0.25">
      <c r="A669">
        <v>2021</v>
      </c>
      <c r="B669" t="s">
        <v>4100</v>
      </c>
      <c r="C669" t="s">
        <v>4101</v>
      </c>
      <c r="D669" t="s">
        <v>383</v>
      </c>
      <c r="E669" t="s">
        <v>20</v>
      </c>
      <c r="F669" t="str">
        <f>"44308"</f>
        <v>44308</v>
      </c>
      <c r="G669" t="str">
        <f>"Swucf4621"</f>
        <v>Swucf4621</v>
      </c>
      <c r="H669" s="2">
        <f>168784.06</f>
        <v>168784.06</v>
      </c>
      <c r="I669" t="s">
        <v>15</v>
      </c>
      <c r="J669" t="s">
        <v>81</v>
      </c>
      <c r="K669" t="str">
        <f>"6292614"</f>
        <v>6292614</v>
      </c>
    </row>
    <row r="670" spans="1:11" x14ac:dyDescent="0.25">
      <c r="A670">
        <v>2021</v>
      </c>
      <c r="B670" t="s">
        <v>4102</v>
      </c>
      <c r="C670" t="s">
        <v>4103</v>
      </c>
      <c r="D670" t="s">
        <v>4104</v>
      </c>
      <c r="E670" t="s">
        <v>1664</v>
      </c>
      <c r="F670" t="str">
        <f>"24402"</f>
        <v>24402</v>
      </c>
      <c r="G670" t="str">
        <f>"Bwucf4621"</f>
        <v>Bwucf4621</v>
      </c>
      <c r="H670" s="2">
        <f>24.12</f>
        <v>24.12</v>
      </c>
      <c r="I670" t="s">
        <v>15</v>
      </c>
      <c r="J670" t="s">
        <v>295</v>
      </c>
      <c r="K670" t="str">
        <f>"01445520"</f>
        <v>01445520</v>
      </c>
    </row>
    <row r="671" spans="1:11" x14ac:dyDescent="0.25">
      <c r="A671">
        <v>2021</v>
      </c>
      <c r="B671" t="s">
        <v>4102</v>
      </c>
      <c r="C671" t="s">
        <v>4103</v>
      </c>
      <c r="D671" t="s">
        <v>4104</v>
      </c>
      <c r="E671" t="s">
        <v>1664</v>
      </c>
      <c r="F671" t="str">
        <f>"24402"</f>
        <v>24402</v>
      </c>
      <c r="G671" t="str">
        <f>"Bwucf4621"</f>
        <v>Bwucf4621</v>
      </c>
      <c r="H671" s="2">
        <f>13.48</f>
        <v>13.48</v>
      </c>
      <c r="I671" t="s">
        <v>15</v>
      </c>
      <c r="J671" t="s">
        <v>295</v>
      </c>
      <c r="K671" t="str">
        <f>"01445520"</f>
        <v>01445520</v>
      </c>
    </row>
    <row r="672" spans="1:11" x14ac:dyDescent="0.25">
      <c r="A672">
        <v>2021</v>
      </c>
      <c r="B672" t="s">
        <v>4102</v>
      </c>
      <c r="C672" t="s">
        <v>4103</v>
      </c>
      <c r="D672" t="s">
        <v>4104</v>
      </c>
      <c r="E672" t="s">
        <v>1664</v>
      </c>
      <c r="F672" t="str">
        <f>"24402"</f>
        <v>24402</v>
      </c>
      <c r="G672" t="str">
        <f>"Bwucf4621"</f>
        <v>Bwucf4621</v>
      </c>
      <c r="H672" s="2">
        <f>17.8</f>
        <v>17.8</v>
      </c>
      <c r="I672" t="s">
        <v>15</v>
      </c>
      <c r="J672" t="s">
        <v>295</v>
      </c>
      <c r="K672" t="str">
        <f>"01445520"</f>
        <v>01445520</v>
      </c>
    </row>
    <row r="673" spans="1:11" x14ac:dyDescent="0.25">
      <c r="A673">
        <v>2021</v>
      </c>
      <c r="B673" t="s">
        <v>4102</v>
      </c>
      <c r="C673" t="s">
        <v>4103</v>
      </c>
      <c r="D673" t="s">
        <v>4104</v>
      </c>
      <c r="E673" t="s">
        <v>1664</v>
      </c>
      <c r="F673" t="str">
        <f>"24402"</f>
        <v>24402</v>
      </c>
      <c r="G673" t="str">
        <f>"Bwucf4621"</f>
        <v>Bwucf4621</v>
      </c>
      <c r="H673" s="2">
        <f>11.84</f>
        <v>11.84</v>
      </c>
      <c r="I673" t="s">
        <v>15</v>
      </c>
      <c r="J673" t="s">
        <v>295</v>
      </c>
      <c r="K673" t="str">
        <f>"01445520"</f>
        <v>01445520</v>
      </c>
    </row>
    <row r="674" spans="1:11" x14ac:dyDescent="0.25">
      <c r="A674">
        <v>2021</v>
      </c>
      <c r="B674" t="s">
        <v>4102</v>
      </c>
      <c r="C674" t="s">
        <v>4103</v>
      </c>
      <c r="D674" t="s">
        <v>4104</v>
      </c>
      <c r="E674" t="s">
        <v>1664</v>
      </c>
      <c r="F674" t="str">
        <f>"24402"</f>
        <v>24402</v>
      </c>
      <c r="G674" t="str">
        <f>"Bwucf4621"</f>
        <v>Bwucf4621</v>
      </c>
      <c r="H674" s="2">
        <f>10.7</f>
        <v>10.7</v>
      </c>
      <c r="I674" t="s">
        <v>15</v>
      </c>
      <c r="J674" t="s">
        <v>295</v>
      </c>
      <c r="K674" t="str">
        <f>"01445520"</f>
        <v>01445520</v>
      </c>
    </row>
    <row r="675" spans="1:11" x14ac:dyDescent="0.25">
      <c r="A675">
        <v>2021</v>
      </c>
      <c r="B675" t="s">
        <v>4105</v>
      </c>
      <c r="C675" t="s">
        <v>4106</v>
      </c>
      <c r="D675" t="s">
        <v>19</v>
      </c>
      <c r="E675" t="s">
        <v>20</v>
      </c>
      <c r="F675" t="str">
        <f>"43612"</f>
        <v>43612</v>
      </c>
      <c r="G675" t="str">
        <f>"402018"</f>
        <v>402018</v>
      </c>
      <c r="H675" s="2">
        <f>4.34</f>
        <v>4.34</v>
      </c>
      <c r="I675" t="s">
        <v>27</v>
      </c>
      <c r="J675" t="s">
        <v>171</v>
      </c>
      <c r="K675" t="str">
        <f>"517341"</f>
        <v>517341</v>
      </c>
    </row>
    <row r="676" spans="1:11" x14ac:dyDescent="0.25">
      <c r="A676">
        <v>2021</v>
      </c>
      <c r="B676" t="s">
        <v>4113</v>
      </c>
      <c r="C676" t="s">
        <v>4114</v>
      </c>
      <c r="D676" t="s">
        <v>4115</v>
      </c>
      <c r="E676" t="s">
        <v>20</v>
      </c>
      <c r="F676" t="str">
        <f>"44830"</f>
        <v>44830</v>
      </c>
      <c r="G676" t="str">
        <f>"Pio448069"</f>
        <v>Pio448069</v>
      </c>
      <c r="H676" s="2">
        <f>0.8</f>
        <v>0.8</v>
      </c>
      <c r="I676" t="s">
        <v>86</v>
      </c>
      <c r="J676" t="s">
        <v>87</v>
      </c>
      <c r="K676" t="str">
        <f>"0"</f>
        <v>0</v>
      </c>
    </row>
    <row r="677" spans="1:11" x14ac:dyDescent="0.25">
      <c r="A677">
        <v>2021</v>
      </c>
      <c r="B677" t="s">
        <v>4116</v>
      </c>
      <c r="C677" t="s">
        <v>4117</v>
      </c>
      <c r="D677" t="s">
        <v>19</v>
      </c>
      <c r="E677" t="s">
        <v>20</v>
      </c>
      <c r="F677" t="str">
        <f>"43608"</f>
        <v>43608</v>
      </c>
      <c r="G677" t="str">
        <f>"Pio448069"</f>
        <v>Pio448069</v>
      </c>
      <c r="H677" s="2">
        <f>2.4</f>
        <v>2.4</v>
      </c>
      <c r="I677" t="s">
        <v>86</v>
      </c>
      <c r="J677" t="s">
        <v>87</v>
      </c>
      <c r="K677" t="str">
        <f>"0"</f>
        <v>0</v>
      </c>
    </row>
    <row r="678" spans="1:11" x14ac:dyDescent="0.25">
      <c r="A678">
        <v>2021</v>
      </c>
      <c r="B678" t="s">
        <v>4118</v>
      </c>
      <c r="C678" t="s">
        <v>4119</v>
      </c>
      <c r="D678" t="s">
        <v>19</v>
      </c>
      <c r="E678" t="s">
        <v>20</v>
      </c>
      <c r="F678" t="str">
        <f>"43608"</f>
        <v>43608</v>
      </c>
      <c r="G678" t="str">
        <f>"Pio448069"</f>
        <v>Pio448069</v>
      </c>
      <c r="H678" s="2">
        <f>19.89</f>
        <v>19.89</v>
      </c>
      <c r="I678" t="s">
        <v>86</v>
      </c>
      <c r="J678" t="s">
        <v>87</v>
      </c>
      <c r="K678" t="str">
        <f>"0"</f>
        <v>0</v>
      </c>
    </row>
    <row r="679" spans="1:11" x14ac:dyDescent="0.25">
      <c r="A679">
        <v>2021</v>
      </c>
      <c r="B679" t="s">
        <v>4126</v>
      </c>
      <c r="C679" t="s">
        <v>4127</v>
      </c>
      <c r="D679" t="s">
        <v>4128</v>
      </c>
      <c r="E679" t="s">
        <v>1837</v>
      </c>
      <c r="F679" t="str">
        <f>"12110"</f>
        <v>12110</v>
      </c>
      <c r="G679" t="str">
        <f>"Pio448069"</f>
        <v>Pio448069</v>
      </c>
      <c r="H679" s="2">
        <f>7.97</f>
        <v>7.97</v>
      </c>
      <c r="I679" t="s">
        <v>86</v>
      </c>
      <c r="J679" t="s">
        <v>87</v>
      </c>
      <c r="K679" t="str">
        <f>"0"</f>
        <v>0</v>
      </c>
    </row>
    <row r="680" spans="1:11" x14ac:dyDescent="0.25">
      <c r="A680">
        <v>2021</v>
      </c>
      <c r="B680" t="s">
        <v>4136</v>
      </c>
      <c r="C680" t="s">
        <v>4137</v>
      </c>
      <c r="D680" t="s">
        <v>120</v>
      </c>
      <c r="E680" t="s">
        <v>20</v>
      </c>
      <c r="F680" t="str">
        <f>"43522"</f>
        <v>43522</v>
      </c>
      <c r="G680" t="str">
        <f>"402018"</f>
        <v>402018</v>
      </c>
      <c r="H680" s="2">
        <f>20</f>
        <v>20</v>
      </c>
      <c r="I680" t="s">
        <v>27</v>
      </c>
      <c r="J680" t="s">
        <v>171</v>
      </c>
      <c r="K680" t="str">
        <f>"518201"</f>
        <v>518201</v>
      </c>
    </row>
    <row r="681" spans="1:11" x14ac:dyDescent="0.25">
      <c r="A681">
        <v>2021</v>
      </c>
      <c r="B681" t="s">
        <v>4136</v>
      </c>
      <c r="C681" t="s">
        <v>4137</v>
      </c>
      <c r="D681" t="s">
        <v>120</v>
      </c>
      <c r="E681" t="s">
        <v>20</v>
      </c>
      <c r="F681" t="str">
        <f>"43522"</f>
        <v>43522</v>
      </c>
      <c r="G681" t="str">
        <f>"402018"</f>
        <v>402018</v>
      </c>
      <c r="H681" s="2">
        <f>20</f>
        <v>20</v>
      </c>
      <c r="I681" t="s">
        <v>27</v>
      </c>
      <c r="J681" t="s">
        <v>171</v>
      </c>
      <c r="K681" t="str">
        <f>"518028"</f>
        <v>518028</v>
      </c>
    </row>
    <row r="682" spans="1:11" x14ac:dyDescent="0.25">
      <c r="A682">
        <v>2021</v>
      </c>
      <c r="B682" t="s">
        <v>4142</v>
      </c>
      <c r="C682" t="s">
        <v>4143</v>
      </c>
      <c r="D682" t="s">
        <v>19</v>
      </c>
      <c r="E682" t="s">
        <v>20</v>
      </c>
      <c r="F682" t="str">
        <f>"43617"</f>
        <v>43617</v>
      </c>
      <c r="G682" t="str">
        <f>"402017"</f>
        <v>402017</v>
      </c>
      <c r="H682" s="2">
        <f>550</f>
        <v>550</v>
      </c>
      <c r="I682" t="s">
        <v>27</v>
      </c>
      <c r="J682" t="s">
        <v>212</v>
      </c>
      <c r="K682" t="str">
        <f>"34072"</f>
        <v>34072</v>
      </c>
    </row>
    <row r="683" spans="1:11" x14ac:dyDescent="0.25">
      <c r="A683">
        <v>2021</v>
      </c>
      <c r="B683" t="s">
        <v>4144</v>
      </c>
      <c r="C683" t="s">
        <v>4145</v>
      </c>
      <c r="D683" t="s">
        <v>19</v>
      </c>
      <c r="E683" t="s">
        <v>20</v>
      </c>
      <c r="F683" t="str">
        <f>"43608"</f>
        <v>43608</v>
      </c>
      <c r="G683" t="str">
        <f>"Pio448069"</f>
        <v>Pio448069</v>
      </c>
      <c r="H683" s="2">
        <f>5.57</f>
        <v>5.57</v>
      </c>
      <c r="I683" t="s">
        <v>86</v>
      </c>
      <c r="J683" t="s">
        <v>87</v>
      </c>
      <c r="K683" t="str">
        <f>"0"</f>
        <v>0</v>
      </c>
    </row>
    <row r="684" spans="1:11" x14ac:dyDescent="0.25">
      <c r="A684">
        <v>2021</v>
      </c>
      <c r="B684" t="s">
        <v>4146</v>
      </c>
      <c r="C684" t="s">
        <v>4147</v>
      </c>
      <c r="D684" t="s">
        <v>4148</v>
      </c>
      <c r="E684" t="s">
        <v>436</v>
      </c>
      <c r="F684" t="str">
        <f>"15224"</f>
        <v>15224</v>
      </c>
      <c r="G684" t="str">
        <f>"402018"</f>
        <v>402018</v>
      </c>
      <c r="H684" s="2">
        <f>25</f>
        <v>25</v>
      </c>
      <c r="I684" t="s">
        <v>27</v>
      </c>
      <c r="J684" t="s">
        <v>171</v>
      </c>
      <c r="K684" t="str">
        <f>"515611"</f>
        <v>515611</v>
      </c>
    </row>
    <row r="685" spans="1:11" x14ac:dyDescent="0.25">
      <c r="A685">
        <v>2021</v>
      </c>
      <c r="B685" t="s">
        <v>4168</v>
      </c>
      <c r="C685" t="s">
        <v>4169</v>
      </c>
      <c r="D685" t="s">
        <v>1239</v>
      </c>
      <c r="E685" t="s">
        <v>20</v>
      </c>
      <c r="F685" t="str">
        <f>"43402"</f>
        <v>43402</v>
      </c>
      <c r="G685" t="str">
        <f>"Pio448069"</f>
        <v>Pio448069</v>
      </c>
      <c r="H685" s="2">
        <f>50</f>
        <v>50</v>
      </c>
      <c r="I685" t="s">
        <v>86</v>
      </c>
      <c r="J685" t="s">
        <v>87</v>
      </c>
      <c r="K685" t="str">
        <f>"0"</f>
        <v>0</v>
      </c>
    </row>
    <row r="686" spans="1:11" x14ac:dyDescent="0.25">
      <c r="A686">
        <v>2021</v>
      </c>
      <c r="B686" t="s">
        <v>4170</v>
      </c>
      <c r="C686" t="s">
        <v>4171</v>
      </c>
      <c r="D686" t="s">
        <v>19</v>
      </c>
      <c r="E686" t="s">
        <v>20</v>
      </c>
      <c r="F686" t="str">
        <f>"43615"</f>
        <v>43615</v>
      </c>
      <c r="G686" t="str">
        <f>"Pio448069"</f>
        <v>Pio448069</v>
      </c>
      <c r="H686" s="2">
        <f>2.6</f>
        <v>2.6</v>
      </c>
      <c r="I686" t="s">
        <v>86</v>
      </c>
      <c r="J686" t="s">
        <v>87</v>
      </c>
      <c r="K686" t="str">
        <f>"0"</f>
        <v>0</v>
      </c>
    </row>
    <row r="687" spans="1:11" x14ac:dyDescent="0.25">
      <c r="A687">
        <v>2021</v>
      </c>
      <c r="B687" t="s">
        <v>4174</v>
      </c>
      <c r="C687" t="s">
        <v>4175</v>
      </c>
      <c r="D687" t="s">
        <v>19</v>
      </c>
      <c r="E687" t="s">
        <v>20</v>
      </c>
      <c r="F687" t="str">
        <f>"43604"</f>
        <v>43604</v>
      </c>
      <c r="G687" t="str">
        <f>"Pio448069"</f>
        <v>Pio448069</v>
      </c>
      <c r="H687" s="2">
        <f>34</f>
        <v>34</v>
      </c>
      <c r="I687" t="s">
        <v>86</v>
      </c>
      <c r="J687" t="s">
        <v>87</v>
      </c>
      <c r="K687" t="str">
        <f>"0"</f>
        <v>0</v>
      </c>
    </row>
    <row r="688" spans="1:11" x14ac:dyDescent="0.25">
      <c r="A688">
        <v>2021</v>
      </c>
      <c r="B688" t="s">
        <v>4176</v>
      </c>
      <c r="C688" t="s">
        <v>4177</v>
      </c>
      <c r="D688" t="s">
        <v>19</v>
      </c>
      <c r="E688" t="s">
        <v>20</v>
      </c>
      <c r="F688" t="str">
        <f>"43608"</f>
        <v>43608</v>
      </c>
      <c r="G688" t="str">
        <f>"402018"</f>
        <v>402018</v>
      </c>
      <c r="H688" s="2">
        <f>20</f>
        <v>20</v>
      </c>
      <c r="I688" t="s">
        <v>27</v>
      </c>
      <c r="J688" t="s">
        <v>171</v>
      </c>
      <c r="K688" t="str">
        <f>"516070"</f>
        <v>516070</v>
      </c>
    </row>
    <row r="689" spans="1:11" x14ac:dyDescent="0.25">
      <c r="A689">
        <v>2021</v>
      </c>
      <c r="B689" t="s">
        <v>4178</v>
      </c>
      <c r="C689" t="s">
        <v>4179</v>
      </c>
      <c r="D689" t="s">
        <v>19</v>
      </c>
      <c r="E689" t="s">
        <v>20</v>
      </c>
      <c r="F689" t="str">
        <f>"43604-1083"</f>
        <v>43604-1083</v>
      </c>
      <c r="G689" t="str">
        <f>"402019"</f>
        <v>402019</v>
      </c>
      <c r="H689" s="2">
        <f>10</f>
        <v>10</v>
      </c>
      <c r="I689" t="s">
        <v>27</v>
      </c>
      <c r="J689" t="s">
        <v>42</v>
      </c>
      <c r="K689" t="str">
        <f>"111432"</f>
        <v>111432</v>
      </c>
    </row>
    <row r="690" spans="1:11" x14ac:dyDescent="0.25">
      <c r="A690">
        <v>2021</v>
      </c>
      <c r="B690" t="s">
        <v>4182</v>
      </c>
      <c r="C690" t="s">
        <v>4183</v>
      </c>
      <c r="D690" t="s">
        <v>19</v>
      </c>
      <c r="E690" t="s">
        <v>20</v>
      </c>
      <c r="F690" t="str">
        <f>"43614-1820"</f>
        <v>43614-1820</v>
      </c>
      <c r="G690" t="str">
        <f>"402019"</f>
        <v>402019</v>
      </c>
      <c r="H690" s="2">
        <f>20</f>
        <v>20</v>
      </c>
      <c r="I690" t="s">
        <v>27</v>
      </c>
      <c r="J690" t="s">
        <v>42</v>
      </c>
      <c r="K690" t="str">
        <f>"114108"</f>
        <v>114108</v>
      </c>
    </row>
    <row r="691" spans="1:11" x14ac:dyDescent="0.25">
      <c r="A691">
        <v>2021</v>
      </c>
      <c r="B691" t="s">
        <v>4198</v>
      </c>
      <c r="C691" t="s">
        <v>4199</v>
      </c>
      <c r="D691" t="s">
        <v>422</v>
      </c>
      <c r="E691" t="s">
        <v>20</v>
      </c>
      <c r="F691" t="str">
        <f>"44113"</f>
        <v>44113</v>
      </c>
      <c r="G691" t="str">
        <f>"402017"</f>
        <v>402017</v>
      </c>
      <c r="H691" s="2">
        <f>92.4</f>
        <v>92.4</v>
      </c>
      <c r="I691" t="s">
        <v>27</v>
      </c>
      <c r="J691" t="s">
        <v>212</v>
      </c>
      <c r="K691" t="str">
        <f>"35084"</f>
        <v>35084</v>
      </c>
    </row>
    <row r="692" spans="1:11" x14ac:dyDescent="0.25">
      <c r="A692">
        <v>2021</v>
      </c>
      <c r="B692" t="s">
        <v>4200</v>
      </c>
      <c r="C692" t="s">
        <v>4201</v>
      </c>
      <c r="D692" t="s">
        <v>1163</v>
      </c>
      <c r="E692" t="s">
        <v>20</v>
      </c>
      <c r="F692" t="str">
        <f>"43557"</f>
        <v>43557</v>
      </c>
      <c r="G692" t="str">
        <f>"402017"</f>
        <v>402017</v>
      </c>
      <c r="H692" s="2">
        <f>214.54</f>
        <v>214.54</v>
      </c>
      <c r="I692" t="s">
        <v>27</v>
      </c>
      <c r="J692" t="s">
        <v>212</v>
      </c>
      <c r="K692" t="str">
        <f>"32547"</f>
        <v>32547</v>
      </c>
    </row>
    <row r="693" spans="1:11" x14ac:dyDescent="0.25">
      <c r="A693">
        <v>2021</v>
      </c>
      <c r="B693" t="s">
        <v>4203</v>
      </c>
      <c r="C693" t="s">
        <v>4204</v>
      </c>
      <c r="D693" t="s">
        <v>19</v>
      </c>
      <c r="E693" t="s">
        <v>20</v>
      </c>
      <c r="F693" t="str">
        <f>"43605"</f>
        <v>43605</v>
      </c>
      <c r="G693" t="str">
        <f>"402018"</f>
        <v>402018</v>
      </c>
      <c r="H693" s="2">
        <f>25</f>
        <v>25</v>
      </c>
      <c r="I693" t="s">
        <v>27</v>
      </c>
      <c r="J693" t="s">
        <v>171</v>
      </c>
      <c r="K693" t="str">
        <f>"517310"</f>
        <v>517310</v>
      </c>
    </row>
    <row r="694" spans="1:11" x14ac:dyDescent="0.25">
      <c r="A694">
        <v>2021</v>
      </c>
      <c r="B694" t="s">
        <v>4205</v>
      </c>
      <c r="C694" t="s">
        <v>4206</v>
      </c>
      <c r="D694" t="s">
        <v>19</v>
      </c>
      <c r="E694" t="s">
        <v>20</v>
      </c>
      <c r="F694" t="str">
        <f>"43607"</f>
        <v>43607</v>
      </c>
      <c r="G694" t="str">
        <f>"Swucf4621"</f>
        <v>Swucf4621</v>
      </c>
      <c r="H694" s="2">
        <f>31.82</f>
        <v>31.82</v>
      </c>
      <c r="I694" t="s">
        <v>15</v>
      </c>
      <c r="J694" t="s">
        <v>81</v>
      </c>
      <c r="K694" t="str">
        <f>"6297496"</f>
        <v>6297496</v>
      </c>
    </row>
    <row r="695" spans="1:11" x14ac:dyDescent="0.25">
      <c r="A695">
        <v>2021</v>
      </c>
      <c r="B695" t="s">
        <v>4207</v>
      </c>
      <c r="C695" t="s">
        <v>4208</v>
      </c>
      <c r="D695" t="s">
        <v>19</v>
      </c>
      <c r="E695" t="s">
        <v>20</v>
      </c>
      <c r="F695" t="str">
        <f>"43613"</f>
        <v>43613</v>
      </c>
      <c r="G695" t="str">
        <f>"Pio448069"</f>
        <v>Pio448069</v>
      </c>
      <c r="H695" s="2">
        <f>5</f>
        <v>5</v>
      </c>
      <c r="I695" t="s">
        <v>86</v>
      </c>
      <c r="J695" t="s">
        <v>87</v>
      </c>
      <c r="K695" t="str">
        <f>"0"</f>
        <v>0</v>
      </c>
    </row>
    <row r="696" spans="1:11" x14ac:dyDescent="0.25">
      <c r="A696">
        <v>2021</v>
      </c>
      <c r="B696" t="s">
        <v>4209</v>
      </c>
      <c r="C696" t="s">
        <v>4210</v>
      </c>
      <c r="D696" t="s">
        <v>1074</v>
      </c>
      <c r="E696" t="s">
        <v>20</v>
      </c>
      <c r="F696" t="str">
        <f>"43551"</f>
        <v>43551</v>
      </c>
      <c r="G696" t="str">
        <f>"402018"</f>
        <v>402018</v>
      </c>
      <c r="H696" s="2">
        <f>112.5</f>
        <v>112.5</v>
      </c>
      <c r="I696" t="s">
        <v>27</v>
      </c>
      <c r="J696" t="s">
        <v>171</v>
      </c>
      <c r="K696" t="str">
        <f>"515689"</f>
        <v>515689</v>
      </c>
    </row>
    <row r="697" spans="1:11" x14ac:dyDescent="0.25">
      <c r="A697">
        <v>2021</v>
      </c>
      <c r="B697" t="s">
        <v>4213</v>
      </c>
      <c r="C697" t="s">
        <v>4214</v>
      </c>
      <c r="D697" t="s">
        <v>19</v>
      </c>
      <c r="E697" t="s">
        <v>20</v>
      </c>
      <c r="F697" t="str">
        <f>"43607"</f>
        <v>43607</v>
      </c>
      <c r="G697" t="str">
        <f>"Pio448069"</f>
        <v>Pio448069</v>
      </c>
      <c r="H697" s="2">
        <f>1.12</f>
        <v>1.1200000000000001</v>
      </c>
      <c r="I697" t="s">
        <v>86</v>
      </c>
      <c r="J697" t="s">
        <v>87</v>
      </c>
      <c r="K697" t="str">
        <f>"0"</f>
        <v>0</v>
      </c>
    </row>
    <row r="698" spans="1:11" x14ac:dyDescent="0.25">
      <c r="A698">
        <v>2021</v>
      </c>
      <c r="B698" t="s">
        <v>4215</v>
      </c>
      <c r="C698" t="s">
        <v>153</v>
      </c>
      <c r="D698" t="s">
        <v>19</v>
      </c>
      <c r="E698" t="s">
        <v>20</v>
      </c>
      <c r="F698" t="str">
        <f>"43605"</f>
        <v>43605</v>
      </c>
      <c r="G698" t="str">
        <f>"Pio448069"</f>
        <v>Pio448069</v>
      </c>
      <c r="H698" s="2">
        <f>0.05</f>
        <v>0.05</v>
      </c>
      <c r="I698" t="s">
        <v>86</v>
      </c>
      <c r="J698" t="s">
        <v>87</v>
      </c>
      <c r="K698" t="str">
        <f>"0"</f>
        <v>0</v>
      </c>
    </row>
    <row r="699" spans="1:11" x14ac:dyDescent="0.25">
      <c r="A699">
        <v>2021</v>
      </c>
      <c r="B699" t="s">
        <v>4216</v>
      </c>
      <c r="C699" t="s">
        <v>4217</v>
      </c>
      <c r="F699" t="str">
        <f>""</f>
        <v/>
      </c>
      <c r="G699" t="str">
        <f>"Swucf4621"</f>
        <v>Swucf4621</v>
      </c>
      <c r="H699" s="2">
        <f>124.7</f>
        <v>124.7</v>
      </c>
      <c r="I699" t="s">
        <v>15</v>
      </c>
      <c r="J699" t="s">
        <v>81</v>
      </c>
      <c r="K699" t="str">
        <f>"6293026"</f>
        <v>6293026</v>
      </c>
    </row>
    <row r="700" spans="1:11" x14ac:dyDescent="0.25">
      <c r="A700">
        <v>2021</v>
      </c>
      <c r="B700" t="s">
        <v>4218</v>
      </c>
      <c r="C700" t="s">
        <v>4219</v>
      </c>
      <c r="D700" t="s">
        <v>19</v>
      </c>
      <c r="E700" t="s">
        <v>20</v>
      </c>
      <c r="F700" t="str">
        <f>"43605"</f>
        <v>43605</v>
      </c>
      <c r="G700" t="str">
        <f>"Pio448069"</f>
        <v>Pio448069</v>
      </c>
      <c r="H700" s="2">
        <f>1.96</f>
        <v>1.96</v>
      </c>
      <c r="I700" t="s">
        <v>86</v>
      </c>
      <c r="J700" t="s">
        <v>87</v>
      </c>
      <c r="K700" t="str">
        <f>"0"</f>
        <v>0</v>
      </c>
    </row>
    <row r="701" spans="1:11" x14ac:dyDescent="0.25">
      <c r="A701">
        <v>2021</v>
      </c>
      <c r="B701" t="s">
        <v>4223</v>
      </c>
      <c r="C701" t="s">
        <v>4224</v>
      </c>
      <c r="D701" t="s">
        <v>4225</v>
      </c>
      <c r="E701" t="s">
        <v>436</v>
      </c>
      <c r="F701" t="str">
        <f>"19066"</f>
        <v>19066</v>
      </c>
      <c r="G701" t="str">
        <f>"Bwucf4621"</f>
        <v>Bwucf4621</v>
      </c>
      <c r="H701" s="2">
        <f>133.29</f>
        <v>133.29</v>
      </c>
      <c r="I701" t="s">
        <v>15</v>
      </c>
      <c r="J701" t="s">
        <v>295</v>
      </c>
      <c r="K701" t="str">
        <f>"01449649"</f>
        <v>01449649</v>
      </c>
    </row>
    <row r="702" spans="1:11" x14ac:dyDescent="0.25">
      <c r="A702">
        <v>2021</v>
      </c>
      <c r="B702" t="s">
        <v>4226</v>
      </c>
      <c r="C702" t="s">
        <v>4227</v>
      </c>
      <c r="D702" t="s">
        <v>19</v>
      </c>
      <c r="E702" t="s">
        <v>20</v>
      </c>
      <c r="F702" t="str">
        <f>"43604"</f>
        <v>43604</v>
      </c>
      <c r="G702" t="str">
        <f>"Pio448069"</f>
        <v>Pio448069</v>
      </c>
      <c r="H702" s="2">
        <f>3</f>
        <v>3</v>
      </c>
      <c r="I702" t="s">
        <v>86</v>
      </c>
      <c r="J702" t="s">
        <v>87</v>
      </c>
      <c r="K702" t="str">
        <f>"0"</f>
        <v>0</v>
      </c>
    </row>
    <row r="703" spans="1:11" x14ac:dyDescent="0.25">
      <c r="A703">
        <v>2021</v>
      </c>
      <c r="B703" t="s">
        <v>4230</v>
      </c>
      <c r="C703" t="s">
        <v>4231</v>
      </c>
      <c r="D703" t="s">
        <v>19</v>
      </c>
      <c r="E703" t="s">
        <v>20</v>
      </c>
      <c r="F703" t="str">
        <f>"43613-2750"</f>
        <v>43613-2750</v>
      </c>
      <c r="G703" t="str">
        <f>"402019"</f>
        <v>402019</v>
      </c>
      <c r="H703" s="2">
        <f>10</f>
        <v>10</v>
      </c>
      <c r="I703" t="s">
        <v>27</v>
      </c>
      <c r="J703" t="s">
        <v>42</v>
      </c>
      <c r="K703" t="str">
        <f>"111752"</f>
        <v>111752</v>
      </c>
    </row>
    <row r="704" spans="1:11" x14ac:dyDescent="0.25">
      <c r="A704">
        <v>2021</v>
      </c>
      <c r="B704" t="s">
        <v>4244</v>
      </c>
      <c r="C704" t="s">
        <v>4245</v>
      </c>
      <c r="D704" t="s">
        <v>164</v>
      </c>
      <c r="E704" t="s">
        <v>20</v>
      </c>
      <c r="F704" t="str">
        <f>"43558-9400"</f>
        <v>43558-9400</v>
      </c>
      <c r="G704" t="str">
        <f>"402019"</f>
        <v>402019</v>
      </c>
      <c r="H704" s="2">
        <f>10</f>
        <v>10</v>
      </c>
      <c r="I704" t="s">
        <v>27</v>
      </c>
      <c r="J704" t="s">
        <v>42</v>
      </c>
      <c r="K704" t="str">
        <f>"111296"</f>
        <v>111296</v>
      </c>
    </row>
    <row r="705" spans="1:11" x14ac:dyDescent="0.25">
      <c r="A705">
        <v>2021</v>
      </c>
      <c r="B705" t="s">
        <v>4248</v>
      </c>
      <c r="C705" t="s">
        <v>4249</v>
      </c>
      <c r="D705" t="s">
        <v>4250</v>
      </c>
      <c r="E705" t="s">
        <v>20</v>
      </c>
      <c r="F705" t="str">
        <f>"44903"</f>
        <v>44903</v>
      </c>
      <c r="G705" t="str">
        <f>"Je110321"</f>
        <v>Je110321</v>
      </c>
      <c r="H705" s="2">
        <f>153.9</f>
        <v>153.9</v>
      </c>
      <c r="I705" t="s">
        <v>15</v>
      </c>
      <c r="J705" t="s">
        <v>596</v>
      </c>
      <c r="K705" t="str">
        <f>"60023567"</f>
        <v>60023567</v>
      </c>
    </row>
    <row r="706" spans="1:11" x14ac:dyDescent="0.25">
      <c r="A706">
        <v>2021</v>
      </c>
      <c r="B706" t="s">
        <v>4251</v>
      </c>
      <c r="C706" t="s">
        <v>4252</v>
      </c>
      <c r="D706" t="s">
        <v>19</v>
      </c>
      <c r="E706" t="s">
        <v>20</v>
      </c>
      <c r="F706" t="str">
        <f>"43615-5612"</f>
        <v>43615-5612</v>
      </c>
      <c r="G706" t="str">
        <f>"402019"</f>
        <v>402019</v>
      </c>
      <c r="H706" s="2">
        <f>10</f>
        <v>10</v>
      </c>
      <c r="I706" t="s">
        <v>27</v>
      </c>
      <c r="J706" t="s">
        <v>42</v>
      </c>
      <c r="K706" t="str">
        <f>"114822"</f>
        <v>114822</v>
      </c>
    </row>
    <row r="707" spans="1:11" x14ac:dyDescent="0.25">
      <c r="A707">
        <v>2021</v>
      </c>
      <c r="B707" t="s">
        <v>4260</v>
      </c>
      <c r="C707" t="s">
        <v>4261</v>
      </c>
      <c r="D707" t="s">
        <v>19</v>
      </c>
      <c r="E707" t="s">
        <v>20</v>
      </c>
      <c r="F707" t="str">
        <f>"43605"</f>
        <v>43605</v>
      </c>
      <c r="G707" t="str">
        <f>"Pio448069"</f>
        <v>Pio448069</v>
      </c>
      <c r="H707" s="2">
        <f>50.77</f>
        <v>50.77</v>
      </c>
      <c r="I707" t="s">
        <v>86</v>
      </c>
      <c r="J707" t="s">
        <v>87</v>
      </c>
      <c r="K707" t="str">
        <f>"0"</f>
        <v>0</v>
      </c>
    </row>
    <row r="708" spans="1:11" x14ac:dyDescent="0.25">
      <c r="A708">
        <v>2021</v>
      </c>
      <c r="B708" t="s">
        <v>4262</v>
      </c>
      <c r="C708" t="s">
        <v>4263</v>
      </c>
      <c r="D708" t="s">
        <v>19</v>
      </c>
      <c r="E708" t="s">
        <v>20</v>
      </c>
      <c r="F708" t="str">
        <f>"43610"</f>
        <v>43610</v>
      </c>
      <c r="G708" t="str">
        <f>"Pio448069"</f>
        <v>Pio448069</v>
      </c>
      <c r="H708" s="2">
        <f>52.51</f>
        <v>52.51</v>
      </c>
      <c r="I708" t="s">
        <v>86</v>
      </c>
      <c r="J708" t="s">
        <v>87</v>
      </c>
      <c r="K708" t="str">
        <f>"0"</f>
        <v>0</v>
      </c>
    </row>
    <row r="709" spans="1:11" x14ac:dyDescent="0.25">
      <c r="A709">
        <v>2021</v>
      </c>
      <c r="B709" t="s">
        <v>4264</v>
      </c>
      <c r="C709" t="s">
        <v>4265</v>
      </c>
      <c r="D709" t="s">
        <v>4266</v>
      </c>
      <c r="E709" t="s">
        <v>462</v>
      </c>
      <c r="F709" t="str">
        <f>"34221"</f>
        <v>34221</v>
      </c>
      <c r="G709" t="str">
        <f>"Pio448069"</f>
        <v>Pio448069</v>
      </c>
      <c r="H709" s="2">
        <f>1</f>
        <v>1</v>
      </c>
      <c r="I709" t="s">
        <v>86</v>
      </c>
      <c r="J709" t="s">
        <v>87</v>
      </c>
      <c r="K709" t="str">
        <f>"0"</f>
        <v>0</v>
      </c>
    </row>
    <row r="710" spans="1:11" x14ac:dyDescent="0.25">
      <c r="A710">
        <v>2021</v>
      </c>
      <c r="B710" t="s">
        <v>4267</v>
      </c>
      <c r="C710" t="s">
        <v>4268</v>
      </c>
      <c r="D710" t="s">
        <v>19</v>
      </c>
      <c r="E710" t="s">
        <v>20</v>
      </c>
      <c r="F710" t="str">
        <f>"43605"</f>
        <v>43605</v>
      </c>
      <c r="G710" t="str">
        <f>"402018"</f>
        <v>402018</v>
      </c>
      <c r="H710" s="2">
        <f>47.1</f>
        <v>47.1</v>
      </c>
      <c r="I710" t="s">
        <v>27</v>
      </c>
      <c r="J710" t="s">
        <v>171</v>
      </c>
      <c r="K710" t="str">
        <f>"515618"</f>
        <v>515618</v>
      </c>
    </row>
    <row r="711" spans="1:11" x14ac:dyDescent="0.25">
      <c r="A711">
        <v>2021</v>
      </c>
      <c r="B711" t="s">
        <v>4267</v>
      </c>
      <c r="C711" t="s">
        <v>4268</v>
      </c>
      <c r="D711" t="s">
        <v>19</v>
      </c>
      <c r="E711" t="s">
        <v>20</v>
      </c>
      <c r="F711" t="str">
        <f>"43605"</f>
        <v>43605</v>
      </c>
      <c r="G711" t="str">
        <f>"402018"</f>
        <v>402018</v>
      </c>
      <c r="H711" s="2">
        <f>16.69</f>
        <v>16.690000000000001</v>
      </c>
      <c r="I711" t="s">
        <v>27</v>
      </c>
      <c r="J711" t="s">
        <v>171</v>
      </c>
      <c r="K711" t="str">
        <f>"515619"</f>
        <v>515619</v>
      </c>
    </row>
    <row r="712" spans="1:11" x14ac:dyDescent="0.25">
      <c r="A712">
        <v>2021</v>
      </c>
      <c r="B712" t="s">
        <v>4267</v>
      </c>
      <c r="C712" t="s">
        <v>4268</v>
      </c>
      <c r="D712" t="s">
        <v>19</v>
      </c>
      <c r="E712" t="s">
        <v>20</v>
      </c>
      <c r="F712" t="str">
        <f>"43605"</f>
        <v>43605</v>
      </c>
      <c r="G712" t="str">
        <f>"402018"</f>
        <v>402018</v>
      </c>
      <c r="H712" s="2">
        <f>12.6</f>
        <v>12.6</v>
      </c>
      <c r="I712" t="s">
        <v>27</v>
      </c>
      <c r="J712" t="s">
        <v>171</v>
      </c>
      <c r="K712" t="str">
        <f>"515869"</f>
        <v>515869</v>
      </c>
    </row>
    <row r="713" spans="1:11" x14ac:dyDescent="0.25">
      <c r="A713">
        <v>2021</v>
      </c>
      <c r="B713" t="s">
        <v>4267</v>
      </c>
      <c r="C713" t="s">
        <v>4268</v>
      </c>
      <c r="D713" t="s">
        <v>19</v>
      </c>
      <c r="E713" t="s">
        <v>20</v>
      </c>
      <c r="F713" t="str">
        <f>"43605"</f>
        <v>43605</v>
      </c>
      <c r="G713" t="str">
        <f>"402018"</f>
        <v>402018</v>
      </c>
      <c r="H713" s="2">
        <f>3.78</f>
        <v>3.78</v>
      </c>
      <c r="I713" t="s">
        <v>27</v>
      </c>
      <c r="J713" t="s">
        <v>171</v>
      </c>
      <c r="K713" t="str">
        <f>"515870"</f>
        <v>515870</v>
      </c>
    </row>
    <row r="714" spans="1:11" x14ac:dyDescent="0.25">
      <c r="A714">
        <v>2021</v>
      </c>
      <c r="B714" t="s">
        <v>4269</v>
      </c>
      <c r="C714" t="s">
        <v>4270</v>
      </c>
      <c r="D714" t="s">
        <v>4271</v>
      </c>
      <c r="E714" t="s">
        <v>14</v>
      </c>
      <c r="F714" t="str">
        <f>"48144"</f>
        <v>48144</v>
      </c>
      <c r="G714" t="str">
        <f>"Pio448069"</f>
        <v>Pio448069</v>
      </c>
      <c r="H714" s="2">
        <f>27.89</f>
        <v>27.89</v>
      </c>
      <c r="I714" t="s">
        <v>86</v>
      </c>
      <c r="J714" t="s">
        <v>87</v>
      </c>
      <c r="K714" t="str">
        <f>"0"</f>
        <v>0</v>
      </c>
    </row>
    <row r="715" spans="1:11" x14ac:dyDescent="0.25">
      <c r="A715">
        <v>2021</v>
      </c>
      <c r="B715" t="s">
        <v>4274</v>
      </c>
      <c r="C715" t="s">
        <v>4275</v>
      </c>
      <c r="D715" t="s">
        <v>19</v>
      </c>
      <c r="E715" t="s">
        <v>20</v>
      </c>
      <c r="F715" t="str">
        <f>"43611"</f>
        <v>43611</v>
      </c>
      <c r="G715" t="str">
        <f>"Pio448069"</f>
        <v>Pio448069</v>
      </c>
      <c r="H715" s="2">
        <f>30.57</f>
        <v>30.57</v>
      </c>
      <c r="I715" t="s">
        <v>86</v>
      </c>
      <c r="J715" t="s">
        <v>87</v>
      </c>
      <c r="K715" t="str">
        <f>"0"</f>
        <v>0</v>
      </c>
    </row>
    <row r="716" spans="1:11" x14ac:dyDescent="0.25">
      <c r="A716">
        <v>2021</v>
      </c>
      <c r="B716" t="s">
        <v>4276</v>
      </c>
      <c r="C716" t="s">
        <v>4277</v>
      </c>
      <c r="D716" t="s">
        <v>45</v>
      </c>
      <c r="E716" t="s">
        <v>20</v>
      </c>
      <c r="F716" t="str">
        <f>"43542-8322"</f>
        <v>43542-8322</v>
      </c>
      <c r="G716" t="str">
        <f>"402019"</f>
        <v>402019</v>
      </c>
      <c r="H716" s="2">
        <f>10</f>
        <v>10</v>
      </c>
      <c r="I716" t="s">
        <v>27</v>
      </c>
      <c r="J716" t="s">
        <v>42</v>
      </c>
      <c r="K716" t="str">
        <f>"111537"</f>
        <v>111537</v>
      </c>
    </row>
    <row r="717" spans="1:11" x14ac:dyDescent="0.25">
      <c r="A717">
        <v>2021</v>
      </c>
      <c r="B717" t="s">
        <v>4278</v>
      </c>
      <c r="C717" t="s">
        <v>4279</v>
      </c>
      <c r="D717" t="s">
        <v>19</v>
      </c>
      <c r="E717" t="s">
        <v>20</v>
      </c>
      <c r="F717" t="str">
        <f>"43608"</f>
        <v>43608</v>
      </c>
      <c r="G717" t="str">
        <f>"Pio448069"</f>
        <v>Pio448069</v>
      </c>
      <c r="H717" s="2">
        <f>17.32</f>
        <v>17.32</v>
      </c>
      <c r="I717" t="s">
        <v>86</v>
      </c>
      <c r="J717" t="s">
        <v>87</v>
      </c>
      <c r="K717" t="str">
        <f>"0"</f>
        <v>0</v>
      </c>
    </row>
    <row r="718" spans="1:11" x14ac:dyDescent="0.25">
      <c r="A718">
        <v>2021</v>
      </c>
      <c r="B718" t="s">
        <v>4280</v>
      </c>
      <c r="C718" t="s">
        <v>4281</v>
      </c>
      <c r="D718" t="s">
        <v>19</v>
      </c>
      <c r="E718" t="s">
        <v>20</v>
      </c>
      <c r="F718" t="str">
        <f>"43609"</f>
        <v>43609</v>
      </c>
      <c r="G718" t="str">
        <f>"Pio448069"</f>
        <v>Pio448069</v>
      </c>
      <c r="H718" s="2">
        <f>63.5</f>
        <v>63.5</v>
      </c>
      <c r="I718" t="s">
        <v>86</v>
      </c>
      <c r="J718" t="s">
        <v>87</v>
      </c>
      <c r="K718" t="str">
        <f>"0"</f>
        <v>0</v>
      </c>
    </row>
    <row r="719" spans="1:11" x14ac:dyDescent="0.25">
      <c r="A719">
        <v>2021</v>
      </c>
      <c r="B719" t="s">
        <v>4282</v>
      </c>
      <c r="C719" t="s">
        <v>4283</v>
      </c>
      <c r="D719" t="s">
        <v>19</v>
      </c>
      <c r="E719" t="s">
        <v>20</v>
      </c>
      <c r="F719" t="str">
        <f>"43614-4025"</f>
        <v>43614-4025</v>
      </c>
      <c r="G719" t="str">
        <f>"402019"</f>
        <v>402019</v>
      </c>
      <c r="H719" s="2">
        <f>10</f>
        <v>10</v>
      </c>
      <c r="I719" t="s">
        <v>27</v>
      </c>
      <c r="J719" t="s">
        <v>42</v>
      </c>
      <c r="K719" t="str">
        <f>"112534"</f>
        <v>112534</v>
      </c>
    </row>
    <row r="720" spans="1:11" x14ac:dyDescent="0.25">
      <c r="A720">
        <v>2021</v>
      </c>
      <c r="B720" t="s">
        <v>4286</v>
      </c>
      <c r="C720" t="s">
        <v>438</v>
      </c>
      <c r="D720" t="s">
        <v>19</v>
      </c>
      <c r="E720" t="s">
        <v>20</v>
      </c>
      <c r="F720" t="str">
        <f>"43604"</f>
        <v>43604</v>
      </c>
      <c r="G720" t="str">
        <f>"Pio448069"</f>
        <v>Pio448069</v>
      </c>
      <c r="H720" s="2">
        <f>0.02</f>
        <v>0.02</v>
      </c>
      <c r="I720" t="s">
        <v>86</v>
      </c>
      <c r="J720" t="s">
        <v>87</v>
      </c>
      <c r="K720" t="str">
        <f>"0"</f>
        <v>0</v>
      </c>
    </row>
    <row r="721" spans="1:11" x14ac:dyDescent="0.25">
      <c r="A721">
        <v>2021</v>
      </c>
      <c r="B721" t="s">
        <v>4289</v>
      </c>
      <c r="C721" t="s">
        <v>4290</v>
      </c>
      <c r="D721" t="s">
        <v>58</v>
      </c>
      <c r="E721" t="s">
        <v>20</v>
      </c>
      <c r="F721" t="str">
        <f>"43616-2339"</f>
        <v>43616-2339</v>
      </c>
      <c r="G721" t="str">
        <f>"402019"</f>
        <v>402019</v>
      </c>
      <c r="H721" s="2">
        <f>10</f>
        <v>10</v>
      </c>
      <c r="I721" t="s">
        <v>27</v>
      </c>
      <c r="J721" t="s">
        <v>42</v>
      </c>
      <c r="K721" t="str">
        <f>"113965"</f>
        <v>113965</v>
      </c>
    </row>
    <row r="722" spans="1:11" x14ac:dyDescent="0.25">
      <c r="A722">
        <v>2021</v>
      </c>
      <c r="B722" t="s">
        <v>4297</v>
      </c>
      <c r="C722" t="s">
        <v>4298</v>
      </c>
      <c r="D722" t="s">
        <v>50</v>
      </c>
      <c r="E722" t="s">
        <v>20</v>
      </c>
      <c r="F722" t="str">
        <f>"43560"</f>
        <v>43560</v>
      </c>
      <c r="G722" t="str">
        <f>"402018"</f>
        <v>402018</v>
      </c>
      <c r="H722" s="2">
        <f>13.24</f>
        <v>13.24</v>
      </c>
      <c r="I722" t="s">
        <v>27</v>
      </c>
      <c r="J722" t="s">
        <v>171</v>
      </c>
      <c r="K722" t="str">
        <f>"515903"</f>
        <v>515903</v>
      </c>
    </row>
    <row r="723" spans="1:11" x14ac:dyDescent="0.25">
      <c r="A723">
        <v>2021</v>
      </c>
      <c r="B723" t="s">
        <v>4317</v>
      </c>
      <c r="C723" t="s">
        <v>4318</v>
      </c>
      <c r="D723" t="s">
        <v>19</v>
      </c>
      <c r="E723" t="s">
        <v>20</v>
      </c>
      <c r="F723" t="str">
        <f>"43613"</f>
        <v>43613</v>
      </c>
      <c r="G723" t="str">
        <f>"Je061721"</f>
        <v>Je061721</v>
      </c>
      <c r="H723" s="2">
        <f>66.28</f>
        <v>66.28</v>
      </c>
      <c r="I723" t="s">
        <v>15</v>
      </c>
      <c r="J723" t="s">
        <v>137</v>
      </c>
      <c r="K723" t="str">
        <f>"60005227"</f>
        <v>60005227</v>
      </c>
    </row>
    <row r="724" spans="1:11" x14ac:dyDescent="0.25">
      <c r="A724">
        <v>2021</v>
      </c>
      <c r="B724" t="s">
        <v>4329</v>
      </c>
      <c r="C724" t="s">
        <v>4330</v>
      </c>
      <c r="D724" t="s">
        <v>4331</v>
      </c>
      <c r="E724" t="s">
        <v>20</v>
      </c>
      <c r="F724" t="str">
        <f>"43410"</f>
        <v>43410</v>
      </c>
      <c r="G724" t="str">
        <f>"Pio448069"</f>
        <v>Pio448069</v>
      </c>
      <c r="H724" s="2">
        <f>74.33</f>
        <v>74.33</v>
      </c>
      <c r="I724" t="s">
        <v>86</v>
      </c>
      <c r="J724" t="s">
        <v>87</v>
      </c>
      <c r="K724" t="str">
        <f>"0"</f>
        <v>0</v>
      </c>
    </row>
    <row r="725" spans="1:11" x14ac:dyDescent="0.25">
      <c r="A725">
        <v>2021</v>
      </c>
      <c r="B725" t="s">
        <v>4334</v>
      </c>
      <c r="C725" t="s">
        <v>4335</v>
      </c>
      <c r="D725" t="s">
        <v>19</v>
      </c>
      <c r="E725" t="s">
        <v>20</v>
      </c>
      <c r="F725" t="str">
        <f>"43614"</f>
        <v>43614</v>
      </c>
      <c r="G725" t="str">
        <f>"Je092221"</f>
        <v>Je092221</v>
      </c>
      <c r="H725" s="2">
        <f>35</f>
        <v>35</v>
      </c>
      <c r="I725" t="s">
        <v>15</v>
      </c>
      <c r="J725" t="s">
        <v>114</v>
      </c>
      <c r="K725" t="str">
        <f>"60010950"</f>
        <v>60010950</v>
      </c>
    </row>
    <row r="726" spans="1:11" x14ac:dyDescent="0.25">
      <c r="A726">
        <v>2021</v>
      </c>
      <c r="B726" t="s">
        <v>4336</v>
      </c>
      <c r="C726" t="s">
        <v>4337</v>
      </c>
      <c r="D726" t="s">
        <v>4338</v>
      </c>
      <c r="E726" t="s">
        <v>14</v>
      </c>
      <c r="F726" t="str">
        <f>"48933"</f>
        <v>48933</v>
      </c>
      <c r="G726" t="str">
        <f>"402018"</f>
        <v>402018</v>
      </c>
      <c r="H726" s="2">
        <f>9.08</f>
        <v>9.08</v>
      </c>
      <c r="I726" t="s">
        <v>27</v>
      </c>
      <c r="J726" t="s">
        <v>171</v>
      </c>
      <c r="K726" t="str">
        <f>"517635"</f>
        <v>517635</v>
      </c>
    </row>
    <row r="727" spans="1:11" x14ac:dyDescent="0.25">
      <c r="A727">
        <v>2021</v>
      </c>
      <c r="B727" t="s">
        <v>4341</v>
      </c>
      <c r="C727" t="s">
        <v>1118</v>
      </c>
      <c r="D727" t="s">
        <v>19</v>
      </c>
      <c r="E727" t="s">
        <v>20</v>
      </c>
      <c r="F727" t="str">
        <f>"43612-2422"</f>
        <v>43612-2422</v>
      </c>
      <c r="G727" t="str">
        <f>"402019"</f>
        <v>402019</v>
      </c>
      <c r="H727" s="2">
        <f>20</f>
        <v>20</v>
      </c>
      <c r="I727" t="s">
        <v>27</v>
      </c>
      <c r="J727" t="s">
        <v>42</v>
      </c>
      <c r="K727" t="str">
        <f>"114189"</f>
        <v>114189</v>
      </c>
    </row>
    <row r="728" spans="1:11" x14ac:dyDescent="0.25">
      <c r="A728">
        <v>2021</v>
      </c>
      <c r="B728" t="s">
        <v>4360</v>
      </c>
      <c r="C728" t="s">
        <v>4361</v>
      </c>
      <c r="D728" t="s">
        <v>19</v>
      </c>
      <c r="E728" t="s">
        <v>20</v>
      </c>
      <c r="F728" t="str">
        <f>"43611-1896"</f>
        <v>43611-1896</v>
      </c>
      <c r="G728" t="str">
        <f>"402019"</f>
        <v>402019</v>
      </c>
      <c r="H728" s="2">
        <f>10</f>
        <v>10</v>
      </c>
      <c r="I728" t="s">
        <v>27</v>
      </c>
      <c r="J728" t="s">
        <v>42</v>
      </c>
      <c r="K728" t="str">
        <f>"115557"</f>
        <v>115557</v>
      </c>
    </row>
    <row r="729" spans="1:11" x14ac:dyDescent="0.25">
      <c r="A729">
        <v>2021</v>
      </c>
      <c r="B729" t="s">
        <v>4364</v>
      </c>
      <c r="C729" t="s">
        <v>4365</v>
      </c>
      <c r="D729" t="s">
        <v>19</v>
      </c>
      <c r="E729" t="s">
        <v>20</v>
      </c>
      <c r="F729" t="str">
        <f>"43606-4719"</f>
        <v>43606-4719</v>
      </c>
      <c r="G729" t="str">
        <f>"402019"</f>
        <v>402019</v>
      </c>
      <c r="H729" s="2">
        <f>10</f>
        <v>10</v>
      </c>
      <c r="I729" t="s">
        <v>27</v>
      </c>
      <c r="J729" t="s">
        <v>42</v>
      </c>
      <c r="K729" t="str">
        <f>"115651"</f>
        <v>115651</v>
      </c>
    </row>
    <row r="730" spans="1:11" x14ac:dyDescent="0.25">
      <c r="A730">
        <v>2021</v>
      </c>
      <c r="B730" t="s">
        <v>4366</v>
      </c>
      <c r="C730" t="s">
        <v>4367</v>
      </c>
      <c r="D730" t="s">
        <v>19</v>
      </c>
      <c r="E730" t="s">
        <v>20</v>
      </c>
      <c r="F730" t="str">
        <f>"43623-4109"</f>
        <v>43623-4109</v>
      </c>
      <c r="G730" t="str">
        <f>"402019"</f>
        <v>402019</v>
      </c>
      <c r="H730" s="2">
        <f>20</f>
        <v>20</v>
      </c>
      <c r="I730" t="s">
        <v>27</v>
      </c>
      <c r="J730" t="s">
        <v>42</v>
      </c>
      <c r="K730" t="str">
        <f>"115342"</f>
        <v>115342</v>
      </c>
    </row>
    <row r="731" spans="1:11" x14ac:dyDescent="0.25">
      <c r="A731">
        <v>2021</v>
      </c>
      <c r="B731" t="s">
        <v>4368</v>
      </c>
      <c r="C731" t="s">
        <v>4369</v>
      </c>
      <c r="D731" t="s">
        <v>4271</v>
      </c>
      <c r="E731" t="s">
        <v>14</v>
      </c>
      <c r="F731" t="str">
        <f>"48144"</f>
        <v>48144</v>
      </c>
      <c r="G731" t="str">
        <f>"402018"</f>
        <v>402018</v>
      </c>
      <c r="H731" s="2">
        <f>9.08</f>
        <v>9.08</v>
      </c>
      <c r="I731" t="s">
        <v>27</v>
      </c>
      <c r="J731" t="s">
        <v>171</v>
      </c>
      <c r="K731" t="str">
        <f>"517636"</f>
        <v>517636</v>
      </c>
    </row>
    <row r="732" spans="1:11" x14ac:dyDescent="0.25">
      <c r="A732">
        <v>2021</v>
      </c>
      <c r="B732" t="s">
        <v>4394</v>
      </c>
      <c r="C732" t="s">
        <v>4395</v>
      </c>
      <c r="D732" t="s">
        <v>19</v>
      </c>
      <c r="E732" t="s">
        <v>20</v>
      </c>
      <c r="F732" t="str">
        <f>"43614-5419"</f>
        <v>43614-5419</v>
      </c>
      <c r="G732" t="str">
        <f>"402019"</f>
        <v>402019</v>
      </c>
      <c r="H732" s="2">
        <f>20</f>
        <v>20</v>
      </c>
      <c r="I732" t="s">
        <v>27</v>
      </c>
      <c r="J732" t="s">
        <v>42</v>
      </c>
      <c r="K732" t="str">
        <f>"112432"</f>
        <v>112432</v>
      </c>
    </row>
    <row r="733" spans="1:11" x14ac:dyDescent="0.25">
      <c r="A733">
        <v>2021</v>
      </c>
      <c r="B733" t="s">
        <v>4396</v>
      </c>
      <c r="C733" t="s">
        <v>4397</v>
      </c>
      <c r="F733" t="str">
        <f>""</f>
        <v/>
      </c>
      <c r="G733" t="str">
        <f>"Swucf4621"</f>
        <v>Swucf4621</v>
      </c>
      <c r="H733" s="2">
        <f>5.8</f>
        <v>5.8</v>
      </c>
      <c r="I733" t="s">
        <v>15</v>
      </c>
      <c r="J733" t="s">
        <v>81</v>
      </c>
      <c r="K733" t="str">
        <f>"6297704"</f>
        <v>6297704</v>
      </c>
    </row>
    <row r="734" spans="1:11" x14ac:dyDescent="0.25">
      <c r="A734">
        <v>2021</v>
      </c>
      <c r="B734" t="s">
        <v>4402</v>
      </c>
      <c r="C734" t="s">
        <v>4403</v>
      </c>
      <c r="D734" t="s">
        <v>19</v>
      </c>
      <c r="E734" t="s">
        <v>20</v>
      </c>
      <c r="F734" t="str">
        <f>"43604"</f>
        <v>43604</v>
      </c>
      <c r="G734" t="str">
        <f>"Pio448069"</f>
        <v>Pio448069</v>
      </c>
      <c r="H734" s="2">
        <f>2.5</f>
        <v>2.5</v>
      </c>
      <c r="I734" t="s">
        <v>86</v>
      </c>
      <c r="J734" t="s">
        <v>87</v>
      </c>
      <c r="K734" t="str">
        <f>"0"</f>
        <v>0</v>
      </c>
    </row>
    <row r="735" spans="1:11" x14ac:dyDescent="0.25">
      <c r="A735">
        <v>2021</v>
      </c>
      <c r="B735" t="s">
        <v>4406</v>
      </c>
      <c r="C735" t="s">
        <v>4407</v>
      </c>
      <c r="D735" t="s">
        <v>4408</v>
      </c>
      <c r="E735" t="s">
        <v>4409</v>
      </c>
      <c r="F735" t="str">
        <f>"73008"</f>
        <v>73008</v>
      </c>
      <c r="G735" t="str">
        <f>"402018"</f>
        <v>402018</v>
      </c>
      <c r="H735" s="2">
        <f>10</f>
        <v>10</v>
      </c>
      <c r="I735" t="s">
        <v>27</v>
      </c>
      <c r="J735" t="s">
        <v>171</v>
      </c>
      <c r="K735" t="str">
        <f>"515785"</f>
        <v>515785</v>
      </c>
    </row>
    <row r="736" spans="1:11" x14ac:dyDescent="0.25">
      <c r="A736">
        <v>2021</v>
      </c>
      <c r="B736" t="s">
        <v>4406</v>
      </c>
      <c r="C736" t="s">
        <v>4410</v>
      </c>
      <c r="D736" t="s">
        <v>4408</v>
      </c>
      <c r="E736" t="s">
        <v>4409</v>
      </c>
      <c r="F736" t="str">
        <f>"73008"</f>
        <v>73008</v>
      </c>
      <c r="G736" t="str">
        <f>"402018"</f>
        <v>402018</v>
      </c>
      <c r="H736" s="2">
        <f>5</f>
        <v>5</v>
      </c>
      <c r="I736" t="s">
        <v>27</v>
      </c>
      <c r="J736" t="s">
        <v>171</v>
      </c>
      <c r="K736" t="str">
        <f>"518259"</f>
        <v>518259</v>
      </c>
    </row>
    <row r="737" spans="1:11" x14ac:dyDescent="0.25">
      <c r="A737">
        <v>2021</v>
      </c>
      <c r="B737" t="s">
        <v>4406</v>
      </c>
      <c r="C737" t="s">
        <v>4410</v>
      </c>
      <c r="D737" t="s">
        <v>4408</v>
      </c>
      <c r="E737" t="s">
        <v>4409</v>
      </c>
      <c r="F737" t="str">
        <f>"73008"</f>
        <v>73008</v>
      </c>
      <c r="G737" t="str">
        <f>"402018"</f>
        <v>402018</v>
      </c>
      <c r="H737" s="2">
        <f>10</f>
        <v>10</v>
      </c>
      <c r="I737" t="s">
        <v>27</v>
      </c>
      <c r="J737" t="s">
        <v>171</v>
      </c>
      <c r="K737" t="str">
        <f>"516061"</f>
        <v>516061</v>
      </c>
    </row>
    <row r="738" spans="1:11" x14ac:dyDescent="0.25">
      <c r="A738">
        <v>2021</v>
      </c>
      <c r="B738" t="s">
        <v>4406</v>
      </c>
      <c r="C738" t="s">
        <v>4410</v>
      </c>
      <c r="D738" t="s">
        <v>4408</v>
      </c>
      <c r="E738" t="s">
        <v>4409</v>
      </c>
      <c r="F738" t="str">
        <f>"73008"</f>
        <v>73008</v>
      </c>
      <c r="G738" t="str">
        <f>"402018"</f>
        <v>402018</v>
      </c>
      <c r="H738" s="2">
        <f>5</f>
        <v>5</v>
      </c>
      <c r="I738" t="s">
        <v>27</v>
      </c>
      <c r="J738" t="s">
        <v>171</v>
      </c>
      <c r="K738" t="str">
        <f>"516840"</f>
        <v>516840</v>
      </c>
    </row>
    <row r="739" spans="1:11" x14ac:dyDescent="0.25">
      <c r="A739">
        <v>2021</v>
      </c>
      <c r="B739" t="s">
        <v>4413</v>
      </c>
      <c r="C739" t="s">
        <v>4414</v>
      </c>
      <c r="D739" t="s">
        <v>19</v>
      </c>
      <c r="E739" t="s">
        <v>20</v>
      </c>
      <c r="F739" t="str">
        <f>"43604"</f>
        <v>43604</v>
      </c>
      <c r="G739" t="str">
        <f>"Pio448069"</f>
        <v>Pio448069</v>
      </c>
      <c r="H739" s="2">
        <f>1</f>
        <v>1</v>
      </c>
      <c r="I739" t="s">
        <v>86</v>
      </c>
      <c r="J739" t="s">
        <v>87</v>
      </c>
      <c r="K739" t="str">
        <f>"0"</f>
        <v>0</v>
      </c>
    </row>
    <row r="740" spans="1:11" x14ac:dyDescent="0.25">
      <c r="A740">
        <v>2021</v>
      </c>
      <c r="B740" t="s">
        <v>4415</v>
      </c>
      <c r="C740" t="s">
        <v>4416</v>
      </c>
      <c r="D740" t="s">
        <v>19</v>
      </c>
      <c r="E740" t="s">
        <v>20</v>
      </c>
      <c r="F740" t="str">
        <f>"43615"</f>
        <v>43615</v>
      </c>
      <c r="G740" t="str">
        <f>"Pio448069"</f>
        <v>Pio448069</v>
      </c>
      <c r="H740" s="2">
        <f>53.9</f>
        <v>53.9</v>
      </c>
      <c r="I740" t="s">
        <v>86</v>
      </c>
      <c r="J740" t="s">
        <v>87</v>
      </c>
      <c r="K740" t="str">
        <f>"0"</f>
        <v>0</v>
      </c>
    </row>
    <row r="741" spans="1:11" x14ac:dyDescent="0.25">
      <c r="A741">
        <v>2021</v>
      </c>
      <c r="B741" t="s">
        <v>4417</v>
      </c>
      <c r="C741" t="s">
        <v>4418</v>
      </c>
      <c r="D741" t="s">
        <v>50</v>
      </c>
      <c r="E741" t="s">
        <v>20</v>
      </c>
      <c r="F741" t="str">
        <f>"43560-1245"</f>
        <v>43560-1245</v>
      </c>
      <c r="G741" t="str">
        <f>"402019"</f>
        <v>402019</v>
      </c>
      <c r="H741" s="2">
        <f>10</f>
        <v>10</v>
      </c>
      <c r="I741" t="s">
        <v>27</v>
      </c>
      <c r="J741" t="s">
        <v>42</v>
      </c>
      <c r="K741" t="str">
        <f>"114615"</f>
        <v>114615</v>
      </c>
    </row>
    <row r="742" spans="1:11" x14ac:dyDescent="0.25">
      <c r="A742">
        <v>2021</v>
      </c>
      <c r="B742" t="s">
        <v>4429</v>
      </c>
      <c r="C742" t="s">
        <v>4430</v>
      </c>
      <c r="D742" t="s">
        <v>19</v>
      </c>
      <c r="E742" t="s">
        <v>20</v>
      </c>
      <c r="F742" t="str">
        <f>"43604"</f>
        <v>43604</v>
      </c>
      <c r="G742" t="str">
        <f>"Pio448069"</f>
        <v>Pio448069</v>
      </c>
      <c r="H742" s="2">
        <f>9.61</f>
        <v>9.61</v>
      </c>
      <c r="I742" t="s">
        <v>86</v>
      </c>
      <c r="J742" t="s">
        <v>87</v>
      </c>
      <c r="K742" t="str">
        <f>"0"</f>
        <v>0</v>
      </c>
    </row>
    <row r="743" spans="1:11" x14ac:dyDescent="0.25">
      <c r="A743">
        <v>2021</v>
      </c>
      <c r="B743" t="s">
        <v>4431</v>
      </c>
      <c r="C743" t="s">
        <v>4432</v>
      </c>
      <c r="D743" t="s">
        <v>4433</v>
      </c>
      <c r="E743" t="s">
        <v>20</v>
      </c>
      <c r="F743" t="str">
        <f>"44720"</f>
        <v>44720</v>
      </c>
      <c r="G743" t="str">
        <f>"402017"</f>
        <v>402017</v>
      </c>
      <c r="H743" s="2">
        <f>20</f>
        <v>20</v>
      </c>
      <c r="I743" t="s">
        <v>27</v>
      </c>
      <c r="J743" t="s">
        <v>212</v>
      </c>
      <c r="K743" t="str">
        <f>"34574"</f>
        <v>34574</v>
      </c>
    </row>
    <row r="744" spans="1:11" x14ac:dyDescent="0.25">
      <c r="A744">
        <v>2021</v>
      </c>
      <c r="B744" t="s">
        <v>4440</v>
      </c>
      <c r="C744" t="s">
        <v>4441</v>
      </c>
      <c r="D744" t="s">
        <v>19</v>
      </c>
      <c r="E744" t="s">
        <v>20</v>
      </c>
      <c r="F744" t="str">
        <f>"43608"</f>
        <v>43608</v>
      </c>
      <c r="G744" t="str">
        <f>"Pio448069"</f>
        <v>Pio448069</v>
      </c>
      <c r="H744" s="2">
        <f>2.89</f>
        <v>2.89</v>
      </c>
      <c r="I744" t="s">
        <v>86</v>
      </c>
      <c r="J744" t="s">
        <v>87</v>
      </c>
      <c r="K744" t="str">
        <f>"0"</f>
        <v>0</v>
      </c>
    </row>
    <row r="745" spans="1:11" x14ac:dyDescent="0.25">
      <c r="A745">
        <v>2021</v>
      </c>
      <c r="B745" t="s">
        <v>4448</v>
      </c>
      <c r="C745" t="s">
        <v>4449</v>
      </c>
      <c r="D745" t="s">
        <v>4450</v>
      </c>
      <c r="E745" t="s">
        <v>1837</v>
      </c>
      <c r="F745" t="str">
        <f>"14221"</f>
        <v>14221</v>
      </c>
      <c r="G745" t="str">
        <f>"Je061721"</f>
        <v>Je061721</v>
      </c>
      <c r="H745" s="2">
        <f>117.82</f>
        <v>117.82</v>
      </c>
      <c r="I745" t="s">
        <v>15</v>
      </c>
      <c r="J745" t="s">
        <v>137</v>
      </c>
      <c r="K745" t="str">
        <f>"60007253"</f>
        <v>60007253</v>
      </c>
    </row>
    <row r="746" spans="1:11" x14ac:dyDescent="0.25">
      <c r="A746">
        <v>2021</v>
      </c>
      <c r="B746" t="s">
        <v>4455</v>
      </c>
      <c r="C746" t="s">
        <v>4456</v>
      </c>
      <c r="D746" t="s">
        <v>19</v>
      </c>
      <c r="E746" t="s">
        <v>20</v>
      </c>
      <c r="F746" t="str">
        <f>"43614-2370"</f>
        <v>43614-2370</v>
      </c>
      <c r="G746" t="str">
        <f>"402019"</f>
        <v>402019</v>
      </c>
      <c r="H746" s="2">
        <f>10</f>
        <v>10</v>
      </c>
      <c r="I746" t="s">
        <v>27</v>
      </c>
      <c r="J746" t="s">
        <v>42</v>
      </c>
      <c r="K746" t="str">
        <f>"113948"</f>
        <v>113948</v>
      </c>
    </row>
    <row r="747" spans="1:11" x14ac:dyDescent="0.25">
      <c r="A747">
        <v>2021</v>
      </c>
      <c r="B747" t="s">
        <v>4460</v>
      </c>
      <c r="C747" t="s">
        <v>4461</v>
      </c>
      <c r="D747" t="s">
        <v>4462</v>
      </c>
      <c r="E747" t="s">
        <v>20</v>
      </c>
      <c r="F747" t="str">
        <f>"43543-1469"</f>
        <v>43543-1469</v>
      </c>
      <c r="G747" t="str">
        <f>"Swucf4621"</f>
        <v>Swucf4621</v>
      </c>
      <c r="H747" s="2">
        <f>36.98</f>
        <v>36.979999999999997</v>
      </c>
      <c r="I747" t="s">
        <v>15</v>
      </c>
      <c r="J747" t="s">
        <v>81</v>
      </c>
      <c r="K747" t="str">
        <f>"6298355"</f>
        <v>6298355</v>
      </c>
    </row>
    <row r="748" spans="1:11" x14ac:dyDescent="0.25">
      <c r="A748">
        <v>2021</v>
      </c>
      <c r="B748" t="s">
        <v>4463</v>
      </c>
      <c r="C748" t="s">
        <v>4464</v>
      </c>
      <c r="D748" t="s">
        <v>45</v>
      </c>
      <c r="E748" t="s">
        <v>20</v>
      </c>
      <c r="F748" t="str">
        <f>"43542-9430"</f>
        <v>43542-9430</v>
      </c>
      <c r="G748" t="str">
        <f>"402019"</f>
        <v>402019</v>
      </c>
      <c r="H748" s="2">
        <f>10</f>
        <v>10</v>
      </c>
      <c r="I748" t="s">
        <v>27</v>
      </c>
      <c r="J748" t="s">
        <v>42</v>
      </c>
      <c r="K748" t="str">
        <f>"111508"</f>
        <v>111508</v>
      </c>
    </row>
    <row r="749" spans="1:11" x14ac:dyDescent="0.25">
      <c r="A749">
        <v>2021</v>
      </c>
      <c r="B749" t="s">
        <v>4474</v>
      </c>
      <c r="C749" t="s">
        <v>1053</v>
      </c>
      <c r="D749" t="s">
        <v>1054</v>
      </c>
      <c r="E749" t="s">
        <v>14</v>
      </c>
      <c r="F749" t="str">
        <f>"48182"</f>
        <v>48182</v>
      </c>
      <c r="G749" t="str">
        <f>"402063"</f>
        <v>402063</v>
      </c>
      <c r="H749" s="2">
        <f>5.81</f>
        <v>5.81</v>
      </c>
      <c r="I749" t="s">
        <v>27</v>
      </c>
      <c r="J749" t="s">
        <v>71</v>
      </c>
      <c r="K749" t="str">
        <f>"11002876"</f>
        <v>11002876</v>
      </c>
    </row>
    <row r="750" spans="1:11" x14ac:dyDescent="0.25">
      <c r="A750">
        <v>2021</v>
      </c>
      <c r="B750" t="s">
        <v>4476</v>
      </c>
      <c r="C750" t="s">
        <v>4477</v>
      </c>
      <c r="D750" t="s">
        <v>19</v>
      </c>
      <c r="E750" t="s">
        <v>20</v>
      </c>
      <c r="F750" t="str">
        <f>"43604"</f>
        <v>43604</v>
      </c>
      <c r="G750" t="str">
        <f>"Pio448069"</f>
        <v>Pio448069</v>
      </c>
      <c r="H750" s="2">
        <f>0.04</f>
        <v>0.04</v>
      </c>
      <c r="I750" t="s">
        <v>86</v>
      </c>
      <c r="J750" t="s">
        <v>87</v>
      </c>
      <c r="K750" t="str">
        <f>"0"</f>
        <v>0</v>
      </c>
    </row>
    <row r="751" spans="1:11" x14ac:dyDescent="0.25">
      <c r="A751">
        <v>2021</v>
      </c>
      <c r="B751" t="s">
        <v>4480</v>
      </c>
      <c r="C751" t="s">
        <v>4481</v>
      </c>
      <c r="D751" t="s">
        <v>19</v>
      </c>
      <c r="E751" t="s">
        <v>20</v>
      </c>
      <c r="F751" t="str">
        <f>"43612"</f>
        <v>43612</v>
      </c>
      <c r="G751" t="str">
        <f>"Pio448069"</f>
        <v>Pio448069</v>
      </c>
      <c r="H751" s="2">
        <f>1.36</f>
        <v>1.36</v>
      </c>
      <c r="I751" t="s">
        <v>86</v>
      </c>
      <c r="J751" t="s">
        <v>87</v>
      </c>
      <c r="K751" t="str">
        <f>"0"</f>
        <v>0</v>
      </c>
    </row>
    <row r="752" spans="1:11" x14ac:dyDescent="0.25">
      <c r="A752">
        <v>2021</v>
      </c>
      <c r="B752" t="s">
        <v>4484</v>
      </c>
      <c r="C752" t="s">
        <v>4485</v>
      </c>
      <c r="D752" t="s">
        <v>19</v>
      </c>
      <c r="E752" t="s">
        <v>20</v>
      </c>
      <c r="F752" t="str">
        <f>"43608"</f>
        <v>43608</v>
      </c>
      <c r="G752" t="str">
        <f>"Pio448069"</f>
        <v>Pio448069</v>
      </c>
      <c r="H752" s="2">
        <f>10</f>
        <v>10</v>
      </c>
      <c r="I752" t="s">
        <v>86</v>
      </c>
      <c r="J752" t="s">
        <v>87</v>
      </c>
      <c r="K752" t="str">
        <f>"0"</f>
        <v>0</v>
      </c>
    </row>
    <row r="753" spans="1:11" x14ac:dyDescent="0.25">
      <c r="A753">
        <v>2021</v>
      </c>
      <c r="B753" t="s">
        <v>4486</v>
      </c>
      <c r="C753" t="s">
        <v>4487</v>
      </c>
      <c r="D753" t="s">
        <v>4488</v>
      </c>
      <c r="E753" t="s">
        <v>20</v>
      </c>
      <c r="F753" t="str">
        <f>"43502"</f>
        <v>43502</v>
      </c>
      <c r="G753" t="str">
        <f>"Pio448069"</f>
        <v>Pio448069</v>
      </c>
      <c r="H753" s="2">
        <f>2.69</f>
        <v>2.69</v>
      </c>
      <c r="I753" t="s">
        <v>86</v>
      </c>
      <c r="J753" t="s">
        <v>87</v>
      </c>
      <c r="K753" t="str">
        <f>"0"</f>
        <v>0</v>
      </c>
    </row>
    <row r="754" spans="1:11" x14ac:dyDescent="0.25">
      <c r="A754">
        <v>2021</v>
      </c>
      <c r="B754" t="s">
        <v>4495</v>
      </c>
      <c r="C754" t="s">
        <v>4496</v>
      </c>
      <c r="D754" t="s">
        <v>50</v>
      </c>
      <c r="E754" t="s">
        <v>20</v>
      </c>
      <c r="F754" t="str">
        <f>"43560"</f>
        <v>43560</v>
      </c>
      <c r="G754" t="str">
        <f>"402019"</f>
        <v>402019</v>
      </c>
      <c r="H754" s="2">
        <f>10</f>
        <v>10</v>
      </c>
      <c r="I754" t="s">
        <v>27</v>
      </c>
      <c r="J754" t="s">
        <v>42</v>
      </c>
      <c r="K754" t="str">
        <f>"114616"</f>
        <v>114616</v>
      </c>
    </row>
    <row r="755" spans="1:11" x14ac:dyDescent="0.25">
      <c r="A755">
        <v>2021</v>
      </c>
      <c r="B755" t="s">
        <v>4497</v>
      </c>
      <c r="C755" t="s">
        <v>4498</v>
      </c>
      <c r="D755" t="s">
        <v>105</v>
      </c>
      <c r="E755" t="s">
        <v>20</v>
      </c>
      <c r="F755" t="str">
        <f>"43528"</f>
        <v>43528</v>
      </c>
      <c r="G755" t="str">
        <f>"Pio448069"</f>
        <v>Pio448069</v>
      </c>
      <c r="H755" s="2">
        <f>0.8</f>
        <v>0.8</v>
      </c>
      <c r="I755" t="s">
        <v>86</v>
      </c>
      <c r="J755" t="s">
        <v>87</v>
      </c>
      <c r="K755" t="str">
        <f>"0"</f>
        <v>0</v>
      </c>
    </row>
    <row r="756" spans="1:11" x14ac:dyDescent="0.25">
      <c r="A756">
        <v>2021</v>
      </c>
      <c r="B756" t="s">
        <v>4499</v>
      </c>
      <c r="C756" t="s">
        <v>4500</v>
      </c>
      <c r="D756" t="s">
        <v>422</v>
      </c>
      <c r="E756" t="s">
        <v>20</v>
      </c>
      <c r="F756" t="str">
        <f>"44114"</f>
        <v>44114</v>
      </c>
      <c r="G756" t="str">
        <f>"402017"</f>
        <v>402017</v>
      </c>
      <c r="H756" s="2">
        <f>65</f>
        <v>65</v>
      </c>
      <c r="I756" t="s">
        <v>27</v>
      </c>
      <c r="J756" t="s">
        <v>212</v>
      </c>
      <c r="K756" t="str">
        <f>"33014"</f>
        <v>33014</v>
      </c>
    </row>
    <row r="757" spans="1:11" x14ac:dyDescent="0.25">
      <c r="A757">
        <v>2021</v>
      </c>
      <c r="B757" t="s">
        <v>4501</v>
      </c>
      <c r="C757" t="s">
        <v>4502</v>
      </c>
      <c r="D757" t="s">
        <v>19</v>
      </c>
      <c r="E757" t="s">
        <v>20</v>
      </c>
      <c r="F757" t="str">
        <f>"43604"</f>
        <v>43604</v>
      </c>
      <c r="G757" t="str">
        <f>"Pio448069"</f>
        <v>Pio448069</v>
      </c>
      <c r="H757" s="2">
        <f>4.84</f>
        <v>4.84</v>
      </c>
      <c r="I757" t="s">
        <v>86</v>
      </c>
      <c r="J757" t="s">
        <v>87</v>
      </c>
      <c r="K757" t="str">
        <f>"0"</f>
        <v>0</v>
      </c>
    </row>
    <row r="758" spans="1:11" x14ac:dyDescent="0.25">
      <c r="A758">
        <v>2021</v>
      </c>
      <c r="B758" t="s">
        <v>4503</v>
      </c>
      <c r="C758" t="s">
        <v>4504</v>
      </c>
      <c r="F758" t="str">
        <f>""</f>
        <v/>
      </c>
      <c r="G758" t="str">
        <f>"Swucf4621"</f>
        <v>Swucf4621</v>
      </c>
      <c r="H758" s="2">
        <f>46.4</f>
        <v>46.4</v>
      </c>
      <c r="I758" t="s">
        <v>15</v>
      </c>
      <c r="J758" t="s">
        <v>81</v>
      </c>
      <c r="K758" t="str">
        <f>"6292892"</f>
        <v>6292892</v>
      </c>
    </row>
    <row r="759" spans="1:11" x14ac:dyDescent="0.25">
      <c r="A759">
        <v>2021</v>
      </c>
      <c r="B759" t="s">
        <v>4505</v>
      </c>
      <c r="C759" t="s">
        <v>153</v>
      </c>
      <c r="D759" t="s">
        <v>19</v>
      </c>
      <c r="E759" t="s">
        <v>20</v>
      </c>
      <c r="F759" t="str">
        <f>"11111"</f>
        <v>11111</v>
      </c>
      <c r="G759" t="str">
        <f>"Pio448069"</f>
        <v>Pio448069</v>
      </c>
      <c r="H759" s="2">
        <f>20</f>
        <v>20</v>
      </c>
      <c r="I759" t="s">
        <v>86</v>
      </c>
      <c r="J759" t="s">
        <v>87</v>
      </c>
      <c r="K759" t="str">
        <f>"0"</f>
        <v>0</v>
      </c>
    </row>
    <row r="760" spans="1:11" x14ac:dyDescent="0.25">
      <c r="A760">
        <v>2021</v>
      </c>
      <c r="B760" t="s">
        <v>4506</v>
      </c>
      <c r="C760" t="s">
        <v>4507</v>
      </c>
      <c r="D760" t="s">
        <v>4508</v>
      </c>
      <c r="E760" t="s">
        <v>20</v>
      </c>
      <c r="F760" t="str">
        <f>"43469"</f>
        <v>43469</v>
      </c>
      <c r="G760" t="str">
        <f>"402018"</f>
        <v>402018</v>
      </c>
      <c r="H760" s="2">
        <f>20</f>
        <v>20</v>
      </c>
      <c r="I760" t="s">
        <v>27</v>
      </c>
      <c r="J760" t="s">
        <v>171</v>
      </c>
      <c r="K760" t="str">
        <f>"518184"</f>
        <v>518184</v>
      </c>
    </row>
    <row r="761" spans="1:11" x14ac:dyDescent="0.25">
      <c r="A761">
        <v>2021</v>
      </c>
      <c r="B761" t="s">
        <v>4506</v>
      </c>
      <c r="C761" t="s">
        <v>4507</v>
      </c>
      <c r="D761" t="s">
        <v>4508</v>
      </c>
      <c r="E761" t="s">
        <v>20</v>
      </c>
      <c r="F761" t="str">
        <f>"43469"</f>
        <v>43469</v>
      </c>
      <c r="G761" t="str">
        <f>"402018"</f>
        <v>402018</v>
      </c>
      <c r="H761" s="2">
        <f>20</f>
        <v>20</v>
      </c>
      <c r="I761" t="s">
        <v>27</v>
      </c>
      <c r="J761" t="s">
        <v>171</v>
      </c>
      <c r="K761" t="str">
        <f>"517955"</f>
        <v>517955</v>
      </c>
    </row>
    <row r="762" spans="1:11" x14ac:dyDescent="0.25">
      <c r="A762">
        <v>2021</v>
      </c>
      <c r="B762" t="s">
        <v>4506</v>
      </c>
      <c r="C762" t="s">
        <v>4507</v>
      </c>
      <c r="D762" t="s">
        <v>4508</v>
      </c>
      <c r="E762" t="s">
        <v>20</v>
      </c>
      <c r="F762" t="str">
        <f>"43469"</f>
        <v>43469</v>
      </c>
      <c r="G762" t="str">
        <f>"402018"</f>
        <v>402018</v>
      </c>
      <c r="H762" s="2">
        <f>20</f>
        <v>20</v>
      </c>
      <c r="I762" t="s">
        <v>27</v>
      </c>
      <c r="J762" t="s">
        <v>171</v>
      </c>
      <c r="K762" t="str">
        <f>"517113"</f>
        <v>517113</v>
      </c>
    </row>
    <row r="763" spans="1:11" x14ac:dyDescent="0.25">
      <c r="A763">
        <v>2021</v>
      </c>
      <c r="B763" t="s">
        <v>4506</v>
      </c>
      <c r="C763" t="s">
        <v>4507</v>
      </c>
      <c r="D763" t="s">
        <v>4508</v>
      </c>
      <c r="E763" t="s">
        <v>20</v>
      </c>
      <c r="F763" t="str">
        <f>"43469"</f>
        <v>43469</v>
      </c>
      <c r="G763" t="str">
        <f>"402018"</f>
        <v>402018</v>
      </c>
      <c r="H763" s="2">
        <f>20</f>
        <v>20</v>
      </c>
      <c r="I763" t="s">
        <v>27</v>
      </c>
      <c r="J763" t="s">
        <v>171</v>
      </c>
      <c r="K763" t="str">
        <f>"517400"</f>
        <v>517400</v>
      </c>
    </row>
    <row r="764" spans="1:11" x14ac:dyDescent="0.25">
      <c r="A764">
        <v>2021</v>
      </c>
      <c r="B764" t="s">
        <v>4506</v>
      </c>
      <c r="C764" t="s">
        <v>4507</v>
      </c>
      <c r="D764" t="s">
        <v>4508</v>
      </c>
      <c r="E764" t="s">
        <v>20</v>
      </c>
      <c r="F764" t="str">
        <f>"43469"</f>
        <v>43469</v>
      </c>
      <c r="G764" t="str">
        <f>"402018"</f>
        <v>402018</v>
      </c>
      <c r="H764" s="2">
        <f>20</f>
        <v>20</v>
      </c>
      <c r="I764" t="s">
        <v>27</v>
      </c>
      <c r="J764" t="s">
        <v>171</v>
      </c>
      <c r="K764" t="str">
        <f>"517546"</f>
        <v>517546</v>
      </c>
    </row>
    <row r="765" spans="1:11" x14ac:dyDescent="0.25">
      <c r="A765">
        <v>2021</v>
      </c>
      <c r="B765" t="s">
        <v>4512</v>
      </c>
      <c r="C765" t="s">
        <v>4513</v>
      </c>
      <c r="D765" t="s">
        <v>19</v>
      </c>
      <c r="E765" t="s">
        <v>20</v>
      </c>
      <c r="F765" t="str">
        <f>"43606"</f>
        <v>43606</v>
      </c>
      <c r="G765" t="str">
        <f>"Pio448069"</f>
        <v>Pio448069</v>
      </c>
      <c r="H765" s="2">
        <f>1</f>
        <v>1</v>
      </c>
      <c r="I765" t="s">
        <v>86</v>
      </c>
      <c r="J765" t="s">
        <v>87</v>
      </c>
      <c r="K765" t="str">
        <f>"0"</f>
        <v>0</v>
      </c>
    </row>
    <row r="766" spans="1:11" x14ac:dyDescent="0.25">
      <c r="A766">
        <v>2021</v>
      </c>
      <c r="B766" t="s">
        <v>4516</v>
      </c>
      <c r="C766" t="s">
        <v>4517</v>
      </c>
      <c r="D766" t="s">
        <v>19</v>
      </c>
      <c r="E766" t="s">
        <v>20</v>
      </c>
      <c r="F766" t="str">
        <f>"43604"</f>
        <v>43604</v>
      </c>
      <c r="G766" t="str">
        <f>"Pio448069"</f>
        <v>Pio448069</v>
      </c>
      <c r="H766" s="2">
        <f>15</f>
        <v>15</v>
      </c>
      <c r="I766" t="s">
        <v>86</v>
      </c>
      <c r="J766" t="s">
        <v>87</v>
      </c>
      <c r="K766" t="str">
        <f>"0"</f>
        <v>0</v>
      </c>
    </row>
    <row r="767" spans="1:11" x14ac:dyDescent="0.25">
      <c r="A767">
        <v>2021</v>
      </c>
      <c r="B767" t="s">
        <v>4518</v>
      </c>
      <c r="C767" t="s">
        <v>4519</v>
      </c>
      <c r="D767" t="s">
        <v>19</v>
      </c>
      <c r="E767" t="s">
        <v>20</v>
      </c>
      <c r="F767" t="str">
        <f>"43605"</f>
        <v>43605</v>
      </c>
      <c r="G767" t="str">
        <f>"Bwucf4621"</f>
        <v>Bwucf4621</v>
      </c>
      <c r="H767" s="2">
        <f>2.06</f>
        <v>2.06</v>
      </c>
      <c r="I767" t="s">
        <v>15</v>
      </c>
      <c r="J767" t="s">
        <v>295</v>
      </c>
      <c r="K767" t="str">
        <f>"01433408"</f>
        <v>01433408</v>
      </c>
    </row>
    <row r="768" spans="1:11" x14ac:dyDescent="0.25">
      <c r="A768">
        <v>2021</v>
      </c>
      <c r="B768" t="s">
        <v>4524</v>
      </c>
      <c r="C768" t="s">
        <v>4525</v>
      </c>
      <c r="D768" t="s">
        <v>19</v>
      </c>
      <c r="E768" t="s">
        <v>20</v>
      </c>
      <c r="F768" t="str">
        <f>"43620"</f>
        <v>43620</v>
      </c>
      <c r="G768" t="str">
        <f>"Pio448069"</f>
        <v>Pio448069</v>
      </c>
      <c r="H768" s="2">
        <f>4</f>
        <v>4</v>
      </c>
      <c r="I768" t="s">
        <v>86</v>
      </c>
      <c r="J768" t="s">
        <v>87</v>
      </c>
      <c r="K768" t="str">
        <f>"0"</f>
        <v>0</v>
      </c>
    </row>
    <row r="769" spans="1:11" x14ac:dyDescent="0.25">
      <c r="A769">
        <v>2021</v>
      </c>
      <c r="B769" t="s">
        <v>4526</v>
      </c>
      <c r="C769" t="s">
        <v>4527</v>
      </c>
      <c r="D769" t="s">
        <v>19</v>
      </c>
      <c r="E769" t="s">
        <v>20</v>
      </c>
      <c r="F769" t="str">
        <f>"43617"</f>
        <v>43617</v>
      </c>
      <c r="G769" t="str">
        <f>"402018"</f>
        <v>402018</v>
      </c>
      <c r="H769" s="2">
        <f>2.5</f>
        <v>2.5</v>
      </c>
      <c r="I769" t="s">
        <v>27</v>
      </c>
      <c r="J769" t="s">
        <v>171</v>
      </c>
      <c r="K769" t="str">
        <f>"515472"</f>
        <v>515472</v>
      </c>
    </row>
    <row r="770" spans="1:11" x14ac:dyDescent="0.25">
      <c r="A770">
        <v>2021</v>
      </c>
      <c r="B770" t="s">
        <v>4526</v>
      </c>
      <c r="C770" t="s">
        <v>4527</v>
      </c>
      <c r="D770" t="s">
        <v>19</v>
      </c>
      <c r="E770" t="s">
        <v>20</v>
      </c>
      <c r="F770" t="str">
        <f>"43617"</f>
        <v>43617</v>
      </c>
      <c r="G770" t="str">
        <f>"402018"</f>
        <v>402018</v>
      </c>
      <c r="H770" s="2">
        <f>137.5</f>
        <v>137.5</v>
      </c>
      <c r="I770" t="s">
        <v>27</v>
      </c>
      <c r="J770" t="s">
        <v>171</v>
      </c>
      <c r="K770" t="str">
        <f>"516487"</f>
        <v>516487</v>
      </c>
    </row>
    <row r="771" spans="1:11" x14ac:dyDescent="0.25">
      <c r="A771">
        <v>2021</v>
      </c>
      <c r="B771" t="s">
        <v>4534</v>
      </c>
      <c r="C771" t="s">
        <v>4535</v>
      </c>
      <c r="D771" t="s">
        <v>19</v>
      </c>
      <c r="E771" t="s">
        <v>20</v>
      </c>
      <c r="F771" t="str">
        <f>"43603"</f>
        <v>43603</v>
      </c>
      <c r="G771" t="str">
        <f>"402017"</f>
        <v>402017</v>
      </c>
      <c r="H771" s="2">
        <f>10.23</f>
        <v>10.23</v>
      </c>
      <c r="I771" t="s">
        <v>27</v>
      </c>
      <c r="J771" t="s">
        <v>212</v>
      </c>
      <c r="K771" t="str">
        <f>"35257"</f>
        <v>35257</v>
      </c>
    </row>
    <row r="772" spans="1:11" x14ac:dyDescent="0.25">
      <c r="A772">
        <v>2021</v>
      </c>
      <c r="B772" t="s">
        <v>4536</v>
      </c>
      <c r="C772" t="s">
        <v>4537</v>
      </c>
      <c r="D772" t="s">
        <v>19</v>
      </c>
      <c r="E772" t="s">
        <v>20</v>
      </c>
      <c r="F772" t="str">
        <f>"43608"</f>
        <v>43608</v>
      </c>
      <c r="G772" t="str">
        <f>"Pio448069"</f>
        <v>Pio448069</v>
      </c>
      <c r="H772" s="2">
        <f>1.29</f>
        <v>1.29</v>
      </c>
      <c r="I772" t="s">
        <v>86</v>
      </c>
      <c r="J772" t="s">
        <v>87</v>
      </c>
      <c r="K772" t="str">
        <f>"0"</f>
        <v>0</v>
      </c>
    </row>
    <row r="773" spans="1:11" x14ac:dyDescent="0.25">
      <c r="A773">
        <v>2021</v>
      </c>
      <c r="B773" t="s">
        <v>4540</v>
      </c>
      <c r="C773" t="s">
        <v>4541</v>
      </c>
      <c r="D773" t="s">
        <v>19</v>
      </c>
      <c r="E773" t="s">
        <v>20</v>
      </c>
      <c r="F773" t="str">
        <f>"43697"</f>
        <v>43697</v>
      </c>
      <c r="G773" t="str">
        <f>"402017"</f>
        <v>402017</v>
      </c>
      <c r="H773" s="2">
        <f>12.34</f>
        <v>12.34</v>
      </c>
      <c r="I773" t="s">
        <v>27</v>
      </c>
      <c r="J773" t="s">
        <v>212</v>
      </c>
      <c r="K773" t="str">
        <f>"34751"</f>
        <v>34751</v>
      </c>
    </row>
    <row r="774" spans="1:11" x14ac:dyDescent="0.25">
      <c r="A774">
        <v>2021</v>
      </c>
      <c r="B774" t="s">
        <v>4542</v>
      </c>
      <c r="C774" t="s">
        <v>4543</v>
      </c>
      <c r="D774" t="s">
        <v>4544</v>
      </c>
      <c r="E774" t="s">
        <v>4545</v>
      </c>
      <c r="F774" t="str">
        <f>"35758"</f>
        <v>35758</v>
      </c>
      <c r="G774" t="str">
        <f>"402018"</f>
        <v>402018</v>
      </c>
      <c r="H774" s="2">
        <f>5</f>
        <v>5</v>
      </c>
      <c r="I774" t="s">
        <v>27</v>
      </c>
      <c r="J774" t="s">
        <v>171</v>
      </c>
      <c r="K774" t="str">
        <f>"516336"</f>
        <v>516336</v>
      </c>
    </row>
    <row r="775" spans="1:11" x14ac:dyDescent="0.25">
      <c r="A775">
        <v>2021</v>
      </c>
      <c r="B775" t="s">
        <v>4542</v>
      </c>
      <c r="C775" t="s">
        <v>4543</v>
      </c>
      <c r="D775" t="s">
        <v>4544</v>
      </c>
      <c r="E775" t="s">
        <v>4545</v>
      </c>
      <c r="F775" t="str">
        <f>"35758"</f>
        <v>35758</v>
      </c>
      <c r="G775" t="str">
        <f>"402018"</f>
        <v>402018</v>
      </c>
      <c r="H775" s="2">
        <f>5</f>
        <v>5</v>
      </c>
      <c r="I775" t="s">
        <v>27</v>
      </c>
      <c r="J775" t="s">
        <v>171</v>
      </c>
      <c r="K775" t="str">
        <f>"515528"</f>
        <v>515528</v>
      </c>
    </row>
    <row r="776" spans="1:11" x14ac:dyDescent="0.25">
      <c r="A776">
        <v>2021</v>
      </c>
      <c r="B776" t="s">
        <v>4542</v>
      </c>
      <c r="C776" t="s">
        <v>4543</v>
      </c>
      <c r="D776" t="s">
        <v>4544</v>
      </c>
      <c r="E776" t="s">
        <v>4545</v>
      </c>
      <c r="F776" t="str">
        <f>"35758"</f>
        <v>35758</v>
      </c>
      <c r="G776" t="str">
        <f>"402018"</f>
        <v>402018</v>
      </c>
      <c r="H776" s="2">
        <f>5</f>
        <v>5</v>
      </c>
      <c r="I776" t="s">
        <v>27</v>
      </c>
      <c r="J776" t="s">
        <v>171</v>
      </c>
      <c r="K776" t="str">
        <f>"515351"</f>
        <v>515351</v>
      </c>
    </row>
    <row r="777" spans="1:11" x14ac:dyDescent="0.25">
      <c r="A777">
        <v>2021</v>
      </c>
      <c r="B777" t="s">
        <v>4542</v>
      </c>
      <c r="C777" t="s">
        <v>4543</v>
      </c>
      <c r="D777" t="s">
        <v>4544</v>
      </c>
      <c r="E777" t="s">
        <v>4545</v>
      </c>
      <c r="F777" t="str">
        <f>"35758"</f>
        <v>35758</v>
      </c>
      <c r="G777" t="str">
        <f>"402018"</f>
        <v>402018</v>
      </c>
      <c r="H777" s="2">
        <f>10</f>
        <v>10</v>
      </c>
      <c r="I777" t="s">
        <v>27</v>
      </c>
      <c r="J777" t="s">
        <v>171</v>
      </c>
      <c r="K777" t="str">
        <f>"515793"</f>
        <v>515793</v>
      </c>
    </row>
    <row r="778" spans="1:11" x14ac:dyDescent="0.25">
      <c r="A778">
        <v>2021</v>
      </c>
      <c r="B778" t="s">
        <v>4542</v>
      </c>
      <c r="C778" t="s">
        <v>4543</v>
      </c>
      <c r="D778" t="s">
        <v>4544</v>
      </c>
      <c r="E778" t="s">
        <v>4545</v>
      </c>
      <c r="F778" t="str">
        <f>"35758"</f>
        <v>35758</v>
      </c>
      <c r="G778" t="str">
        <f>"402018"</f>
        <v>402018</v>
      </c>
      <c r="H778" s="2">
        <f>5</f>
        <v>5</v>
      </c>
      <c r="I778" t="s">
        <v>27</v>
      </c>
      <c r="J778" t="s">
        <v>171</v>
      </c>
      <c r="K778" t="str">
        <f>"516625"</f>
        <v>516625</v>
      </c>
    </row>
    <row r="779" spans="1:11" x14ac:dyDescent="0.25">
      <c r="A779">
        <v>2021</v>
      </c>
      <c r="B779" t="s">
        <v>4553</v>
      </c>
      <c r="C779" t="s">
        <v>4554</v>
      </c>
      <c r="D779" t="s">
        <v>19</v>
      </c>
      <c r="E779" t="s">
        <v>20</v>
      </c>
      <c r="F779" t="str">
        <f>"43609"</f>
        <v>43609</v>
      </c>
      <c r="G779" t="str">
        <f>"Pio448069"</f>
        <v>Pio448069</v>
      </c>
      <c r="H779" s="2">
        <f>3</f>
        <v>3</v>
      </c>
      <c r="I779" t="s">
        <v>86</v>
      </c>
      <c r="J779" t="s">
        <v>87</v>
      </c>
      <c r="K779" t="str">
        <f>"0"</f>
        <v>0</v>
      </c>
    </row>
    <row r="780" spans="1:11" x14ac:dyDescent="0.25">
      <c r="A780">
        <v>2021</v>
      </c>
      <c r="B780" t="s">
        <v>4574</v>
      </c>
      <c r="C780" t="s">
        <v>4575</v>
      </c>
      <c r="D780" t="s">
        <v>19</v>
      </c>
      <c r="E780" t="s">
        <v>20</v>
      </c>
      <c r="F780" t="str">
        <f>"43604"</f>
        <v>43604</v>
      </c>
      <c r="G780" t="str">
        <f>"402017"</f>
        <v>402017</v>
      </c>
      <c r="H780" s="2">
        <f>7.33</f>
        <v>7.33</v>
      </c>
      <c r="I780" t="s">
        <v>27</v>
      </c>
      <c r="J780" t="s">
        <v>212</v>
      </c>
      <c r="K780" t="str">
        <f>"34414"</f>
        <v>34414</v>
      </c>
    </row>
    <row r="781" spans="1:11" x14ac:dyDescent="0.25">
      <c r="A781">
        <v>2021</v>
      </c>
      <c r="B781" t="s">
        <v>4586</v>
      </c>
      <c r="C781" t="s">
        <v>4587</v>
      </c>
      <c r="D781" t="s">
        <v>19</v>
      </c>
      <c r="E781" t="s">
        <v>20</v>
      </c>
      <c r="F781" t="str">
        <f>"43611-2818"</f>
        <v>43611-2818</v>
      </c>
      <c r="G781" t="str">
        <f>"402019"</f>
        <v>402019</v>
      </c>
      <c r="H781" s="2">
        <f>50</f>
        <v>50</v>
      </c>
      <c r="I781" t="s">
        <v>27</v>
      </c>
      <c r="J781" t="s">
        <v>42</v>
      </c>
      <c r="K781" t="str">
        <f>"113269"</f>
        <v>113269</v>
      </c>
    </row>
    <row r="782" spans="1:11" x14ac:dyDescent="0.25">
      <c r="A782">
        <v>2021</v>
      </c>
      <c r="B782" t="s">
        <v>4586</v>
      </c>
      <c r="C782" t="s">
        <v>4587</v>
      </c>
      <c r="D782" t="s">
        <v>19</v>
      </c>
      <c r="E782" t="s">
        <v>20</v>
      </c>
      <c r="F782" t="str">
        <f>"43611-2818"</f>
        <v>43611-2818</v>
      </c>
      <c r="G782" t="str">
        <f>"402019"</f>
        <v>402019</v>
      </c>
      <c r="H782" s="2">
        <f>50</f>
        <v>50</v>
      </c>
      <c r="I782" t="s">
        <v>27</v>
      </c>
      <c r="J782" t="s">
        <v>42</v>
      </c>
      <c r="K782" t="str">
        <f>"113290"</f>
        <v>113290</v>
      </c>
    </row>
    <row r="783" spans="1:11" x14ac:dyDescent="0.25">
      <c r="A783">
        <v>2021</v>
      </c>
      <c r="B783" t="s">
        <v>4592</v>
      </c>
      <c r="C783" t="s">
        <v>4593</v>
      </c>
      <c r="D783" t="s">
        <v>19</v>
      </c>
      <c r="E783" t="s">
        <v>20</v>
      </c>
      <c r="F783" t="str">
        <f>"43613-4428"</f>
        <v>43613-4428</v>
      </c>
      <c r="G783" t="str">
        <f>"402019"</f>
        <v>402019</v>
      </c>
      <c r="H783" s="2">
        <f>20</f>
        <v>20</v>
      </c>
      <c r="I783" t="s">
        <v>27</v>
      </c>
      <c r="J783" t="s">
        <v>42</v>
      </c>
      <c r="K783" t="str">
        <f>"112391"</f>
        <v>112391</v>
      </c>
    </row>
    <row r="784" spans="1:11" x14ac:dyDescent="0.25">
      <c r="A784">
        <v>2021</v>
      </c>
      <c r="B784" t="s">
        <v>4596</v>
      </c>
      <c r="C784" t="s">
        <v>4597</v>
      </c>
      <c r="D784" t="s">
        <v>19</v>
      </c>
      <c r="E784" t="s">
        <v>20</v>
      </c>
      <c r="F784" t="str">
        <f>"43604"</f>
        <v>43604</v>
      </c>
      <c r="G784" t="str">
        <f>"Pio448069"</f>
        <v>Pio448069</v>
      </c>
      <c r="H784" s="2">
        <f>5</f>
        <v>5</v>
      </c>
      <c r="I784" t="s">
        <v>86</v>
      </c>
      <c r="J784" t="s">
        <v>87</v>
      </c>
      <c r="K784" t="str">
        <f>"0"</f>
        <v>0</v>
      </c>
    </row>
    <row r="785" spans="1:11" x14ac:dyDescent="0.25">
      <c r="A785">
        <v>2021</v>
      </c>
      <c r="B785" t="s">
        <v>4603</v>
      </c>
      <c r="C785" t="s">
        <v>4604</v>
      </c>
      <c r="D785" t="s">
        <v>105</v>
      </c>
      <c r="E785" t="s">
        <v>20</v>
      </c>
      <c r="F785" t="str">
        <f>"43528"</f>
        <v>43528</v>
      </c>
      <c r="G785" t="str">
        <f>"402017"</f>
        <v>402017</v>
      </c>
      <c r="H785" s="2">
        <f>48.75</f>
        <v>48.75</v>
      </c>
      <c r="I785" t="s">
        <v>27</v>
      </c>
      <c r="J785" t="s">
        <v>212</v>
      </c>
      <c r="K785" t="str">
        <f>"35839"</f>
        <v>35839</v>
      </c>
    </row>
    <row r="786" spans="1:11" x14ac:dyDescent="0.25">
      <c r="A786">
        <v>2021</v>
      </c>
      <c r="B786" t="s">
        <v>4605</v>
      </c>
      <c r="C786" t="s">
        <v>4606</v>
      </c>
      <c r="D786" t="s">
        <v>19</v>
      </c>
      <c r="E786" t="s">
        <v>20</v>
      </c>
      <c r="F786" t="str">
        <f t="shared" ref="F786:F791" si="17">"43613"</f>
        <v>43613</v>
      </c>
      <c r="G786" t="str">
        <f t="shared" ref="G786:G791" si="18">"402018"</f>
        <v>402018</v>
      </c>
      <c r="H786" s="2">
        <f>1.67</f>
        <v>1.67</v>
      </c>
      <c r="I786" t="s">
        <v>27</v>
      </c>
      <c r="J786" t="s">
        <v>171</v>
      </c>
      <c r="K786" t="str">
        <f>"515659"</f>
        <v>515659</v>
      </c>
    </row>
    <row r="787" spans="1:11" x14ac:dyDescent="0.25">
      <c r="A787">
        <v>2021</v>
      </c>
      <c r="B787" t="s">
        <v>4605</v>
      </c>
      <c r="C787" t="s">
        <v>4606</v>
      </c>
      <c r="D787" t="s">
        <v>19</v>
      </c>
      <c r="E787" t="s">
        <v>20</v>
      </c>
      <c r="F787" t="str">
        <f t="shared" si="17"/>
        <v>43613</v>
      </c>
      <c r="G787" t="str">
        <f t="shared" si="18"/>
        <v>402018</v>
      </c>
      <c r="H787" s="2">
        <f>2.08</f>
        <v>2.08</v>
      </c>
      <c r="I787" t="s">
        <v>27</v>
      </c>
      <c r="J787" t="s">
        <v>171</v>
      </c>
      <c r="K787" t="str">
        <f>"516553"</f>
        <v>516553</v>
      </c>
    </row>
    <row r="788" spans="1:11" x14ac:dyDescent="0.25">
      <c r="A788">
        <v>2021</v>
      </c>
      <c r="B788" t="s">
        <v>4605</v>
      </c>
      <c r="C788" t="s">
        <v>4606</v>
      </c>
      <c r="D788" t="s">
        <v>19</v>
      </c>
      <c r="E788" t="s">
        <v>20</v>
      </c>
      <c r="F788" t="str">
        <f t="shared" si="17"/>
        <v>43613</v>
      </c>
      <c r="G788" t="str">
        <f t="shared" si="18"/>
        <v>402018</v>
      </c>
      <c r="H788" s="2">
        <f>1.82</f>
        <v>1.82</v>
      </c>
      <c r="I788" t="s">
        <v>27</v>
      </c>
      <c r="J788" t="s">
        <v>171</v>
      </c>
      <c r="K788" t="str">
        <f>"516990"</f>
        <v>516990</v>
      </c>
    </row>
    <row r="789" spans="1:11" x14ac:dyDescent="0.25">
      <c r="A789">
        <v>2021</v>
      </c>
      <c r="B789" t="s">
        <v>4605</v>
      </c>
      <c r="C789" t="s">
        <v>4606</v>
      </c>
      <c r="D789" t="s">
        <v>19</v>
      </c>
      <c r="E789" t="s">
        <v>20</v>
      </c>
      <c r="F789" t="str">
        <f t="shared" si="17"/>
        <v>43613</v>
      </c>
      <c r="G789" t="str">
        <f t="shared" si="18"/>
        <v>402018</v>
      </c>
      <c r="H789" s="2">
        <f>3.33</f>
        <v>3.33</v>
      </c>
      <c r="I789" t="s">
        <v>27</v>
      </c>
      <c r="J789" t="s">
        <v>171</v>
      </c>
      <c r="K789" t="str">
        <f>"516359"</f>
        <v>516359</v>
      </c>
    </row>
    <row r="790" spans="1:11" x14ac:dyDescent="0.25">
      <c r="A790">
        <v>2021</v>
      </c>
      <c r="B790" t="s">
        <v>4605</v>
      </c>
      <c r="C790" t="s">
        <v>4606</v>
      </c>
      <c r="D790" t="s">
        <v>19</v>
      </c>
      <c r="E790" t="s">
        <v>20</v>
      </c>
      <c r="F790" t="str">
        <f t="shared" si="17"/>
        <v>43613</v>
      </c>
      <c r="G790" t="str">
        <f t="shared" si="18"/>
        <v>402018</v>
      </c>
      <c r="H790" s="2">
        <f>1.82</f>
        <v>1.82</v>
      </c>
      <c r="I790" t="s">
        <v>27</v>
      </c>
      <c r="J790" t="s">
        <v>171</v>
      </c>
      <c r="K790" t="str">
        <f>"517785"</f>
        <v>517785</v>
      </c>
    </row>
    <row r="791" spans="1:11" x14ac:dyDescent="0.25">
      <c r="A791">
        <v>2021</v>
      </c>
      <c r="B791" t="s">
        <v>4605</v>
      </c>
      <c r="C791" t="s">
        <v>4606</v>
      </c>
      <c r="D791" t="s">
        <v>19</v>
      </c>
      <c r="E791" t="s">
        <v>20</v>
      </c>
      <c r="F791" t="str">
        <f t="shared" si="17"/>
        <v>43613</v>
      </c>
      <c r="G791" t="str">
        <f t="shared" si="18"/>
        <v>402018</v>
      </c>
      <c r="H791" s="2">
        <f>1.82</f>
        <v>1.82</v>
      </c>
      <c r="I791" t="s">
        <v>27</v>
      </c>
      <c r="J791" t="s">
        <v>171</v>
      </c>
      <c r="K791" t="str">
        <f>"517927"</f>
        <v>517927</v>
      </c>
    </row>
    <row r="792" spans="1:11" x14ac:dyDescent="0.25">
      <c r="A792">
        <v>2021</v>
      </c>
      <c r="B792" t="s">
        <v>4612</v>
      </c>
      <c r="C792" t="s">
        <v>4608</v>
      </c>
      <c r="D792" t="s">
        <v>19</v>
      </c>
      <c r="E792" t="s">
        <v>20</v>
      </c>
      <c r="F792" t="str">
        <f>"43612"</f>
        <v>43612</v>
      </c>
      <c r="G792" t="str">
        <f>"402063"</f>
        <v>402063</v>
      </c>
      <c r="H792" s="2">
        <f>1.5</f>
        <v>1.5</v>
      </c>
      <c r="I792" t="s">
        <v>27</v>
      </c>
      <c r="J792" t="s">
        <v>71</v>
      </c>
      <c r="K792" t="str">
        <f>"44007664"</f>
        <v>44007664</v>
      </c>
    </row>
    <row r="793" spans="1:11" x14ac:dyDescent="0.25">
      <c r="A793">
        <v>2021</v>
      </c>
      <c r="B793" t="s">
        <v>4612</v>
      </c>
      <c r="C793" t="s">
        <v>4608</v>
      </c>
      <c r="D793" t="s">
        <v>19</v>
      </c>
      <c r="E793" t="s">
        <v>20</v>
      </c>
      <c r="F793" t="str">
        <f>"43612"</f>
        <v>43612</v>
      </c>
      <c r="G793" t="str">
        <f>"402063"</f>
        <v>402063</v>
      </c>
      <c r="H793" s="2">
        <f>54.36</f>
        <v>54.36</v>
      </c>
      <c r="I793" t="s">
        <v>27</v>
      </c>
      <c r="J793" t="s">
        <v>71</v>
      </c>
      <c r="K793" t="str">
        <f>"44007875"</f>
        <v>44007875</v>
      </c>
    </row>
    <row r="794" spans="1:11" x14ac:dyDescent="0.25">
      <c r="A794">
        <v>2021</v>
      </c>
      <c r="B794" t="s">
        <v>4613</v>
      </c>
      <c r="C794" t="s">
        <v>4614</v>
      </c>
      <c r="D794" t="s">
        <v>19</v>
      </c>
      <c r="E794" t="s">
        <v>20</v>
      </c>
      <c r="F794" t="str">
        <f>"43611"</f>
        <v>43611</v>
      </c>
      <c r="G794" t="str">
        <f>"Pio448069"</f>
        <v>Pio448069</v>
      </c>
      <c r="H794" s="2">
        <f>1.26</f>
        <v>1.26</v>
      </c>
      <c r="I794" t="s">
        <v>86</v>
      </c>
      <c r="J794" t="s">
        <v>87</v>
      </c>
      <c r="K794" t="str">
        <f>"0"</f>
        <v>0</v>
      </c>
    </row>
    <row r="795" spans="1:11" x14ac:dyDescent="0.25">
      <c r="A795">
        <v>2021</v>
      </c>
      <c r="B795" t="s">
        <v>4619</v>
      </c>
      <c r="C795" t="s">
        <v>4620</v>
      </c>
      <c r="D795" t="s">
        <v>19</v>
      </c>
      <c r="E795" t="s">
        <v>20</v>
      </c>
      <c r="F795" t="str">
        <f>"43604"</f>
        <v>43604</v>
      </c>
      <c r="G795" t="str">
        <f>"Pio448069"</f>
        <v>Pio448069</v>
      </c>
      <c r="H795" s="2">
        <f>37.11</f>
        <v>37.11</v>
      </c>
      <c r="I795" t="s">
        <v>86</v>
      </c>
      <c r="J795" t="s">
        <v>87</v>
      </c>
      <c r="K795" t="str">
        <f>"0"</f>
        <v>0</v>
      </c>
    </row>
    <row r="796" spans="1:11" x14ac:dyDescent="0.25">
      <c r="A796">
        <v>2021</v>
      </c>
      <c r="B796" t="s">
        <v>4623</v>
      </c>
      <c r="C796" t="s">
        <v>4624</v>
      </c>
      <c r="D796" t="s">
        <v>58</v>
      </c>
      <c r="E796" t="s">
        <v>20</v>
      </c>
      <c r="F796" t="str">
        <f>"43616"</f>
        <v>43616</v>
      </c>
      <c r="G796" t="str">
        <f>"Pio448069"</f>
        <v>Pio448069</v>
      </c>
      <c r="H796" s="2">
        <f>1</f>
        <v>1</v>
      </c>
      <c r="I796" t="s">
        <v>86</v>
      </c>
      <c r="J796" t="s">
        <v>87</v>
      </c>
      <c r="K796" t="str">
        <f>"0"</f>
        <v>0</v>
      </c>
    </row>
    <row r="797" spans="1:11" x14ac:dyDescent="0.25">
      <c r="A797">
        <v>2021</v>
      </c>
      <c r="B797" t="s">
        <v>4625</v>
      </c>
      <c r="C797" t="s">
        <v>4626</v>
      </c>
      <c r="D797" t="s">
        <v>19</v>
      </c>
      <c r="E797" t="s">
        <v>20</v>
      </c>
      <c r="F797" t="str">
        <f>"43611"</f>
        <v>43611</v>
      </c>
      <c r="G797" t="str">
        <f>"Pio448069"</f>
        <v>Pio448069</v>
      </c>
      <c r="H797" s="2">
        <f>4</f>
        <v>4</v>
      </c>
      <c r="I797" t="s">
        <v>86</v>
      </c>
      <c r="J797" t="s">
        <v>87</v>
      </c>
      <c r="K797" t="str">
        <f>"0"</f>
        <v>0</v>
      </c>
    </row>
    <row r="798" spans="1:11" x14ac:dyDescent="0.25">
      <c r="A798">
        <v>2021</v>
      </c>
      <c r="B798" t="s">
        <v>4629</v>
      </c>
      <c r="C798" t="s">
        <v>4630</v>
      </c>
      <c r="D798" t="s">
        <v>4631</v>
      </c>
      <c r="E798" t="s">
        <v>14</v>
      </c>
      <c r="F798" t="str">
        <f>"48141"</f>
        <v>48141</v>
      </c>
      <c r="G798" t="str">
        <f>"Pio448069"</f>
        <v>Pio448069</v>
      </c>
      <c r="H798" s="2">
        <f>24</f>
        <v>24</v>
      </c>
      <c r="I798" t="s">
        <v>86</v>
      </c>
      <c r="J798" t="s">
        <v>87</v>
      </c>
      <c r="K798" t="str">
        <f>"0"</f>
        <v>0</v>
      </c>
    </row>
    <row r="799" spans="1:11" x14ac:dyDescent="0.25">
      <c r="A799">
        <v>2021</v>
      </c>
      <c r="B799" t="s">
        <v>4634</v>
      </c>
      <c r="C799" t="s">
        <v>4635</v>
      </c>
      <c r="D799" t="s">
        <v>19</v>
      </c>
      <c r="E799" t="s">
        <v>20</v>
      </c>
      <c r="F799" t="str">
        <f>"43604-8034"</f>
        <v>43604-8034</v>
      </c>
      <c r="G799" t="str">
        <f>"Swucf4621"</f>
        <v>Swucf4621</v>
      </c>
      <c r="H799" s="2">
        <f>140.26</f>
        <v>140.26</v>
      </c>
      <c r="I799" t="s">
        <v>15</v>
      </c>
      <c r="J799" t="s">
        <v>81</v>
      </c>
      <c r="K799" t="str">
        <f>"6291982"</f>
        <v>6291982</v>
      </c>
    </row>
    <row r="800" spans="1:11" x14ac:dyDescent="0.25">
      <c r="A800">
        <v>2021</v>
      </c>
      <c r="B800" t="s">
        <v>4638</v>
      </c>
      <c r="C800" t="s">
        <v>4639</v>
      </c>
      <c r="D800" t="s">
        <v>19</v>
      </c>
      <c r="E800" t="s">
        <v>20</v>
      </c>
      <c r="F800" t="str">
        <f>"43635"</f>
        <v>43635</v>
      </c>
      <c r="G800" t="str">
        <f>"Bwucf4621"</f>
        <v>Bwucf4621</v>
      </c>
      <c r="H800" s="2">
        <f>51.67</f>
        <v>51.67</v>
      </c>
      <c r="I800" t="s">
        <v>15</v>
      </c>
      <c r="J800" t="s">
        <v>295</v>
      </c>
      <c r="K800" t="str">
        <f>"01443050"</f>
        <v>01443050</v>
      </c>
    </row>
    <row r="801" spans="1:11" x14ac:dyDescent="0.25">
      <c r="A801">
        <v>2021</v>
      </c>
      <c r="B801" t="s">
        <v>4640</v>
      </c>
      <c r="C801" t="s">
        <v>4639</v>
      </c>
      <c r="D801" t="s">
        <v>19</v>
      </c>
      <c r="E801" t="s">
        <v>20</v>
      </c>
      <c r="F801" t="str">
        <f>"43635-2497"</f>
        <v>43635-2497</v>
      </c>
      <c r="G801" t="str">
        <f>"Je061721"</f>
        <v>Je061721</v>
      </c>
      <c r="H801" s="2">
        <f>4068</f>
        <v>4068</v>
      </c>
      <c r="I801" t="s">
        <v>15</v>
      </c>
      <c r="J801" t="s">
        <v>137</v>
      </c>
      <c r="K801" t="str">
        <f>"60005274"</f>
        <v>60005274</v>
      </c>
    </row>
    <row r="802" spans="1:11" x14ac:dyDescent="0.25">
      <c r="A802">
        <v>2021</v>
      </c>
      <c r="B802" t="s">
        <v>4641</v>
      </c>
      <c r="C802" t="s">
        <v>4642</v>
      </c>
      <c r="D802" t="s">
        <v>19</v>
      </c>
      <c r="E802" t="s">
        <v>20</v>
      </c>
      <c r="F802" t="str">
        <f>"43612"</f>
        <v>43612</v>
      </c>
      <c r="G802" t="str">
        <f>"Pio448069"</f>
        <v>Pio448069</v>
      </c>
      <c r="H802" s="2">
        <f>1.03</f>
        <v>1.03</v>
      </c>
      <c r="I802" t="s">
        <v>86</v>
      </c>
      <c r="J802" t="s">
        <v>87</v>
      </c>
      <c r="K802" t="str">
        <f>"0"</f>
        <v>0</v>
      </c>
    </row>
    <row r="803" spans="1:11" x14ac:dyDescent="0.25">
      <c r="A803">
        <v>2021</v>
      </c>
      <c r="B803" t="s">
        <v>4647</v>
      </c>
      <c r="C803" t="s">
        <v>4648</v>
      </c>
      <c r="D803" t="s">
        <v>4649</v>
      </c>
      <c r="E803" t="s">
        <v>14</v>
      </c>
      <c r="F803" t="str">
        <f>"48193"</f>
        <v>48193</v>
      </c>
      <c r="G803" t="str">
        <f>"Pio448069"</f>
        <v>Pio448069</v>
      </c>
      <c r="H803" s="2">
        <f>5</f>
        <v>5</v>
      </c>
      <c r="I803" t="s">
        <v>86</v>
      </c>
      <c r="J803" t="s">
        <v>87</v>
      </c>
      <c r="K803" t="str">
        <f>"0"</f>
        <v>0</v>
      </c>
    </row>
    <row r="804" spans="1:11" x14ac:dyDescent="0.25">
      <c r="A804">
        <v>2021</v>
      </c>
      <c r="B804" t="s">
        <v>4650</v>
      </c>
      <c r="C804" t="s">
        <v>4651</v>
      </c>
      <c r="D804" t="s">
        <v>19</v>
      </c>
      <c r="E804" t="s">
        <v>20</v>
      </c>
      <c r="F804" t="str">
        <f>"43614"</f>
        <v>43614</v>
      </c>
      <c r="G804" t="str">
        <f>"Bwucf4621"</f>
        <v>Bwucf4621</v>
      </c>
      <c r="H804" s="2">
        <f>27.64</f>
        <v>27.64</v>
      </c>
      <c r="I804" t="s">
        <v>15</v>
      </c>
      <c r="J804" t="s">
        <v>295</v>
      </c>
      <c r="K804" t="str">
        <f>"01445532"</f>
        <v>01445532</v>
      </c>
    </row>
    <row r="805" spans="1:11" x14ac:dyDescent="0.25">
      <c r="A805">
        <v>2021</v>
      </c>
      <c r="B805" t="s">
        <v>4656</v>
      </c>
      <c r="C805" t="s">
        <v>4657</v>
      </c>
      <c r="D805" t="s">
        <v>19</v>
      </c>
      <c r="E805" t="s">
        <v>20</v>
      </c>
      <c r="F805" t="str">
        <f>"43611-2004"</f>
        <v>43611-2004</v>
      </c>
      <c r="G805" t="str">
        <f>"402019"</f>
        <v>402019</v>
      </c>
      <c r="H805" s="2">
        <f>10</f>
        <v>10</v>
      </c>
      <c r="I805" t="s">
        <v>27</v>
      </c>
      <c r="J805" t="s">
        <v>42</v>
      </c>
      <c r="K805" t="str">
        <f>"114129"</f>
        <v>114129</v>
      </c>
    </row>
    <row r="806" spans="1:11" x14ac:dyDescent="0.25">
      <c r="A806">
        <v>2021</v>
      </c>
      <c r="B806" t="s">
        <v>4660</v>
      </c>
      <c r="C806" t="s">
        <v>4661</v>
      </c>
      <c r="D806" t="s">
        <v>19</v>
      </c>
      <c r="E806" t="s">
        <v>20</v>
      </c>
      <c r="F806" t="str">
        <f>"43607"</f>
        <v>43607</v>
      </c>
      <c r="G806" t="str">
        <f>"Pio448069"</f>
        <v>Pio448069</v>
      </c>
      <c r="H806" s="2">
        <f>5</f>
        <v>5</v>
      </c>
      <c r="I806" t="s">
        <v>86</v>
      </c>
      <c r="J806" t="s">
        <v>87</v>
      </c>
      <c r="K806" t="str">
        <f>"0"</f>
        <v>0</v>
      </c>
    </row>
    <row r="807" spans="1:11" x14ac:dyDescent="0.25">
      <c r="A807">
        <v>2021</v>
      </c>
      <c r="B807" t="s">
        <v>4662</v>
      </c>
      <c r="C807" t="s">
        <v>4663</v>
      </c>
      <c r="D807" t="s">
        <v>19</v>
      </c>
      <c r="E807" t="s">
        <v>20</v>
      </c>
      <c r="F807" t="str">
        <f>"43604"</f>
        <v>43604</v>
      </c>
      <c r="G807" t="str">
        <f>"402063"</f>
        <v>402063</v>
      </c>
      <c r="H807" s="2">
        <f>2.5</f>
        <v>2.5</v>
      </c>
      <c r="I807" t="s">
        <v>27</v>
      </c>
      <c r="J807" t="s">
        <v>71</v>
      </c>
      <c r="K807" t="str">
        <f>"11003568"</f>
        <v>11003568</v>
      </c>
    </row>
    <row r="808" spans="1:11" x14ac:dyDescent="0.25">
      <c r="A808">
        <v>2021</v>
      </c>
      <c r="B808" t="s">
        <v>4675</v>
      </c>
      <c r="C808" t="s">
        <v>4676</v>
      </c>
      <c r="D808" t="s">
        <v>19</v>
      </c>
      <c r="E808" t="s">
        <v>20</v>
      </c>
      <c r="F808" t="str">
        <f>"43609"</f>
        <v>43609</v>
      </c>
      <c r="G808" t="str">
        <f>"Pio448069"</f>
        <v>Pio448069</v>
      </c>
      <c r="H808" s="2">
        <f>7.13</f>
        <v>7.13</v>
      </c>
      <c r="I808" t="s">
        <v>86</v>
      </c>
      <c r="J808" t="s">
        <v>87</v>
      </c>
      <c r="K808" t="str">
        <f>"0"</f>
        <v>0</v>
      </c>
    </row>
    <row r="809" spans="1:11" x14ac:dyDescent="0.25">
      <c r="A809">
        <v>2021</v>
      </c>
      <c r="B809" t="s">
        <v>4679</v>
      </c>
      <c r="C809" t="s">
        <v>4680</v>
      </c>
      <c r="D809" t="s">
        <v>19</v>
      </c>
      <c r="E809" t="s">
        <v>20</v>
      </c>
      <c r="F809" t="str">
        <f>"43607"</f>
        <v>43607</v>
      </c>
      <c r="G809" t="str">
        <f>"Pio448069"</f>
        <v>Pio448069</v>
      </c>
      <c r="H809" s="2">
        <f>1</f>
        <v>1</v>
      </c>
      <c r="I809" t="s">
        <v>86</v>
      </c>
      <c r="J809" t="s">
        <v>87</v>
      </c>
      <c r="K809" t="str">
        <f>"0"</f>
        <v>0</v>
      </c>
    </row>
    <row r="810" spans="1:11" x14ac:dyDescent="0.25">
      <c r="A810">
        <v>2021</v>
      </c>
      <c r="B810" t="s">
        <v>4681</v>
      </c>
      <c r="C810" t="s">
        <v>4682</v>
      </c>
      <c r="D810" t="s">
        <v>19</v>
      </c>
      <c r="E810" t="s">
        <v>20</v>
      </c>
      <c r="F810" t="str">
        <f>"43608"</f>
        <v>43608</v>
      </c>
      <c r="G810" t="str">
        <f>"Pio448069"</f>
        <v>Pio448069</v>
      </c>
      <c r="H810" s="2">
        <f>2</f>
        <v>2</v>
      </c>
      <c r="I810" t="s">
        <v>86</v>
      </c>
      <c r="J810" t="s">
        <v>87</v>
      </c>
      <c r="K810" t="str">
        <f>"0"</f>
        <v>0</v>
      </c>
    </row>
    <row r="811" spans="1:11" x14ac:dyDescent="0.25">
      <c r="A811">
        <v>2021</v>
      </c>
      <c r="B811" t="s">
        <v>4699</v>
      </c>
      <c r="C811" t="s">
        <v>4700</v>
      </c>
      <c r="D811" t="s">
        <v>19</v>
      </c>
      <c r="E811" t="s">
        <v>20</v>
      </c>
      <c r="F811" t="str">
        <f>"43623-2210"</f>
        <v>43623-2210</v>
      </c>
      <c r="G811" t="str">
        <f>"402019"</f>
        <v>402019</v>
      </c>
      <c r="H811" s="2">
        <f>10</f>
        <v>10</v>
      </c>
      <c r="I811" t="s">
        <v>27</v>
      </c>
      <c r="J811" t="s">
        <v>42</v>
      </c>
      <c r="K811" t="str">
        <f>"112566"</f>
        <v>112566</v>
      </c>
    </row>
    <row r="812" spans="1:11" x14ac:dyDescent="0.25">
      <c r="A812">
        <v>2021</v>
      </c>
      <c r="B812" t="s">
        <v>4707</v>
      </c>
      <c r="C812" t="s">
        <v>4708</v>
      </c>
      <c r="D812" t="s">
        <v>19</v>
      </c>
      <c r="E812" t="s">
        <v>20</v>
      </c>
      <c r="F812" t="str">
        <f>"43623"</f>
        <v>43623</v>
      </c>
      <c r="G812" t="str">
        <f>"402018"</f>
        <v>402018</v>
      </c>
      <c r="H812" s="2">
        <f>6.77</f>
        <v>6.77</v>
      </c>
      <c r="I812" t="s">
        <v>27</v>
      </c>
      <c r="J812" t="s">
        <v>171</v>
      </c>
      <c r="K812" t="str">
        <f>"517489"</f>
        <v>517489</v>
      </c>
    </row>
    <row r="813" spans="1:11" x14ac:dyDescent="0.25">
      <c r="A813">
        <v>2021</v>
      </c>
      <c r="B813" t="s">
        <v>4716</v>
      </c>
      <c r="C813" t="s">
        <v>4717</v>
      </c>
      <c r="D813" t="s">
        <v>997</v>
      </c>
      <c r="E813" t="s">
        <v>418</v>
      </c>
      <c r="F813" t="str">
        <f>"60606"</f>
        <v>60606</v>
      </c>
      <c r="G813" t="str">
        <f>"402017"</f>
        <v>402017</v>
      </c>
      <c r="H813" s="2">
        <f>59</f>
        <v>59</v>
      </c>
      <c r="I813" t="s">
        <v>27</v>
      </c>
      <c r="J813" t="s">
        <v>212</v>
      </c>
      <c r="K813" t="str">
        <f>"33626"</f>
        <v>33626</v>
      </c>
    </row>
    <row r="814" spans="1:11" x14ac:dyDescent="0.25">
      <c r="A814">
        <v>2021</v>
      </c>
      <c r="B814" t="s">
        <v>4718</v>
      </c>
      <c r="C814" t="s">
        <v>4719</v>
      </c>
      <c r="D814" t="s">
        <v>19</v>
      </c>
      <c r="E814" t="s">
        <v>20</v>
      </c>
      <c r="F814" t="str">
        <f>"43613"</f>
        <v>43613</v>
      </c>
      <c r="G814" t="str">
        <f>"Pio448069"</f>
        <v>Pio448069</v>
      </c>
      <c r="H814" s="2">
        <f>6</f>
        <v>6</v>
      </c>
      <c r="I814" t="s">
        <v>86</v>
      </c>
      <c r="J814" t="s">
        <v>87</v>
      </c>
      <c r="K814" t="str">
        <f>"0"</f>
        <v>0</v>
      </c>
    </row>
    <row r="815" spans="1:11" x14ac:dyDescent="0.25">
      <c r="A815">
        <v>2021</v>
      </c>
      <c r="B815" t="s">
        <v>4721</v>
      </c>
      <c r="C815" t="s">
        <v>4722</v>
      </c>
      <c r="D815" t="s">
        <v>19</v>
      </c>
      <c r="E815" t="s">
        <v>20</v>
      </c>
      <c r="F815" t="str">
        <f>"43604"</f>
        <v>43604</v>
      </c>
      <c r="G815" t="str">
        <f>"402017"</f>
        <v>402017</v>
      </c>
      <c r="H815" s="2">
        <f>2.23</f>
        <v>2.23</v>
      </c>
      <c r="I815" t="s">
        <v>27</v>
      </c>
      <c r="J815" t="s">
        <v>212</v>
      </c>
      <c r="K815" t="str">
        <f>"33024"</f>
        <v>33024</v>
      </c>
    </row>
    <row r="816" spans="1:11" x14ac:dyDescent="0.25">
      <c r="A816">
        <v>2021</v>
      </c>
      <c r="B816" t="s">
        <v>4723</v>
      </c>
      <c r="C816" t="s">
        <v>4724</v>
      </c>
      <c r="D816" t="s">
        <v>1239</v>
      </c>
      <c r="E816" t="s">
        <v>20</v>
      </c>
      <c r="F816" t="str">
        <f>"43402"</f>
        <v>43402</v>
      </c>
      <c r="G816" t="str">
        <f>"402018"</f>
        <v>402018</v>
      </c>
      <c r="H816" s="2">
        <f>25</f>
        <v>25</v>
      </c>
      <c r="I816" t="s">
        <v>27</v>
      </c>
      <c r="J816" t="s">
        <v>171</v>
      </c>
      <c r="K816" t="str">
        <f>"515610"</f>
        <v>515610</v>
      </c>
    </row>
    <row r="817" spans="1:11" x14ac:dyDescent="0.25">
      <c r="A817">
        <v>2021</v>
      </c>
      <c r="B817" t="s">
        <v>4725</v>
      </c>
      <c r="C817" t="s">
        <v>4726</v>
      </c>
      <c r="D817" t="s">
        <v>19</v>
      </c>
      <c r="E817" t="s">
        <v>20</v>
      </c>
      <c r="F817" t="str">
        <f>"43609"</f>
        <v>43609</v>
      </c>
      <c r="G817" t="str">
        <f>"Pio448069"</f>
        <v>Pio448069</v>
      </c>
      <c r="H817" s="2">
        <f>10.6</f>
        <v>10.6</v>
      </c>
      <c r="I817" t="s">
        <v>86</v>
      </c>
      <c r="J817" t="s">
        <v>87</v>
      </c>
      <c r="K817" t="str">
        <f>"0"</f>
        <v>0</v>
      </c>
    </row>
    <row r="818" spans="1:11" x14ac:dyDescent="0.25">
      <c r="A818">
        <v>2021</v>
      </c>
      <c r="B818" t="s">
        <v>4727</v>
      </c>
      <c r="C818" t="s">
        <v>4728</v>
      </c>
      <c r="D818" t="s">
        <v>19</v>
      </c>
      <c r="E818" t="s">
        <v>20</v>
      </c>
      <c r="F818" t="str">
        <f>"43609"</f>
        <v>43609</v>
      </c>
      <c r="G818" t="str">
        <f>"Je061721"</f>
        <v>Je061721</v>
      </c>
      <c r="H818" s="2">
        <f>15</f>
        <v>15</v>
      </c>
      <c r="I818" t="s">
        <v>15</v>
      </c>
      <c r="J818" t="s">
        <v>137</v>
      </c>
      <c r="K818" t="str">
        <f>"60002162"</f>
        <v>60002162</v>
      </c>
    </row>
    <row r="819" spans="1:11" x14ac:dyDescent="0.25">
      <c r="A819">
        <v>2021</v>
      </c>
      <c r="B819" t="s">
        <v>4732</v>
      </c>
      <c r="C819" t="s">
        <v>4733</v>
      </c>
      <c r="D819" t="s">
        <v>19</v>
      </c>
      <c r="E819" t="s">
        <v>20</v>
      </c>
      <c r="F819" t="str">
        <f>"43609"</f>
        <v>43609</v>
      </c>
      <c r="G819" t="str">
        <f>"Pio448069"</f>
        <v>Pio448069</v>
      </c>
      <c r="H819" s="2">
        <f>75.81</f>
        <v>75.81</v>
      </c>
      <c r="I819" t="s">
        <v>86</v>
      </c>
      <c r="J819" t="s">
        <v>87</v>
      </c>
      <c r="K819" t="str">
        <f>"0"</f>
        <v>0</v>
      </c>
    </row>
    <row r="820" spans="1:11" x14ac:dyDescent="0.25">
      <c r="A820">
        <v>2021</v>
      </c>
      <c r="B820" t="s">
        <v>4736</v>
      </c>
      <c r="C820" t="s">
        <v>4737</v>
      </c>
      <c r="D820" t="s">
        <v>105</v>
      </c>
      <c r="E820" t="s">
        <v>20</v>
      </c>
      <c r="F820" t="str">
        <f>"43528"</f>
        <v>43528</v>
      </c>
      <c r="G820" t="str">
        <f>"402018"</f>
        <v>402018</v>
      </c>
      <c r="H820" s="2">
        <f>5.48</f>
        <v>5.48</v>
      </c>
      <c r="I820" t="s">
        <v>27</v>
      </c>
      <c r="J820" t="s">
        <v>171</v>
      </c>
      <c r="K820" t="str">
        <f>"516303"</f>
        <v>516303</v>
      </c>
    </row>
    <row r="821" spans="1:11" x14ac:dyDescent="0.25">
      <c r="A821">
        <v>2021</v>
      </c>
      <c r="B821" t="s">
        <v>4738</v>
      </c>
      <c r="C821" t="s">
        <v>4739</v>
      </c>
      <c r="D821" t="s">
        <v>19</v>
      </c>
      <c r="E821" t="s">
        <v>20</v>
      </c>
      <c r="F821" t="str">
        <f>"43609"</f>
        <v>43609</v>
      </c>
      <c r="G821" t="str">
        <f>"Pio448069"</f>
        <v>Pio448069</v>
      </c>
      <c r="H821" s="2">
        <f>1</f>
        <v>1</v>
      </c>
      <c r="I821" t="s">
        <v>86</v>
      </c>
      <c r="J821" t="s">
        <v>87</v>
      </c>
      <c r="K821" t="str">
        <f>"0"</f>
        <v>0</v>
      </c>
    </row>
    <row r="822" spans="1:11" x14ac:dyDescent="0.25">
      <c r="A822">
        <v>2021</v>
      </c>
      <c r="B822" t="s">
        <v>4745</v>
      </c>
      <c r="C822" t="s">
        <v>4746</v>
      </c>
      <c r="D822" t="s">
        <v>4326</v>
      </c>
      <c r="E822" t="s">
        <v>20</v>
      </c>
      <c r="F822" t="str">
        <f>"44131"</f>
        <v>44131</v>
      </c>
      <c r="G822" t="str">
        <f>"402017"</f>
        <v>402017</v>
      </c>
      <c r="H822" s="2">
        <f>200</f>
        <v>200</v>
      </c>
      <c r="I822" t="s">
        <v>27</v>
      </c>
      <c r="J822" t="s">
        <v>212</v>
      </c>
      <c r="K822" t="str">
        <f>"35581"</f>
        <v>35581</v>
      </c>
    </row>
    <row r="823" spans="1:11" x14ac:dyDescent="0.25">
      <c r="A823">
        <v>2021</v>
      </c>
      <c r="B823" t="s">
        <v>4752</v>
      </c>
      <c r="C823" t="s">
        <v>4753</v>
      </c>
      <c r="D823" t="s">
        <v>19</v>
      </c>
      <c r="E823" t="s">
        <v>20</v>
      </c>
      <c r="F823" t="str">
        <f>"43612"</f>
        <v>43612</v>
      </c>
      <c r="G823" t="str">
        <f>"402018"</f>
        <v>402018</v>
      </c>
      <c r="H823" s="2">
        <f>15</f>
        <v>15</v>
      </c>
      <c r="I823" t="s">
        <v>27</v>
      </c>
      <c r="J823" t="s">
        <v>171</v>
      </c>
      <c r="K823" t="str">
        <f>"517823"</f>
        <v>517823</v>
      </c>
    </row>
    <row r="824" spans="1:11" x14ac:dyDescent="0.25">
      <c r="A824">
        <v>2021</v>
      </c>
      <c r="B824" t="s">
        <v>4754</v>
      </c>
      <c r="C824" t="s">
        <v>4755</v>
      </c>
      <c r="D824" t="s">
        <v>19</v>
      </c>
      <c r="E824" t="s">
        <v>20</v>
      </c>
      <c r="F824" t="str">
        <f>"43607"</f>
        <v>43607</v>
      </c>
      <c r="G824" t="str">
        <f>"Pio448069"</f>
        <v>Pio448069</v>
      </c>
      <c r="H824" s="2">
        <f>1</f>
        <v>1</v>
      </c>
      <c r="I824" t="s">
        <v>86</v>
      </c>
      <c r="J824" t="s">
        <v>87</v>
      </c>
      <c r="K824" t="str">
        <f>"0"</f>
        <v>0</v>
      </c>
    </row>
    <row r="825" spans="1:11" x14ac:dyDescent="0.25">
      <c r="A825">
        <v>2021</v>
      </c>
      <c r="B825" t="s">
        <v>4756</v>
      </c>
      <c r="C825" t="s">
        <v>4757</v>
      </c>
      <c r="D825" t="s">
        <v>19</v>
      </c>
      <c r="E825" t="s">
        <v>20</v>
      </c>
      <c r="F825" t="str">
        <f>"43614"</f>
        <v>43614</v>
      </c>
      <c r="G825" t="str">
        <f>"402018"</f>
        <v>402018</v>
      </c>
      <c r="H825" s="2">
        <f>32</f>
        <v>32</v>
      </c>
      <c r="I825" t="s">
        <v>27</v>
      </c>
      <c r="J825" t="s">
        <v>171</v>
      </c>
      <c r="K825" t="str">
        <f>"517797"</f>
        <v>517797</v>
      </c>
    </row>
    <row r="826" spans="1:11" x14ac:dyDescent="0.25">
      <c r="A826">
        <v>2021</v>
      </c>
      <c r="B826" t="s">
        <v>4756</v>
      </c>
      <c r="C826" t="s">
        <v>4757</v>
      </c>
      <c r="D826" t="s">
        <v>19</v>
      </c>
      <c r="E826" t="s">
        <v>20</v>
      </c>
      <c r="F826" t="str">
        <f>"43614"</f>
        <v>43614</v>
      </c>
      <c r="G826" t="str">
        <f>"402018"</f>
        <v>402018</v>
      </c>
      <c r="H826" s="2">
        <f>50</f>
        <v>50</v>
      </c>
      <c r="I826" t="s">
        <v>27</v>
      </c>
      <c r="J826" t="s">
        <v>171</v>
      </c>
      <c r="K826" t="str">
        <f>"518010"</f>
        <v>518010</v>
      </c>
    </row>
    <row r="827" spans="1:11" x14ac:dyDescent="0.25">
      <c r="A827">
        <v>2021</v>
      </c>
      <c r="B827" t="s">
        <v>4760</v>
      </c>
      <c r="C827" t="s">
        <v>4761</v>
      </c>
      <c r="D827" t="s">
        <v>4762</v>
      </c>
      <c r="E827" t="s">
        <v>14</v>
      </c>
      <c r="F827" t="str">
        <f>"48503"</f>
        <v>48503</v>
      </c>
      <c r="G827" t="str">
        <f>"Pio448069"</f>
        <v>Pio448069</v>
      </c>
      <c r="H827" s="2">
        <f>20</f>
        <v>20</v>
      </c>
      <c r="I827" t="s">
        <v>86</v>
      </c>
      <c r="J827" t="s">
        <v>87</v>
      </c>
      <c r="K827" t="str">
        <f>"0"</f>
        <v>0</v>
      </c>
    </row>
    <row r="828" spans="1:11" x14ac:dyDescent="0.25">
      <c r="A828">
        <v>2021</v>
      </c>
      <c r="B828" t="s">
        <v>4763</v>
      </c>
      <c r="C828" t="s">
        <v>4764</v>
      </c>
      <c r="D828" t="s">
        <v>4115</v>
      </c>
      <c r="E828" t="s">
        <v>20</v>
      </c>
      <c r="F828" t="str">
        <f>"44830"</f>
        <v>44830</v>
      </c>
      <c r="G828" t="str">
        <f>"Pio448069"</f>
        <v>Pio448069</v>
      </c>
      <c r="H828" s="2">
        <f>50</f>
        <v>50</v>
      </c>
      <c r="I828" t="s">
        <v>86</v>
      </c>
      <c r="J828" t="s">
        <v>87</v>
      </c>
      <c r="K828" t="str">
        <f>"0"</f>
        <v>0</v>
      </c>
    </row>
    <row r="829" spans="1:11" x14ac:dyDescent="0.25">
      <c r="A829">
        <v>2021</v>
      </c>
      <c r="B829" t="s">
        <v>4769</v>
      </c>
      <c r="C829" t="s">
        <v>4770</v>
      </c>
      <c r="D829" t="s">
        <v>19</v>
      </c>
      <c r="E829" t="s">
        <v>20</v>
      </c>
      <c r="F829" t="str">
        <f>"43614"</f>
        <v>43614</v>
      </c>
      <c r="G829" t="str">
        <f>"389597"</f>
        <v>389597</v>
      </c>
      <c r="H829" s="2">
        <f>10</f>
        <v>10</v>
      </c>
      <c r="I829" t="s">
        <v>148</v>
      </c>
      <c r="J829" t="s">
        <v>4771</v>
      </c>
      <c r="K829" t="str">
        <f>"24881"</f>
        <v>24881</v>
      </c>
    </row>
    <row r="830" spans="1:11" x14ac:dyDescent="0.25">
      <c r="A830">
        <v>2021</v>
      </c>
      <c r="B830" t="s">
        <v>4772</v>
      </c>
      <c r="C830" t="s">
        <v>4773</v>
      </c>
      <c r="D830" t="s">
        <v>19</v>
      </c>
      <c r="E830" t="s">
        <v>20</v>
      </c>
      <c r="F830" t="str">
        <f>"43604"</f>
        <v>43604</v>
      </c>
      <c r="G830" t="str">
        <f>"Pio448069"</f>
        <v>Pio448069</v>
      </c>
      <c r="H830" s="2">
        <f>29.53</f>
        <v>29.53</v>
      </c>
      <c r="I830" t="s">
        <v>86</v>
      </c>
      <c r="J830" t="s">
        <v>87</v>
      </c>
      <c r="K830" t="str">
        <f>"0"</f>
        <v>0</v>
      </c>
    </row>
    <row r="831" spans="1:11" x14ac:dyDescent="0.25">
      <c r="A831">
        <v>2021</v>
      </c>
      <c r="B831" t="s">
        <v>4774</v>
      </c>
      <c r="C831" t="s">
        <v>4775</v>
      </c>
      <c r="D831" t="s">
        <v>19</v>
      </c>
      <c r="E831" t="s">
        <v>20</v>
      </c>
      <c r="F831" t="str">
        <f>"43612"</f>
        <v>43612</v>
      </c>
      <c r="G831" t="str">
        <f>"Pio448069"</f>
        <v>Pio448069</v>
      </c>
      <c r="H831" s="2">
        <f>5.12</f>
        <v>5.12</v>
      </c>
      <c r="I831" t="s">
        <v>86</v>
      </c>
      <c r="J831" t="s">
        <v>87</v>
      </c>
      <c r="K831" t="str">
        <f>"0"</f>
        <v>0</v>
      </c>
    </row>
    <row r="832" spans="1:11" x14ac:dyDescent="0.25">
      <c r="A832">
        <v>2021</v>
      </c>
      <c r="B832" t="s">
        <v>4780</v>
      </c>
      <c r="C832" t="s">
        <v>4781</v>
      </c>
      <c r="D832" t="s">
        <v>19</v>
      </c>
      <c r="E832" t="s">
        <v>20</v>
      </c>
      <c r="F832" t="str">
        <f>"43604"</f>
        <v>43604</v>
      </c>
      <c r="G832" t="str">
        <f>"Pio448069"</f>
        <v>Pio448069</v>
      </c>
      <c r="H832" s="2">
        <f>117</f>
        <v>117</v>
      </c>
      <c r="I832" t="s">
        <v>86</v>
      </c>
      <c r="J832" t="s">
        <v>87</v>
      </c>
      <c r="K832" t="str">
        <f>"0"</f>
        <v>0</v>
      </c>
    </row>
    <row r="833" spans="1:11" x14ac:dyDescent="0.25">
      <c r="A833">
        <v>2021</v>
      </c>
      <c r="B833" t="s">
        <v>4782</v>
      </c>
      <c r="C833" t="s">
        <v>4783</v>
      </c>
      <c r="D833" t="s">
        <v>111</v>
      </c>
      <c r="E833" t="s">
        <v>20</v>
      </c>
      <c r="F833" t="str">
        <f>"43215-8120"</f>
        <v>43215-8120</v>
      </c>
      <c r="G833" t="str">
        <f>"402017"</f>
        <v>402017</v>
      </c>
      <c r="H833" s="2">
        <f>14.29</f>
        <v>14.29</v>
      </c>
      <c r="I833" t="s">
        <v>27</v>
      </c>
      <c r="J833" t="s">
        <v>212</v>
      </c>
      <c r="K833" t="str">
        <f>"33903"</f>
        <v>33903</v>
      </c>
    </row>
    <row r="834" spans="1:11" x14ac:dyDescent="0.25">
      <c r="A834">
        <v>2021</v>
      </c>
      <c r="B834" t="s">
        <v>4784</v>
      </c>
      <c r="C834" t="s">
        <v>4785</v>
      </c>
      <c r="D834" t="s">
        <v>4786</v>
      </c>
      <c r="E834" t="s">
        <v>14</v>
      </c>
      <c r="F834" t="str">
        <f>"49091"</f>
        <v>49091</v>
      </c>
      <c r="G834" t="str">
        <f>"Pio448069"</f>
        <v>Pio448069</v>
      </c>
      <c r="H834" s="2">
        <f>94.52</f>
        <v>94.52</v>
      </c>
      <c r="I834" t="s">
        <v>86</v>
      </c>
      <c r="J834" t="s">
        <v>87</v>
      </c>
      <c r="K834" t="str">
        <f>"0"</f>
        <v>0</v>
      </c>
    </row>
    <row r="835" spans="1:11" x14ac:dyDescent="0.25">
      <c r="A835">
        <v>2021</v>
      </c>
      <c r="B835" t="s">
        <v>4787</v>
      </c>
      <c r="C835" t="s">
        <v>4788</v>
      </c>
      <c r="D835" t="s">
        <v>58</v>
      </c>
      <c r="E835" t="s">
        <v>20</v>
      </c>
      <c r="F835" t="str">
        <f>"43616"</f>
        <v>43616</v>
      </c>
      <c r="G835" t="str">
        <f>"397019"</f>
        <v>397019</v>
      </c>
      <c r="H835" s="2">
        <f>6</f>
        <v>6</v>
      </c>
      <c r="I835" t="s">
        <v>519</v>
      </c>
      <c r="J835" t="s">
        <v>519</v>
      </c>
      <c r="K835" t="str">
        <f>"9907"</f>
        <v>9907</v>
      </c>
    </row>
    <row r="836" spans="1:11" x14ac:dyDescent="0.25">
      <c r="A836">
        <v>2021</v>
      </c>
      <c r="B836" t="s">
        <v>4801</v>
      </c>
      <c r="C836" t="s">
        <v>4800</v>
      </c>
      <c r="D836" t="s">
        <v>19</v>
      </c>
      <c r="E836" t="s">
        <v>20</v>
      </c>
      <c r="F836" t="str">
        <f>"43605-3772"</f>
        <v>43605-3772</v>
      </c>
      <c r="G836" t="str">
        <f>"Swucf4621"</f>
        <v>Swucf4621</v>
      </c>
      <c r="H836" s="2">
        <f>18.49</f>
        <v>18.489999999999998</v>
      </c>
      <c r="I836" t="s">
        <v>15</v>
      </c>
      <c r="J836" t="s">
        <v>81</v>
      </c>
      <c r="K836" t="str">
        <f>"6293569"</f>
        <v>6293569</v>
      </c>
    </row>
    <row r="837" spans="1:11" x14ac:dyDescent="0.25">
      <c r="A837">
        <v>2021</v>
      </c>
      <c r="B837" t="s">
        <v>4799</v>
      </c>
      <c r="C837" t="s">
        <v>4800</v>
      </c>
      <c r="D837" t="s">
        <v>19</v>
      </c>
      <c r="E837" t="s">
        <v>20</v>
      </c>
      <c r="F837" t="str">
        <f>"43605"</f>
        <v>43605</v>
      </c>
      <c r="G837" t="str">
        <f>"Je092221"</f>
        <v>Je092221</v>
      </c>
      <c r="H837" s="2">
        <f>30.78</f>
        <v>30.78</v>
      </c>
      <c r="I837" t="s">
        <v>15</v>
      </c>
      <c r="J837" t="s">
        <v>114</v>
      </c>
      <c r="K837" t="str">
        <f>"60013236"</f>
        <v>60013236</v>
      </c>
    </row>
    <row r="838" spans="1:11" x14ac:dyDescent="0.25">
      <c r="A838">
        <v>2021</v>
      </c>
      <c r="B838" t="s">
        <v>4806</v>
      </c>
      <c r="C838" t="s">
        <v>4807</v>
      </c>
      <c r="D838" t="s">
        <v>19</v>
      </c>
      <c r="E838" t="s">
        <v>20</v>
      </c>
      <c r="F838" t="str">
        <f>"43614-4507"</f>
        <v>43614-4507</v>
      </c>
      <c r="G838" t="str">
        <f>"402019"</f>
        <v>402019</v>
      </c>
      <c r="H838" s="2">
        <f>20</f>
        <v>20</v>
      </c>
      <c r="I838" t="s">
        <v>27</v>
      </c>
      <c r="J838" t="s">
        <v>42</v>
      </c>
      <c r="K838" t="str">
        <f>"113424"</f>
        <v>113424</v>
      </c>
    </row>
    <row r="839" spans="1:11" x14ac:dyDescent="0.25">
      <c r="A839">
        <v>2021</v>
      </c>
      <c r="B839" t="s">
        <v>4816</v>
      </c>
      <c r="C839" t="s">
        <v>4817</v>
      </c>
      <c r="D839" t="s">
        <v>512</v>
      </c>
      <c r="E839" t="s">
        <v>20</v>
      </c>
      <c r="F839" t="str">
        <f>"43512"</f>
        <v>43512</v>
      </c>
      <c r="G839" t="str">
        <f>"Je110321"</f>
        <v>Je110321</v>
      </c>
      <c r="H839" s="2">
        <f>1494.57</f>
        <v>1494.57</v>
      </c>
      <c r="I839" t="s">
        <v>15</v>
      </c>
      <c r="J839" t="s">
        <v>596</v>
      </c>
      <c r="K839" t="str">
        <f>"60021045"</f>
        <v>60021045</v>
      </c>
    </row>
    <row r="840" spans="1:11" x14ac:dyDescent="0.25">
      <c r="A840">
        <v>2021</v>
      </c>
      <c r="B840" t="s">
        <v>4818</v>
      </c>
      <c r="C840" t="s">
        <v>4807</v>
      </c>
      <c r="D840" t="s">
        <v>19</v>
      </c>
      <c r="E840" t="s">
        <v>20</v>
      </c>
      <c r="F840" t="str">
        <f>"43614"</f>
        <v>43614</v>
      </c>
      <c r="G840" t="str">
        <f>"Je092221"</f>
        <v>Je092221</v>
      </c>
      <c r="H840" s="2">
        <f>30.78</f>
        <v>30.78</v>
      </c>
      <c r="I840" t="s">
        <v>15</v>
      </c>
      <c r="J840" t="s">
        <v>114</v>
      </c>
      <c r="K840" t="str">
        <f>"60013238"</f>
        <v>60013238</v>
      </c>
    </row>
    <row r="841" spans="1:11" x14ac:dyDescent="0.25">
      <c r="A841">
        <v>2021</v>
      </c>
      <c r="B841" t="s">
        <v>4818</v>
      </c>
      <c r="C841" t="s">
        <v>4807</v>
      </c>
      <c r="D841" t="s">
        <v>19</v>
      </c>
      <c r="E841" t="s">
        <v>20</v>
      </c>
      <c r="F841" t="str">
        <f>"43614"</f>
        <v>43614</v>
      </c>
      <c r="G841" t="str">
        <f>"Je061721"</f>
        <v>Je061721</v>
      </c>
      <c r="H841" s="2">
        <f>36.98</f>
        <v>36.979999999999997</v>
      </c>
      <c r="I841" t="s">
        <v>15</v>
      </c>
      <c r="J841" t="s">
        <v>137</v>
      </c>
      <c r="K841" t="str">
        <f>"60000484"</f>
        <v>60000484</v>
      </c>
    </row>
    <row r="842" spans="1:11" x14ac:dyDescent="0.25">
      <c r="A842">
        <v>2021</v>
      </c>
      <c r="B842" t="s">
        <v>4818</v>
      </c>
      <c r="C842" t="s">
        <v>4807</v>
      </c>
      <c r="D842" t="s">
        <v>19</v>
      </c>
      <c r="E842" t="s">
        <v>20</v>
      </c>
      <c r="F842" t="str">
        <f>"43614"</f>
        <v>43614</v>
      </c>
      <c r="G842" t="str">
        <f>"Je061721"</f>
        <v>Je061721</v>
      </c>
      <c r="H842" s="2">
        <f>36.98</f>
        <v>36.979999999999997</v>
      </c>
      <c r="I842" t="s">
        <v>15</v>
      </c>
      <c r="J842" t="s">
        <v>137</v>
      </c>
      <c r="K842" t="str">
        <f>"60003476"</f>
        <v>60003476</v>
      </c>
    </row>
    <row r="843" spans="1:11" x14ac:dyDescent="0.25">
      <c r="A843">
        <v>2021</v>
      </c>
      <c r="B843" t="s">
        <v>4818</v>
      </c>
      <c r="C843" t="s">
        <v>4819</v>
      </c>
      <c r="D843" t="s">
        <v>19</v>
      </c>
      <c r="E843" t="s">
        <v>20</v>
      </c>
      <c r="F843" t="str">
        <f>"43614"</f>
        <v>43614</v>
      </c>
      <c r="G843" t="str">
        <f>"Je110321"</f>
        <v>Je110321</v>
      </c>
      <c r="H843" s="2">
        <f>30.78</f>
        <v>30.78</v>
      </c>
      <c r="I843" t="s">
        <v>15</v>
      </c>
      <c r="J843" t="s">
        <v>596</v>
      </c>
      <c r="K843" t="str">
        <f>"60023584"</f>
        <v>60023584</v>
      </c>
    </row>
    <row r="844" spans="1:11" x14ac:dyDescent="0.25">
      <c r="A844">
        <v>2021</v>
      </c>
      <c r="B844" t="s">
        <v>4824</v>
      </c>
      <c r="C844" t="s">
        <v>4825</v>
      </c>
      <c r="D844" t="s">
        <v>1286</v>
      </c>
      <c r="E844" t="s">
        <v>20</v>
      </c>
      <c r="F844" t="str">
        <f>"43567-1804"</f>
        <v>43567-1804</v>
      </c>
      <c r="G844" t="str">
        <f>"Swucf4621"</f>
        <v>Swucf4621</v>
      </c>
      <c r="H844" s="2">
        <f>64.71</f>
        <v>64.709999999999994</v>
      </c>
      <c r="I844" t="s">
        <v>15</v>
      </c>
      <c r="J844" t="s">
        <v>81</v>
      </c>
      <c r="K844" t="str">
        <f>"6293573"</f>
        <v>6293573</v>
      </c>
    </row>
    <row r="845" spans="1:11" x14ac:dyDescent="0.25">
      <c r="A845">
        <v>2021</v>
      </c>
      <c r="B845" t="s">
        <v>4827</v>
      </c>
      <c r="C845" t="s">
        <v>4828</v>
      </c>
      <c r="D845" t="s">
        <v>19</v>
      </c>
      <c r="E845" t="s">
        <v>20</v>
      </c>
      <c r="F845" t="str">
        <f>"43614"</f>
        <v>43614</v>
      </c>
      <c r="G845" t="str">
        <f>"Pio448069"</f>
        <v>Pio448069</v>
      </c>
      <c r="H845" s="2">
        <f>0.61</f>
        <v>0.61</v>
      </c>
      <c r="I845" t="s">
        <v>86</v>
      </c>
      <c r="J845" t="s">
        <v>87</v>
      </c>
      <c r="K845" t="str">
        <f>"0"</f>
        <v>0</v>
      </c>
    </row>
    <row r="846" spans="1:11" x14ac:dyDescent="0.25">
      <c r="A846">
        <v>2021</v>
      </c>
      <c r="B846" t="s">
        <v>4829</v>
      </c>
      <c r="C846" t="s">
        <v>4830</v>
      </c>
      <c r="D846" t="s">
        <v>4831</v>
      </c>
      <c r="E846" t="s">
        <v>85</v>
      </c>
      <c r="F846" t="str">
        <f>"98908"</f>
        <v>98908</v>
      </c>
      <c r="G846" t="str">
        <f>"Pio448069"</f>
        <v>Pio448069</v>
      </c>
      <c r="H846" s="2">
        <f>0.28</f>
        <v>0.28000000000000003</v>
      </c>
      <c r="I846" t="s">
        <v>86</v>
      </c>
      <c r="J846" t="s">
        <v>87</v>
      </c>
      <c r="K846" t="str">
        <f>"0"</f>
        <v>0</v>
      </c>
    </row>
    <row r="847" spans="1:11" x14ac:dyDescent="0.25">
      <c r="A847">
        <v>2021</v>
      </c>
      <c r="B847" t="s">
        <v>4832</v>
      </c>
      <c r="C847" t="s">
        <v>4833</v>
      </c>
      <c r="D847" t="s">
        <v>50</v>
      </c>
      <c r="E847" t="s">
        <v>20</v>
      </c>
      <c r="F847" t="str">
        <f>"43560-1041"</f>
        <v>43560-1041</v>
      </c>
      <c r="G847" t="str">
        <f>"402019"</f>
        <v>402019</v>
      </c>
      <c r="H847" s="2">
        <f>10</f>
        <v>10</v>
      </c>
      <c r="I847" t="s">
        <v>27</v>
      </c>
      <c r="J847" t="s">
        <v>42</v>
      </c>
      <c r="K847" t="str">
        <f>"115881"</f>
        <v>115881</v>
      </c>
    </row>
    <row r="848" spans="1:11" x14ac:dyDescent="0.25">
      <c r="A848">
        <v>2021</v>
      </c>
      <c r="B848" t="s">
        <v>4838</v>
      </c>
      <c r="C848" t="s">
        <v>4839</v>
      </c>
      <c r="D848" t="s">
        <v>125</v>
      </c>
      <c r="E848" t="s">
        <v>20</v>
      </c>
      <c r="F848" t="str">
        <f>"43537-3731"</f>
        <v>43537-3731</v>
      </c>
      <c r="G848" t="str">
        <f>"402019"</f>
        <v>402019</v>
      </c>
      <c r="H848" s="2">
        <f>20</f>
        <v>20</v>
      </c>
      <c r="I848" t="s">
        <v>27</v>
      </c>
      <c r="J848" t="s">
        <v>42</v>
      </c>
      <c r="K848" t="str">
        <f>"113099"</f>
        <v>113099</v>
      </c>
    </row>
    <row r="849" spans="1:11" x14ac:dyDescent="0.25">
      <c r="A849">
        <v>2021</v>
      </c>
      <c r="B849" t="s">
        <v>4840</v>
      </c>
      <c r="C849" t="s">
        <v>4841</v>
      </c>
      <c r="D849" t="s">
        <v>19</v>
      </c>
      <c r="E849" t="s">
        <v>20</v>
      </c>
      <c r="F849" t="str">
        <f>"43613-2506"</f>
        <v>43613-2506</v>
      </c>
      <c r="G849" t="str">
        <f>"402019"</f>
        <v>402019</v>
      </c>
      <c r="H849" s="2">
        <f>20</f>
        <v>20</v>
      </c>
      <c r="I849" t="s">
        <v>27</v>
      </c>
      <c r="J849" t="s">
        <v>42</v>
      </c>
      <c r="K849" t="str">
        <f>"112070"</f>
        <v>112070</v>
      </c>
    </row>
    <row r="850" spans="1:11" x14ac:dyDescent="0.25">
      <c r="A850">
        <v>2021</v>
      </c>
      <c r="B850" t="s">
        <v>4844</v>
      </c>
      <c r="C850" t="s">
        <v>4845</v>
      </c>
      <c r="D850" t="s">
        <v>19</v>
      </c>
      <c r="E850" t="s">
        <v>20</v>
      </c>
      <c r="F850" t="str">
        <f>"43615-5734"</f>
        <v>43615-5734</v>
      </c>
      <c r="G850" t="str">
        <f>"402019"</f>
        <v>402019</v>
      </c>
      <c r="H850" s="2">
        <f>10</f>
        <v>10</v>
      </c>
      <c r="I850" t="s">
        <v>27</v>
      </c>
      <c r="J850" t="s">
        <v>42</v>
      </c>
      <c r="K850" t="str">
        <f>"114860"</f>
        <v>114860</v>
      </c>
    </row>
    <row r="851" spans="1:11" x14ac:dyDescent="0.25">
      <c r="A851">
        <v>2021</v>
      </c>
      <c r="B851" t="s">
        <v>4852</v>
      </c>
      <c r="C851" t="s">
        <v>4853</v>
      </c>
      <c r="D851" t="s">
        <v>50</v>
      </c>
      <c r="E851" t="s">
        <v>20</v>
      </c>
      <c r="F851" t="str">
        <f t="shared" ref="F851:F857" si="19">"43560"</f>
        <v>43560</v>
      </c>
      <c r="G851" t="str">
        <f t="shared" ref="G851:G857" si="20">"402018"</f>
        <v>402018</v>
      </c>
      <c r="H851" s="2">
        <f t="shared" ref="H851:H857" si="21">2.5</f>
        <v>2.5</v>
      </c>
      <c r="I851" t="s">
        <v>27</v>
      </c>
      <c r="J851" t="s">
        <v>171</v>
      </c>
      <c r="K851" t="str">
        <f>"518145"</f>
        <v>518145</v>
      </c>
    </row>
    <row r="852" spans="1:11" x14ac:dyDescent="0.25">
      <c r="A852">
        <v>2021</v>
      </c>
      <c r="B852" t="s">
        <v>4852</v>
      </c>
      <c r="C852" t="s">
        <v>4853</v>
      </c>
      <c r="D852" t="s">
        <v>50</v>
      </c>
      <c r="E852" t="s">
        <v>20</v>
      </c>
      <c r="F852" t="str">
        <f t="shared" si="19"/>
        <v>43560</v>
      </c>
      <c r="G852" t="str">
        <f t="shared" si="20"/>
        <v>402018</v>
      </c>
      <c r="H852" s="2">
        <f t="shared" si="21"/>
        <v>2.5</v>
      </c>
      <c r="I852" t="s">
        <v>27</v>
      </c>
      <c r="J852" t="s">
        <v>171</v>
      </c>
      <c r="K852" t="str">
        <f>"515810"</f>
        <v>515810</v>
      </c>
    </row>
    <row r="853" spans="1:11" x14ac:dyDescent="0.25">
      <c r="A853">
        <v>2021</v>
      </c>
      <c r="B853" t="s">
        <v>4852</v>
      </c>
      <c r="C853" t="s">
        <v>4853</v>
      </c>
      <c r="D853" t="s">
        <v>50</v>
      </c>
      <c r="E853" t="s">
        <v>20</v>
      </c>
      <c r="F853" t="str">
        <f t="shared" si="19"/>
        <v>43560</v>
      </c>
      <c r="G853" t="str">
        <f t="shared" si="20"/>
        <v>402018</v>
      </c>
      <c r="H853" s="2">
        <f t="shared" si="21"/>
        <v>2.5</v>
      </c>
      <c r="I853" t="s">
        <v>27</v>
      </c>
      <c r="J853" t="s">
        <v>171</v>
      </c>
      <c r="K853" t="str">
        <f>"515545"</f>
        <v>515545</v>
      </c>
    </row>
    <row r="854" spans="1:11" x14ac:dyDescent="0.25">
      <c r="A854">
        <v>2021</v>
      </c>
      <c r="B854" t="s">
        <v>4852</v>
      </c>
      <c r="C854" t="s">
        <v>4853</v>
      </c>
      <c r="D854" t="s">
        <v>50</v>
      </c>
      <c r="E854" t="s">
        <v>20</v>
      </c>
      <c r="F854" t="str">
        <f t="shared" si="19"/>
        <v>43560</v>
      </c>
      <c r="G854" t="str">
        <f t="shared" si="20"/>
        <v>402018</v>
      </c>
      <c r="H854" s="2">
        <f t="shared" si="21"/>
        <v>2.5</v>
      </c>
      <c r="I854" t="s">
        <v>27</v>
      </c>
      <c r="J854" t="s">
        <v>171</v>
      </c>
      <c r="K854" t="str">
        <f>"515435"</f>
        <v>515435</v>
      </c>
    </row>
    <row r="855" spans="1:11" x14ac:dyDescent="0.25">
      <c r="A855">
        <v>2021</v>
      </c>
      <c r="B855" t="s">
        <v>4852</v>
      </c>
      <c r="C855" t="s">
        <v>4853</v>
      </c>
      <c r="D855" t="s">
        <v>50</v>
      </c>
      <c r="E855" t="s">
        <v>20</v>
      </c>
      <c r="F855" t="str">
        <f t="shared" si="19"/>
        <v>43560</v>
      </c>
      <c r="G855" t="str">
        <f t="shared" si="20"/>
        <v>402018</v>
      </c>
      <c r="H855" s="2">
        <f t="shared" si="21"/>
        <v>2.5</v>
      </c>
      <c r="I855" t="s">
        <v>27</v>
      </c>
      <c r="J855" t="s">
        <v>171</v>
      </c>
      <c r="K855" t="str">
        <f>"517366"</f>
        <v>517366</v>
      </c>
    </row>
    <row r="856" spans="1:11" x14ac:dyDescent="0.25">
      <c r="A856">
        <v>2021</v>
      </c>
      <c r="B856" t="s">
        <v>4852</v>
      </c>
      <c r="C856" t="s">
        <v>4853</v>
      </c>
      <c r="D856" t="s">
        <v>50</v>
      </c>
      <c r="E856" t="s">
        <v>20</v>
      </c>
      <c r="F856" t="str">
        <f t="shared" si="19"/>
        <v>43560</v>
      </c>
      <c r="G856" t="str">
        <f t="shared" si="20"/>
        <v>402018</v>
      </c>
      <c r="H856" s="2">
        <f t="shared" si="21"/>
        <v>2.5</v>
      </c>
      <c r="I856" t="s">
        <v>27</v>
      </c>
      <c r="J856" t="s">
        <v>171</v>
      </c>
      <c r="K856" t="str">
        <f>"516170"</f>
        <v>516170</v>
      </c>
    </row>
    <row r="857" spans="1:11" x14ac:dyDescent="0.25">
      <c r="A857">
        <v>2021</v>
      </c>
      <c r="B857" t="s">
        <v>4852</v>
      </c>
      <c r="C857" t="s">
        <v>4853</v>
      </c>
      <c r="D857" t="s">
        <v>50</v>
      </c>
      <c r="E857" t="s">
        <v>20</v>
      </c>
      <c r="F857" t="str">
        <f t="shared" si="19"/>
        <v>43560</v>
      </c>
      <c r="G857" t="str">
        <f t="shared" si="20"/>
        <v>402018</v>
      </c>
      <c r="H857" s="2">
        <f t="shared" si="21"/>
        <v>2.5</v>
      </c>
      <c r="I857" t="s">
        <v>27</v>
      </c>
      <c r="J857" t="s">
        <v>171</v>
      </c>
      <c r="K857" t="str">
        <f>"516637"</f>
        <v>516637</v>
      </c>
    </row>
    <row r="858" spans="1:11" x14ac:dyDescent="0.25">
      <c r="A858">
        <v>2021</v>
      </c>
      <c r="B858" t="s">
        <v>4854</v>
      </c>
      <c r="C858" t="s">
        <v>4855</v>
      </c>
      <c r="D858" t="s">
        <v>19</v>
      </c>
      <c r="E858" t="s">
        <v>20</v>
      </c>
      <c r="F858" t="str">
        <f>"43606"</f>
        <v>43606</v>
      </c>
      <c r="G858" t="str">
        <f>"Pio448069"</f>
        <v>Pio448069</v>
      </c>
      <c r="H858" s="2">
        <f>50</f>
        <v>50</v>
      </c>
      <c r="I858" t="s">
        <v>86</v>
      </c>
      <c r="J858" t="s">
        <v>87</v>
      </c>
      <c r="K858" t="str">
        <f>"0"</f>
        <v>0</v>
      </c>
    </row>
    <row r="859" spans="1:11" x14ac:dyDescent="0.25">
      <c r="A859">
        <v>2021</v>
      </c>
      <c r="B859" t="s">
        <v>4858</v>
      </c>
      <c r="C859" t="s">
        <v>4859</v>
      </c>
      <c r="D859" t="s">
        <v>19</v>
      </c>
      <c r="E859" t="s">
        <v>20</v>
      </c>
      <c r="F859" t="str">
        <f>"43613"</f>
        <v>43613</v>
      </c>
      <c r="G859" t="str">
        <f>"Pio448069"</f>
        <v>Pio448069</v>
      </c>
      <c r="H859" s="2">
        <f>30.88</f>
        <v>30.88</v>
      </c>
      <c r="I859" t="s">
        <v>86</v>
      </c>
      <c r="J859" t="s">
        <v>87</v>
      </c>
      <c r="K859" t="str">
        <f>"0"</f>
        <v>0</v>
      </c>
    </row>
    <row r="860" spans="1:11" x14ac:dyDescent="0.25">
      <c r="A860">
        <v>2021</v>
      </c>
      <c r="B860" t="s">
        <v>4862</v>
      </c>
      <c r="C860" t="s">
        <v>4863</v>
      </c>
      <c r="F860" t="str">
        <f>""</f>
        <v/>
      </c>
      <c r="G860" t="str">
        <f>"Swucf4621"</f>
        <v>Swucf4621</v>
      </c>
      <c r="H860" s="2">
        <f>117.28</f>
        <v>117.28</v>
      </c>
      <c r="I860" t="s">
        <v>15</v>
      </c>
      <c r="J860" t="s">
        <v>81</v>
      </c>
      <c r="K860" t="str">
        <f>"6288205"</f>
        <v>6288205</v>
      </c>
    </row>
    <row r="861" spans="1:11" x14ac:dyDescent="0.25">
      <c r="A861">
        <v>2021</v>
      </c>
      <c r="B861" t="s">
        <v>4864</v>
      </c>
      <c r="C861" t="s">
        <v>4865</v>
      </c>
      <c r="D861" t="s">
        <v>19</v>
      </c>
      <c r="E861" t="s">
        <v>20</v>
      </c>
      <c r="F861" t="str">
        <f>"43614-3533"</f>
        <v>43614-3533</v>
      </c>
      <c r="G861" t="str">
        <f>"402019"</f>
        <v>402019</v>
      </c>
      <c r="H861" s="2">
        <f>10</f>
        <v>10</v>
      </c>
      <c r="I861" t="s">
        <v>27</v>
      </c>
      <c r="J861" t="s">
        <v>42</v>
      </c>
      <c r="K861" t="str">
        <f>"113382"</f>
        <v>113382</v>
      </c>
    </row>
    <row r="862" spans="1:11" x14ac:dyDescent="0.25">
      <c r="A862">
        <v>2021</v>
      </c>
      <c r="B862" t="s">
        <v>4866</v>
      </c>
      <c r="C862" t="s">
        <v>4867</v>
      </c>
      <c r="D862" t="s">
        <v>19</v>
      </c>
      <c r="E862" t="s">
        <v>20</v>
      </c>
      <c r="F862" t="str">
        <f>"43615-3519"</f>
        <v>43615-3519</v>
      </c>
      <c r="G862" t="str">
        <f>"402019"</f>
        <v>402019</v>
      </c>
      <c r="H862" s="2">
        <f>10</f>
        <v>10</v>
      </c>
      <c r="I862" t="s">
        <v>27</v>
      </c>
      <c r="J862" t="s">
        <v>42</v>
      </c>
      <c r="K862" t="str">
        <f>"115602"</f>
        <v>115602</v>
      </c>
    </row>
    <row r="863" spans="1:11" x14ac:dyDescent="0.25">
      <c r="A863">
        <v>2021</v>
      </c>
      <c r="B863" t="s">
        <v>4868</v>
      </c>
      <c r="C863" t="s">
        <v>4869</v>
      </c>
      <c r="D863" t="s">
        <v>19</v>
      </c>
      <c r="E863" t="s">
        <v>20</v>
      </c>
      <c r="F863" t="str">
        <f>"43615"</f>
        <v>43615</v>
      </c>
      <c r="G863" t="str">
        <f>"402018"</f>
        <v>402018</v>
      </c>
      <c r="H863" s="2">
        <f>5</f>
        <v>5</v>
      </c>
      <c r="I863" t="s">
        <v>27</v>
      </c>
      <c r="J863" t="s">
        <v>171</v>
      </c>
      <c r="K863" t="str">
        <f>"515929"</f>
        <v>515929</v>
      </c>
    </row>
    <row r="864" spans="1:11" x14ac:dyDescent="0.25">
      <c r="A864">
        <v>2021</v>
      </c>
      <c r="B864" t="s">
        <v>4870</v>
      </c>
      <c r="C864" t="s">
        <v>4871</v>
      </c>
      <c r="D864" t="s">
        <v>125</v>
      </c>
      <c r="E864" t="s">
        <v>20</v>
      </c>
      <c r="F864" t="str">
        <f t="shared" ref="F864:F870" si="22">"43537"</f>
        <v>43537</v>
      </c>
      <c r="G864" t="str">
        <f>"Pio448069"</f>
        <v>Pio448069</v>
      </c>
      <c r="H864" s="2">
        <f>11</f>
        <v>11</v>
      </c>
      <c r="I864" t="s">
        <v>86</v>
      </c>
      <c r="J864" t="s">
        <v>87</v>
      </c>
      <c r="K864" t="str">
        <f>"0"</f>
        <v>0</v>
      </c>
    </row>
    <row r="865" spans="1:11" x14ac:dyDescent="0.25">
      <c r="A865">
        <v>2021</v>
      </c>
      <c r="B865" t="s">
        <v>4886</v>
      </c>
      <c r="C865" t="s">
        <v>4887</v>
      </c>
      <c r="D865" t="s">
        <v>125</v>
      </c>
      <c r="E865" t="s">
        <v>20</v>
      </c>
      <c r="F865" t="str">
        <f t="shared" si="22"/>
        <v>43537</v>
      </c>
      <c r="G865" t="str">
        <f t="shared" ref="G865:G870" si="23">"402018"</f>
        <v>402018</v>
      </c>
      <c r="H865" s="2">
        <f>20</f>
        <v>20</v>
      </c>
      <c r="I865" t="s">
        <v>27</v>
      </c>
      <c r="J865" t="s">
        <v>171</v>
      </c>
      <c r="K865" t="str">
        <f>"516178"</f>
        <v>516178</v>
      </c>
    </row>
    <row r="866" spans="1:11" x14ac:dyDescent="0.25">
      <c r="A866">
        <v>2021</v>
      </c>
      <c r="B866" t="s">
        <v>4886</v>
      </c>
      <c r="C866" t="s">
        <v>4887</v>
      </c>
      <c r="D866" t="s">
        <v>125</v>
      </c>
      <c r="E866" t="s">
        <v>20</v>
      </c>
      <c r="F866" t="str">
        <f t="shared" si="22"/>
        <v>43537</v>
      </c>
      <c r="G866" t="str">
        <f t="shared" si="23"/>
        <v>402018</v>
      </c>
      <c r="H866" s="2">
        <f>20</f>
        <v>20</v>
      </c>
      <c r="I866" t="s">
        <v>27</v>
      </c>
      <c r="J866" t="s">
        <v>171</v>
      </c>
      <c r="K866" t="str">
        <f>"516646"</f>
        <v>516646</v>
      </c>
    </row>
    <row r="867" spans="1:11" x14ac:dyDescent="0.25">
      <c r="A867">
        <v>2021</v>
      </c>
      <c r="B867" t="s">
        <v>4886</v>
      </c>
      <c r="C867" t="s">
        <v>4887</v>
      </c>
      <c r="D867" t="s">
        <v>125</v>
      </c>
      <c r="E867" t="s">
        <v>20</v>
      </c>
      <c r="F867" t="str">
        <f t="shared" si="22"/>
        <v>43537</v>
      </c>
      <c r="G867" t="str">
        <f t="shared" si="23"/>
        <v>402018</v>
      </c>
      <c r="H867" s="2">
        <f>20</f>
        <v>20</v>
      </c>
      <c r="I867" t="s">
        <v>27</v>
      </c>
      <c r="J867" t="s">
        <v>171</v>
      </c>
      <c r="K867" t="str">
        <f>"516453"</f>
        <v>516453</v>
      </c>
    </row>
    <row r="868" spans="1:11" x14ac:dyDescent="0.25">
      <c r="A868">
        <v>2021</v>
      </c>
      <c r="B868" t="s">
        <v>4886</v>
      </c>
      <c r="C868" t="s">
        <v>4887</v>
      </c>
      <c r="D868" t="s">
        <v>125</v>
      </c>
      <c r="E868" t="s">
        <v>20</v>
      </c>
      <c r="F868" t="str">
        <f t="shared" si="22"/>
        <v>43537</v>
      </c>
      <c r="G868" t="str">
        <f t="shared" si="23"/>
        <v>402018</v>
      </c>
      <c r="H868" s="2">
        <f>20</f>
        <v>20</v>
      </c>
      <c r="I868" t="s">
        <v>27</v>
      </c>
      <c r="J868" t="s">
        <v>171</v>
      </c>
      <c r="K868" t="str">
        <f>"516864"</f>
        <v>516864</v>
      </c>
    </row>
    <row r="869" spans="1:11" x14ac:dyDescent="0.25">
      <c r="A869">
        <v>2021</v>
      </c>
      <c r="B869" t="s">
        <v>4886</v>
      </c>
      <c r="C869" t="s">
        <v>4887</v>
      </c>
      <c r="D869" t="s">
        <v>125</v>
      </c>
      <c r="E869" t="s">
        <v>20</v>
      </c>
      <c r="F869" t="str">
        <f t="shared" si="22"/>
        <v>43537</v>
      </c>
      <c r="G869" t="str">
        <f t="shared" si="23"/>
        <v>402018</v>
      </c>
      <c r="H869" s="2">
        <f>9</f>
        <v>9</v>
      </c>
      <c r="I869" t="s">
        <v>27</v>
      </c>
      <c r="J869" t="s">
        <v>171</v>
      </c>
      <c r="K869" t="str">
        <f>"517526"</f>
        <v>517526</v>
      </c>
    </row>
    <row r="870" spans="1:11" x14ac:dyDescent="0.25">
      <c r="A870">
        <v>2021</v>
      </c>
      <c r="B870" t="s">
        <v>4886</v>
      </c>
      <c r="C870" t="s">
        <v>4887</v>
      </c>
      <c r="D870" t="s">
        <v>125</v>
      </c>
      <c r="E870" t="s">
        <v>20</v>
      </c>
      <c r="F870" t="str">
        <f t="shared" si="22"/>
        <v>43537</v>
      </c>
      <c r="G870" t="str">
        <f t="shared" si="23"/>
        <v>402018</v>
      </c>
      <c r="H870" s="2">
        <f>10</f>
        <v>10</v>
      </c>
      <c r="I870" t="s">
        <v>27</v>
      </c>
      <c r="J870" t="s">
        <v>171</v>
      </c>
      <c r="K870" t="str">
        <f>"517778"</f>
        <v>517778</v>
      </c>
    </row>
    <row r="871" spans="1:11" x14ac:dyDescent="0.25">
      <c r="A871">
        <v>2021</v>
      </c>
      <c r="B871" t="s">
        <v>4888</v>
      </c>
      <c r="C871" t="s">
        <v>4889</v>
      </c>
      <c r="D871" t="s">
        <v>19</v>
      </c>
      <c r="E871" t="s">
        <v>20</v>
      </c>
      <c r="F871" t="str">
        <f>"43605"</f>
        <v>43605</v>
      </c>
      <c r="G871" t="str">
        <f>"Pio448069"</f>
        <v>Pio448069</v>
      </c>
      <c r="H871" s="2">
        <f>25</f>
        <v>25</v>
      </c>
      <c r="I871" t="s">
        <v>86</v>
      </c>
      <c r="J871" t="s">
        <v>87</v>
      </c>
      <c r="K871" t="str">
        <f>"0"</f>
        <v>0</v>
      </c>
    </row>
    <row r="872" spans="1:11" x14ac:dyDescent="0.25">
      <c r="A872">
        <v>2021</v>
      </c>
      <c r="B872" t="s">
        <v>4894</v>
      </c>
      <c r="C872" t="s">
        <v>4895</v>
      </c>
      <c r="D872" t="s">
        <v>45</v>
      </c>
      <c r="E872" t="s">
        <v>20</v>
      </c>
      <c r="F872" t="str">
        <f>"43542"</f>
        <v>43542</v>
      </c>
      <c r="G872" t="str">
        <f>"402018"</f>
        <v>402018</v>
      </c>
      <c r="H872" s="2">
        <f>5.56</f>
        <v>5.56</v>
      </c>
      <c r="I872" t="s">
        <v>27</v>
      </c>
      <c r="J872" t="s">
        <v>171</v>
      </c>
      <c r="K872" t="str">
        <f>"516308"</f>
        <v>516308</v>
      </c>
    </row>
    <row r="873" spans="1:11" x14ac:dyDescent="0.25">
      <c r="A873">
        <v>2021</v>
      </c>
      <c r="B873" t="s">
        <v>4897</v>
      </c>
      <c r="C873" t="s">
        <v>4898</v>
      </c>
      <c r="D873" t="s">
        <v>19</v>
      </c>
      <c r="E873" t="s">
        <v>20</v>
      </c>
      <c r="F873" t="str">
        <f>"43611"</f>
        <v>43611</v>
      </c>
      <c r="G873" t="str">
        <f>"Pio448069"</f>
        <v>Pio448069</v>
      </c>
      <c r="H873" s="2">
        <f>9.17</f>
        <v>9.17</v>
      </c>
      <c r="I873" t="s">
        <v>86</v>
      </c>
      <c r="J873" t="s">
        <v>87</v>
      </c>
      <c r="K873" t="str">
        <f>"0"</f>
        <v>0</v>
      </c>
    </row>
    <row r="874" spans="1:11" x14ac:dyDescent="0.25">
      <c r="A874">
        <v>2021</v>
      </c>
      <c r="B874" t="s">
        <v>4899</v>
      </c>
      <c r="C874" t="s">
        <v>4900</v>
      </c>
      <c r="D874" t="s">
        <v>19</v>
      </c>
      <c r="E874" t="s">
        <v>20</v>
      </c>
      <c r="F874" t="str">
        <f>"43606"</f>
        <v>43606</v>
      </c>
      <c r="G874" t="str">
        <f>"Pio448069"</f>
        <v>Pio448069</v>
      </c>
      <c r="H874" s="2">
        <f>30</f>
        <v>30</v>
      </c>
      <c r="I874" t="s">
        <v>86</v>
      </c>
      <c r="J874" t="s">
        <v>87</v>
      </c>
      <c r="K874" t="str">
        <f>"0"</f>
        <v>0</v>
      </c>
    </row>
    <row r="875" spans="1:11" x14ac:dyDescent="0.25">
      <c r="A875">
        <v>2021</v>
      </c>
      <c r="B875" t="s">
        <v>4912</v>
      </c>
      <c r="C875" t="s">
        <v>153</v>
      </c>
      <c r="D875" t="s">
        <v>19</v>
      </c>
      <c r="E875" t="s">
        <v>20</v>
      </c>
      <c r="F875" t="str">
        <f>"43605"</f>
        <v>43605</v>
      </c>
      <c r="G875" t="str">
        <f>"Pio448069"</f>
        <v>Pio448069</v>
      </c>
      <c r="H875" s="2">
        <f>0.53</f>
        <v>0.53</v>
      </c>
      <c r="I875" t="s">
        <v>86</v>
      </c>
      <c r="J875" t="s">
        <v>87</v>
      </c>
      <c r="K875" t="str">
        <f>"0"</f>
        <v>0</v>
      </c>
    </row>
    <row r="876" spans="1:11" x14ac:dyDescent="0.25">
      <c r="A876">
        <v>2021</v>
      </c>
      <c r="B876" t="s">
        <v>4915</v>
      </c>
      <c r="C876" t="s">
        <v>4916</v>
      </c>
      <c r="D876" t="s">
        <v>19</v>
      </c>
      <c r="E876" t="s">
        <v>20</v>
      </c>
      <c r="F876" t="str">
        <f>"43607"</f>
        <v>43607</v>
      </c>
      <c r="G876" t="str">
        <f>"Pio448069"</f>
        <v>Pio448069</v>
      </c>
      <c r="H876" s="2">
        <f>15.49</f>
        <v>15.49</v>
      </c>
      <c r="I876" t="s">
        <v>86</v>
      </c>
      <c r="J876" t="s">
        <v>87</v>
      </c>
      <c r="K876" t="str">
        <f>"0"</f>
        <v>0</v>
      </c>
    </row>
    <row r="877" spans="1:11" x14ac:dyDescent="0.25">
      <c r="A877">
        <v>2021</v>
      </c>
      <c r="B877" t="s">
        <v>4917</v>
      </c>
      <c r="C877" t="s">
        <v>4918</v>
      </c>
      <c r="D877" t="s">
        <v>19</v>
      </c>
      <c r="E877" t="s">
        <v>20</v>
      </c>
      <c r="F877" t="str">
        <f>"43607"</f>
        <v>43607</v>
      </c>
      <c r="G877" t="str">
        <f>"Pio448069"</f>
        <v>Pio448069</v>
      </c>
      <c r="H877" s="2">
        <f>99.55</f>
        <v>99.55</v>
      </c>
      <c r="I877" t="s">
        <v>86</v>
      </c>
      <c r="J877" t="s">
        <v>87</v>
      </c>
      <c r="K877" t="str">
        <f>"0"</f>
        <v>0</v>
      </c>
    </row>
    <row r="878" spans="1:11" x14ac:dyDescent="0.25">
      <c r="A878">
        <v>2021</v>
      </c>
      <c r="B878" t="s">
        <v>4919</v>
      </c>
      <c r="C878" t="s">
        <v>4920</v>
      </c>
      <c r="D878" t="s">
        <v>50</v>
      </c>
      <c r="E878" t="s">
        <v>20</v>
      </c>
      <c r="F878" t="str">
        <f>"43560"</f>
        <v>43560</v>
      </c>
      <c r="G878" t="str">
        <f>"402063"</f>
        <v>402063</v>
      </c>
      <c r="H878" s="2">
        <f>6.03</f>
        <v>6.03</v>
      </c>
      <c r="I878" t="s">
        <v>27</v>
      </c>
      <c r="J878" t="s">
        <v>71</v>
      </c>
      <c r="K878" t="str">
        <f>"22017811"</f>
        <v>22017811</v>
      </c>
    </row>
    <row r="879" spans="1:11" x14ac:dyDescent="0.25">
      <c r="A879">
        <v>2021</v>
      </c>
      <c r="B879" t="s">
        <v>4924</v>
      </c>
      <c r="C879" t="s">
        <v>4925</v>
      </c>
      <c r="D879" t="s">
        <v>58</v>
      </c>
      <c r="E879" t="s">
        <v>20</v>
      </c>
      <c r="F879" t="str">
        <f>"43616"</f>
        <v>43616</v>
      </c>
      <c r="G879" t="str">
        <f>"Pio448069"</f>
        <v>Pio448069</v>
      </c>
      <c r="H879" s="2">
        <f>86.14</f>
        <v>86.14</v>
      </c>
      <c r="I879" t="s">
        <v>86</v>
      </c>
      <c r="J879" t="s">
        <v>87</v>
      </c>
      <c r="K879" t="str">
        <f>"0"</f>
        <v>0</v>
      </c>
    </row>
    <row r="880" spans="1:11" x14ac:dyDescent="0.25">
      <c r="A880">
        <v>2021</v>
      </c>
      <c r="B880" t="s">
        <v>4926</v>
      </c>
      <c r="C880" t="s">
        <v>4927</v>
      </c>
      <c r="F880" t="str">
        <f>""</f>
        <v/>
      </c>
      <c r="G880" t="str">
        <f>"Swucf4621"</f>
        <v>Swucf4621</v>
      </c>
      <c r="H880" s="2">
        <f>11.96</f>
        <v>11.96</v>
      </c>
      <c r="I880" t="s">
        <v>15</v>
      </c>
      <c r="J880" t="s">
        <v>81</v>
      </c>
      <c r="K880" t="str">
        <f>"6297975"</f>
        <v>6297975</v>
      </c>
    </row>
    <row r="881" spans="1:11" x14ac:dyDescent="0.25">
      <c r="A881">
        <v>2021</v>
      </c>
      <c r="B881" t="s">
        <v>4926</v>
      </c>
      <c r="C881" t="s">
        <v>4927</v>
      </c>
      <c r="F881" t="str">
        <f>""</f>
        <v/>
      </c>
      <c r="G881" t="str">
        <f>"Swucf4621"</f>
        <v>Swucf4621</v>
      </c>
      <c r="H881" s="2">
        <f>3.64</f>
        <v>3.64</v>
      </c>
      <c r="I881" t="s">
        <v>15</v>
      </c>
      <c r="J881" t="s">
        <v>81</v>
      </c>
      <c r="K881" t="str">
        <f>"6297976"</f>
        <v>6297976</v>
      </c>
    </row>
    <row r="882" spans="1:11" x14ac:dyDescent="0.25">
      <c r="A882">
        <v>2021</v>
      </c>
      <c r="B882" t="s">
        <v>4928</v>
      </c>
      <c r="C882" t="s">
        <v>4929</v>
      </c>
      <c r="D882" t="s">
        <v>19</v>
      </c>
      <c r="E882" t="s">
        <v>20</v>
      </c>
      <c r="F882" t="str">
        <f>"43605"</f>
        <v>43605</v>
      </c>
      <c r="G882" t="str">
        <f>"Pio448069"</f>
        <v>Pio448069</v>
      </c>
      <c r="H882" s="2">
        <f>3.01</f>
        <v>3.01</v>
      </c>
      <c r="I882" t="s">
        <v>86</v>
      </c>
      <c r="J882" t="s">
        <v>87</v>
      </c>
      <c r="K882" t="str">
        <f>"0"</f>
        <v>0</v>
      </c>
    </row>
    <row r="883" spans="1:11" x14ac:dyDescent="0.25">
      <c r="A883">
        <v>2021</v>
      </c>
      <c r="B883" t="s">
        <v>4930</v>
      </c>
      <c r="C883" t="s">
        <v>4931</v>
      </c>
      <c r="D883" t="s">
        <v>19</v>
      </c>
      <c r="E883" t="s">
        <v>20</v>
      </c>
      <c r="F883" t="str">
        <f>"43611"</f>
        <v>43611</v>
      </c>
      <c r="G883" t="str">
        <f>"Pio448069"</f>
        <v>Pio448069</v>
      </c>
      <c r="H883" s="2">
        <f>3</f>
        <v>3</v>
      </c>
      <c r="I883" t="s">
        <v>86</v>
      </c>
      <c r="J883" t="s">
        <v>87</v>
      </c>
      <c r="K883" t="str">
        <f>"0"</f>
        <v>0</v>
      </c>
    </row>
    <row r="884" spans="1:11" x14ac:dyDescent="0.25">
      <c r="A884">
        <v>2021</v>
      </c>
      <c r="B884" t="s">
        <v>4932</v>
      </c>
      <c r="C884" t="s">
        <v>4373</v>
      </c>
      <c r="D884" t="s">
        <v>422</v>
      </c>
      <c r="E884" t="s">
        <v>20</v>
      </c>
      <c r="F884" t="str">
        <f>"44132"</f>
        <v>44132</v>
      </c>
      <c r="G884" t="str">
        <f>"402017"</f>
        <v>402017</v>
      </c>
      <c r="H884" s="2">
        <f>20</f>
        <v>20</v>
      </c>
      <c r="I884" t="s">
        <v>27</v>
      </c>
      <c r="J884" t="s">
        <v>212</v>
      </c>
      <c r="K884" t="str">
        <f>"35503"</f>
        <v>35503</v>
      </c>
    </row>
    <row r="885" spans="1:11" x14ac:dyDescent="0.25">
      <c r="A885">
        <v>2021</v>
      </c>
      <c r="B885" t="s">
        <v>4937</v>
      </c>
      <c r="C885" t="s">
        <v>4938</v>
      </c>
      <c r="D885" t="s">
        <v>19</v>
      </c>
      <c r="E885" t="s">
        <v>20</v>
      </c>
      <c r="F885" t="str">
        <f>"43614"</f>
        <v>43614</v>
      </c>
      <c r="G885" t="str">
        <f>"Bwucf4621"</f>
        <v>Bwucf4621</v>
      </c>
      <c r="H885" s="2">
        <f>5</f>
        <v>5</v>
      </c>
      <c r="I885" t="s">
        <v>15</v>
      </c>
      <c r="J885" t="s">
        <v>295</v>
      </c>
      <c r="K885" t="str">
        <f>"01440368"</f>
        <v>01440368</v>
      </c>
    </row>
    <row r="886" spans="1:11" x14ac:dyDescent="0.25">
      <c r="A886">
        <v>2021</v>
      </c>
      <c r="B886" t="s">
        <v>4956</v>
      </c>
      <c r="C886" t="s">
        <v>4957</v>
      </c>
      <c r="D886" t="s">
        <v>4958</v>
      </c>
      <c r="E886" t="s">
        <v>20</v>
      </c>
      <c r="F886" t="str">
        <f>"43557-9451"</f>
        <v>43557-9451</v>
      </c>
      <c r="G886" t="str">
        <f>"Swucf4621"</f>
        <v>Swucf4621</v>
      </c>
      <c r="H886" s="2">
        <f>120</f>
        <v>120</v>
      </c>
      <c r="I886" t="s">
        <v>15</v>
      </c>
      <c r="J886" t="s">
        <v>81</v>
      </c>
      <c r="K886" t="str">
        <f>"6290445"</f>
        <v>6290445</v>
      </c>
    </row>
    <row r="887" spans="1:11" x14ac:dyDescent="0.25">
      <c r="A887">
        <v>2021</v>
      </c>
      <c r="B887" t="s">
        <v>4959</v>
      </c>
      <c r="C887" t="s">
        <v>4960</v>
      </c>
      <c r="D887" t="s">
        <v>19</v>
      </c>
      <c r="E887" t="s">
        <v>20</v>
      </c>
      <c r="F887" t="str">
        <f>"43612"</f>
        <v>43612</v>
      </c>
      <c r="G887" t="str">
        <f>"Pio448069"</f>
        <v>Pio448069</v>
      </c>
      <c r="H887" s="2">
        <f>20</f>
        <v>20</v>
      </c>
      <c r="I887" t="s">
        <v>86</v>
      </c>
      <c r="J887" t="s">
        <v>87</v>
      </c>
      <c r="K887" t="str">
        <f>""</f>
        <v/>
      </c>
    </row>
    <row r="888" spans="1:11" x14ac:dyDescent="0.25">
      <c r="A888">
        <v>2021</v>
      </c>
      <c r="B888" t="s">
        <v>4963</v>
      </c>
      <c r="C888" t="s">
        <v>4964</v>
      </c>
      <c r="D888" t="s">
        <v>125</v>
      </c>
      <c r="E888" t="s">
        <v>20</v>
      </c>
      <c r="F888" t="str">
        <f>"43537"</f>
        <v>43537</v>
      </c>
      <c r="G888" t="str">
        <f>"Bwucf4621"</f>
        <v>Bwucf4621</v>
      </c>
      <c r="H888" s="2">
        <f>85</f>
        <v>85</v>
      </c>
      <c r="I888" t="s">
        <v>15</v>
      </c>
      <c r="J888" t="s">
        <v>295</v>
      </c>
      <c r="K888" t="str">
        <f>"01446148"</f>
        <v>01446148</v>
      </c>
    </row>
    <row r="889" spans="1:11" x14ac:dyDescent="0.25">
      <c r="A889">
        <v>2021</v>
      </c>
      <c r="B889" t="s">
        <v>4963</v>
      </c>
      <c r="C889" t="s">
        <v>4964</v>
      </c>
      <c r="D889" t="s">
        <v>125</v>
      </c>
      <c r="E889" t="s">
        <v>20</v>
      </c>
      <c r="F889" t="str">
        <f>"43537"</f>
        <v>43537</v>
      </c>
      <c r="G889" t="str">
        <f>"Bwucf4621"</f>
        <v>Bwucf4621</v>
      </c>
      <c r="H889" s="2">
        <f>146.95</f>
        <v>146.94999999999999</v>
      </c>
      <c r="I889" t="s">
        <v>15</v>
      </c>
      <c r="J889" t="s">
        <v>295</v>
      </c>
      <c r="K889" t="str">
        <f>"01448412"</f>
        <v>01448412</v>
      </c>
    </row>
    <row r="890" spans="1:11" x14ac:dyDescent="0.25">
      <c r="A890">
        <v>2021</v>
      </c>
      <c r="B890" t="s">
        <v>4965</v>
      </c>
      <c r="C890" t="s">
        <v>4966</v>
      </c>
      <c r="D890" t="s">
        <v>1074</v>
      </c>
      <c r="E890" t="s">
        <v>20</v>
      </c>
      <c r="F890" t="str">
        <f>"43551"</f>
        <v>43551</v>
      </c>
      <c r="G890" t="str">
        <f>"Pio448069"</f>
        <v>Pio448069</v>
      </c>
      <c r="H890" s="2">
        <f>3</f>
        <v>3</v>
      </c>
      <c r="I890" t="s">
        <v>86</v>
      </c>
      <c r="J890" t="s">
        <v>87</v>
      </c>
      <c r="K890" t="str">
        <f>"0"</f>
        <v>0</v>
      </c>
    </row>
    <row r="891" spans="1:11" x14ac:dyDescent="0.25">
      <c r="A891">
        <v>2021</v>
      </c>
      <c r="B891" t="s">
        <v>4967</v>
      </c>
      <c r="C891" t="s">
        <v>4968</v>
      </c>
      <c r="D891" t="s">
        <v>1754</v>
      </c>
      <c r="E891" t="s">
        <v>20</v>
      </c>
      <c r="F891" t="str">
        <f>"45040"</f>
        <v>45040</v>
      </c>
      <c r="G891" t="str">
        <f>"402017"</f>
        <v>402017</v>
      </c>
      <c r="H891" s="2">
        <f>20</f>
        <v>20</v>
      </c>
      <c r="I891" t="s">
        <v>27</v>
      </c>
      <c r="J891" t="s">
        <v>212</v>
      </c>
      <c r="K891" t="str">
        <f>"34945"</f>
        <v>34945</v>
      </c>
    </row>
    <row r="892" spans="1:11" x14ac:dyDescent="0.25">
      <c r="A892">
        <v>2021</v>
      </c>
      <c r="B892" t="s">
        <v>4983</v>
      </c>
      <c r="C892" t="s">
        <v>4984</v>
      </c>
      <c r="D892" t="s">
        <v>19</v>
      </c>
      <c r="E892" t="s">
        <v>20</v>
      </c>
      <c r="F892" t="str">
        <f>"43604"</f>
        <v>43604</v>
      </c>
      <c r="G892" t="str">
        <f>"Pio448069"</f>
        <v>Pio448069</v>
      </c>
      <c r="H892" s="2">
        <f>19.89</f>
        <v>19.89</v>
      </c>
      <c r="I892" t="s">
        <v>86</v>
      </c>
      <c r="J892" t="s">
        <v>87</v>
      </c>
      <c r="K892" t="str">
        <f>"0"</f>
        <v>0</v>
      </c>
    </row>
    <row r="893" spans="1:11" x14ac:dyDescent="0.25">
      <c r="A893">
        <v>2021</v>
      </c>
      <c r="B893" t="s">
        <v>4987</v>
      </c>
      <c r="C893" t="s">
        <v>4988</v>
      </c>
      <c r="D893" t="s">
        <v>19</v>
      </c>
      <c r="E893" t="s">
        <v>20</v>
      </c>
      <c r="F893" t="str">
        <f>"43607"</f>
        <v>43607</v>
      </c>
      <c r="G893" t="str">
        <f>"Pio448069"</f>
        <v>Pio448069</v>
      </c>
      <c r="H893" s="2">
        <f>20.41</f>
        <v>20.41</v>
      </c>
      <c r="I893" t="s">
        <v>86</v>
      </c>
      <c r="J893" t="s">
        <v>87</v>
      </c>
      <c r="K893" t="str">
        <f>"0"</f>
        <v>0</v>
      </c>
    </row>
    <row r="894" spans="1:11" x14ac:dyDescent="0.25">
      <c r="A894">
        <v>2021</v>
      </c>
      <c r="B894" t="s">
        <v>4989</v>
      </c>
      <c r="C894" t="s">
        <v>4990</v>
      </c>
      <c r="D894" t="s">
        <v>19</v>
      </c>
      <c r="E894" t="s">
        <v>20</v>
      </c>
      <c r="F894" t="str">
        <f>"43612"</f>
        <v>43612</v>
      </c>
      <c r="G894" t="str">
        <f>"402018"</f>
        <v>402018</v>
      </c>
      <c r="H894" s="2">
        <f>2.27</f>
        <v>2.27</v>
      </c>
      <c r="I894" t="s">
        <v>27</v>
      </c>
      <c r="J894" t="s">
        <v>171</v>
      </c>
      <c r="K894" t="str">
        <f>"517327"</f>
        <v>517327</v>
      </c>
    </row>
    <row r="895" spans="1:11" x14ac:dyDescent="0.25">
      <c r="A895">
        <v>2021</v>
      </c>
      <c r="B895" t="s">
        <v>4991</v>
      </c>
      <c r="C895" t="s">
        <v>4992</v>
      </c>
      <c r="D895" t="s">
        <v>125</v>
      </c>
      <c r="E895" t="s">
        <v>20</v>
      </c>
      <c r="F895" t="str">
        <f>"43537"</f>
        <v>43537</v>
      </c>
      <c r="G895" t="str">
        <f>"Pio448069"</f>
        <v>Pio448069</v>
      </c>
      <c r="H895" s="2">
        <f>0.44</f>
        <v>0.44</v>
      </c>
      <c r="I895" t="s">
        <v>86</v>
      </c>
      <c r="J895" t="s">
        <v>87</v>
      </c>
      <c r="K895" t="str">
        <f>"0"</f>
        <v>0</v>
      </c>
    </row>
    <row r="896" spans="1:11" x14ac:dyDescent="0.25">
      <c r="A896">
        <v>2021</v>
      </c>
      <c r="B896" t="s">
        <v>4993</v>
      </c>
      <c r="C896" t="s">
        <v>4994</v>
      </c>
      <c r="D896" t="s">
        <v>1074</v>
      </c>
      <c r="E896" t="s">
        <v>20</v>
      </c>
      <c r="F896" t="str">
        <f>"43551"</f>
        <v>43551</v>
      </c>
      <c r="G896" t="str">
        <f>"Pio448069"</f>
        <v>Pio448069</v>
      </c>
      <c r="H896" s="2">
        <f>75.69</f>
        <v>75.69</v>
      </c>
      <c r="I896" t="s">
        <v>86</v>
      </c>
      <c r="J896" t="s">
        <v>87</v>
      </c>
      <c r="K896" t="str">
        <f>"0"</f>
        <v>0</v>
      </c>
    </row>
    <row r="897" spans="1:11" x14ac:dyDescent="0.25">
      <c r="A897">
        <v>2021</v>
      </c>
      <c r="B897" t="s">
        <v>4998</v>
      </c>
      <c r="C897" t="s">
        <v>3314</v>
      </c>
      <c r="D897" t="s">
        <v>1163</v>
      </c>
      <c r="E897" t="s">
        <v>20</v>
      </c>
      <c r="F897" t="str">
        <f>"45227"</f>
        <v>45227</v>
      </c>
      <c r="G897" t="str">
        <f>"402017"</f>
        <v>402017</v>
      </c>
      <c r="H897" s="2">
        <f>259.1</f>
        <v>259.10000000000002</v>
      </c>
      <c r="I897" t="s">
        <v>27</v>
      </c>
      <c r="J897" t="s">
        <v>212</v>
      </c>
      <c r="K897" t="str">
        <f>"33704"</f>
        <v>33704</v>
      </c>
    </row>
    <row r="898" spans="1:11" x14ac:dyDescent="0.25">
      <c r="A898">
        <v>2021</v>
      </c>
      <c r="B898" t="s">
        <v>5000</v>
      </c>
      <c r="C898" t="s">
        <v>5001</v>
      </c>
      <c r="D898" t="s">
        <v>5002</v>
      </c>
      <c r="E898" t="s">
        <v>20</v>
      </c>
      <c r="F898" t="str">
        <f>"43106"</f>
        <v>43106</v>
      </c>
      <c r="G898" t="str">
        <f>"402018"</f>
        <v>402018</v>
      </c>
      <c r="H898" s="2">
        <f>9.08</f>
        <v>9.08</v>
      </c>
      <c r="I898" t="s">
        <v>27</v>
      </c>
      <c r="J898" t="s">
        <v>171</v>
      </c>
      <c r="K898" t="str">
        <f>"517648"</f>
        <v>517648</v>
      </c>
    </row>
    <row r="899" spans="1:11" x14ac:dyDescent="0.25">
      <c r="A899">
        <v>2021</v>
      </c>
      <c r="B899" t="s">
        <v>5003</v>
      </c>
      <c r="C899" t="s">
        <v>5004</v>
      </c>
      <c r="D899" t="s">
        <v>19</v>
      </c>
      <c r="E899" t="s">
        <v>20</v>
      </c>
      <c r="F899" t="str">
        <f>"43604"</f>
        <v>43604</v>
      </c>
      <c r="G899" t="str">
        <f>"402018"</f>
        <v>402018</v>
      </c>
      <c r="H899" s="2">
        <f>9.08</f>
        <v>9.08</v>
      </c>
      <c r="I899" t="s">
        <v>27</v>
      </c>
      <c r="J899" t="s">
        <v>171</v>
      </c>
      <c r="K899" t="str">
        <f>"517653"</f>
        <v>517653</v>
      </c>
    </row>
    <row r="900" spans="1:11" x14ac:dyDescent="0.25">
      <c r="A900">
        <v>2021</v>
      </c>
      <c r="B900" t="s">
        <v>5005</v>
      </c>
      <c r="C900" t="s">
        <v>5006</v>
      </c>
      <c r="D900" t="s">
        <v>19</v>
      </c>
      <c r="E900" t="s">
        <v>20</v>
      </c>
      <c r="F900" t="str">
        <f>"43611-1580"</f>
        <v>43611-1580</v>
      </c>
      <c r="G900" t="str">
        <f>"402019"</f>
        <v>402019</v>
      </c>
      <c r="H900" s="2">
        <f>10</f>
        <v>10</v>
      </c>
      <c r="I900" t="s">
        <v>27</v>
      </c>
      <c r="J900" t="s">
        <v>42</v>
      </c>
      <c r="K900" t="str">
        <f>"112584"</f>
        <v>112584</v>
      </c>
    </row>
    <row r="901" spans="1:11" x14ac:dyDescent="0.25">
      <c r="A901">
        <v>2021</v>
      </c>
      <c r="B901" t="s">
        <v>5012</v>
      </c>
      <c r="C901" t="s">
        <v>5013</v>
      </c>
      <c r="D901" t="s">
        <v>19</v>
      </c>
      <c r="E901" t="s">
        <v>20</v>
      </c>
      <c r="F901" t="str">
        <f>"43612"</f>
        <v>43612</v>
      </c>
      <c r="G901" t="str">
        <f>"402019"</f>
        <v>402019</v>
      </c>
      <c r="H901" s="2">
        <f>10</f>
        <v>10</v>
      </c>
      <c r="I901" t="s">
        <v>27</v>
      </c>
      <c r="J901" t="s">
        <v>42</v>
      </c>
      <c r="K901" t="str">
        <f>"113473"</f>
        <v>113473</v>
      </c>
    </row>
    <row r="902" spans="1:11" x14ac:dyDescent="0.25">
      <c r="A902">
        <v>2021</v>
      </c>
      <c r="B902" t="s">
        <v>5026</v>
      </c>
      <c r="C902" t="s">
        <v>5027</v>
      </c>
      <c r="D902" t="s">
        <v>19</v>
      </c>
      <c r="E902" t="s">
        <v>20</v>
      </c>
      <c r="F902" t="str">
        <f>"43623"</f>
        <v>43623</v>
      </c>
      <c r="G902" t="str">
        <f>"Pio448069"</f>
        <v>Pio448069</v>
      </c>
      <c r="H902" s="2">
        <f>71.76</f>
        <v>71.760000000000005</v>
      </c>
      <c r="I902" t="s">
        <v>86</v>
      </c>
      <c r="J902" t="s">
        <v>87</v>
      </c>
      <c r="K902" t="str">
        <f>"0"</f>
        <v>0</v>
      </c>
    </row>
    <row r="903" spans="1:11" x14ac:dyDescent="0.25">
      <c r="A903">
        <v>2021</v>
      </c>
      <c r="B903" t="s">
        <v>5040</v>
      </c>
      <c r="C903" t="s">
        <v>5041</v>
      </c>
      <c r="D903" t="s">
        <v>5042</v>
      </c>
      <c r="E903" t="s">
        <v>204</v>
      </c>
      <c r="F903" t="str">
        <f>"31210"</f>
        <v>31210</v>
      </c>
      <c r="G903" t="str">
        <f>"402063"</f>
        <v>402063</v>
      </c>
      <c r="H903" s="2">
        <f>315.37</f>
        <v>315.37</v>
      </c>
      <c r="I903" t="s">
        <v>27</v>
      </c>
      <c r="J903" t="s">
        <v>71</v>
      </c>
      <c r="K903" t="str">
        <f>"11003693"</f>
        <v>11003693</v>
      </c>
    </row>
    <row r="904" spans="1:11" x14ac:dyDescent="0.25">
      <c r="A904">
        <v>2021</v>
      </c>
      <c r="B904" t="s">
        <v>5043</v>
      </c>
      <c r="C904" t="s">
        <v>5044</v>
      </c>
      <c r="D904" t="s">
        <v>4271</v>
      </c>
      <c r="E904" t="s">
        <v>14</v>
      </c>
      <c r="F904" t="str">
        <f>"48144"</f>
        <v>48144</v>
      </c>
      <c r="G904" t="str">
        <f>"Je092221"</f>
        <v>Je092221</v>
      </c>
      <c r="H904" s="2">
        <f>48</f>
        <v>48</v>
      </c>
      <c r="I904" t="s">
        <v>15</v>
      </c>
      <c r="J904" t="s">
        <v>114</v>
      </c>
      <c r="K904" t="str">
        <f>"60010468"</f>
        <v>60010468</v>
      </c>
    </row>
    <row r="905" spans="1:11" x14ac:dyDescent="0.25">
      <c r="A905">
        <v>2021</v>
      </c>
      <c r="B905" t="s">
        <v>5054</v>
      </c>
      <c r="C905" t="s">
        <v>5055</v>
      </c>
      <c r="D905" t="s">
        <v>105</v>
      </c>
      <c r="E905" t="s">
        <v>20</v>
      </c>
      <c r="F905" t="str">
        <f>"43528-7972"</f>
        <v>43528-7972</v>
      </c>
      <c r="G905" t="str">
        <f>"402019"</f>
        <v>402019</v>
      </c>
      <c r="H905" s="2">
        <f>10</f>
        <v>10</v>
      </c>
      <c r="I905" t="s">
        <v>27</v>
      </c>
      <c r="J905" t="s">
        <v>42</v>
      </c>
      <c r="K905" t="str">
        <f>"112526"</f>
        <v>112526</v>
      </c>
    </row>
    <row r="906" spans="1:11" x14ac:dyDescent="0.25">
      <c r="A906">
        <v>2021</v>
      </c>
      <c r="B906" t="s">
        <v>5056</v>
      </c>
      <c r="C906" t="s">
        <v>5057</v>
      </c>
      <c r="D906" t="s">
        <v>19</v>
      </c>
      <c r="E906" t="s">
        <v>20</v>
      </c>
      <c r="F906" t="str">
        <f>"43604-9009"</f>
        <v>43604-9009</v>
      </c>
      <c r="G906" t="str">
        <f>"402019"</f>
        <v>402019</v>
      </c>
      <c r="H906" s="2">
        <f>10</f>
        <v>10</v>
      </c>
      <c r="I906" t="s">
        <v>27</v>
      </c>
      <c r="J906" t="s">
        <v>42</v>
      </c>
      <c r="K906" t="str">
        <f>"115622"</f>
        <v>115622</v>
      </c>
    </row>
    <row r="907" spans="1:11" x14ac:dyDescent="0.25">
      <c r="A907">
        <v>2021</v>
      </c>
      <c r="B907" t="s">
        <v>5080</v>
      </c>
      <c r="C907" t="s">
        <v>5081</v>
      </c>
      <c r="D907" t="s">
        <v>422</v>
      </c>
      <c r="E907" t="s">
        <v>20</v>
      </c>
      <c r="F907" t="str">
        <f>"44114"</f>
        <v>44114</v>
      </c>
      <c r="G907" t="str">
        <f>"402017"</f>
        <v>402017</v>
      </c>
      <c r="H907" s="2">
        <f>11</f>
        <v>11</v>
      </c>
      <c r="I907" t="s">
        <v>27</v>
      </c>
      <c r="J907" t="s">
        <v>212</v>
      </c>
      <c r="K907" t="str">
        <f>"35904"</f>
        <v>35904</v>
      </c>
    </row>
    <row r="908" spans="1:11" x14ac:dyDescent="0.25">
      <c r="A908">
        <v>2021</v>
      </c>
      <c r="B908" t="s">
        <v>5086</v>
      </c>
      <c r="C908" t="s">
        <v>5087</v>
      </c>
      <c r="D908" t="s">
        <v>5088</v>
      </c>
      <c r="E908" t="s">
        <v>4545</v>
      </c>
      <c r="F908" t="str">
        <f>"35609-2208"</f>
        <v>35609-2208</v>
      </c>
      <c r="G908" t="str">
        <f>"Je092221"</f>
        <v>Je092221</v>
      </c>
      <c r="H908" s="2">
        <f>51.6</f>
        <v>51.6</v>
      </c>
      <c r="I908" t="s">
        <v>15</v>
      </c>
      <c r="J908" t="s">
        <v>114</v>
      </c>
      <c r="K908" t="str">
        <f>"60016359"</f>
        <v>60016359</v>
      </c>
    </row>
    <row r="909" spans="1:11" x14ac:dyDescent="0.25">
      <c r="A909">
        <v>2021</v>
      </c>
      <c r="B909" t="s">
        <v>5089</v>
      </c>
      <c r="C909" t="s">
        <v>5090</v>
      </c>
      <c r="D909" t="s">
        <v>19</v>
      </c>
      <c r="E909" t="s">
        <v>20</v>
      </c>
      <c r="F909" t="str">
        <f>"43605"</f>
        <v>43605</v>
      </c>
      <c r="G909" t="str">
        <f>"Pio448069"</f>
        <v>Pio448069</v>
      </c>
      <c r="H909" s="2">
        <f>0.27</f>
        <v>0.27</v>
      </c>
      <c r="I909" t="s">
        <v>86</v>
      </c>
      <c r="J909" t="s">
        <v>87</v>
      </c>
      <c r="K909" t="str">
        <f>"0"</f>
        <v>0</v>
      </c>
    </row>
    <row r="910" spans="1:11" x14ac:dyDescent="0.25">
      <c r="A910">
        <v>2021</v>
      </c>
      <c r="B910" t="s">
        <v>5093</v>
      </c>
      <c r="C910" t="s">
        <v>5094</v>
      </c>
      <c r="D910" t="s">
        <v>19</v>
      </c>
      <c r="E910" t="s">
        <v>20</v>
      </c>
      <c r="F910" t="str">
        <f>"43623"</f>
        <v>43623</v>
      </c>
      <c r="G910" t="str">
        <f>"Swucf4621"</f>
        <v>Swucf4621</v>
      </c>
      <c r="H910" s="2">
        <f>160</f>
        <v>160</v>
      </c>
      <c r="I910" t="s">
        <v>15</v>
      </c>
      <c r="J910" t="s">
        <v>81</v>
      </c>
      <c r="K910" t="str">
        <f>"6294495"</f>
        <v>6294495</v>
      </c>
    </row>
    <row r="911" spans="1:11" x14ac:dyDescent="0.25">
      <c r="A911">
        <v>2021</v>
      </c>
      <c r="B911" t="s">
        <v>5103</v>
      </c>
      <c r="C911" t="s">
        <v>5104</v>
      </c>
      <c r="D911" t="s">
        <v>19</v>
      </c>
      <c r="E911" t="s">
        <v>20</v>
      </c>
      <c r="F911" t="str">
        <f>"43612-5203"</f>
        <v>43612-5203</v>
      </c>
      <c r="G911" t="str">
        <f>"402019"</f>
        <v>402019</v>
      </c>
      <c r="H911" s="2">
        <f>20</f>
        <v>20</v>
      </c>
      <c r="I911" t="s">
        <v>27</v>
      </c>
      <c r="J911" t="s">
        <v>42</v>
      </c>
      <c r="K911" t="str">
        <f>"113776"</f>
        <v>113776</v>
      </c>
    </row>
    <row r="912" spans="1:11" x14ac:dyDescent="0.25">
      <c r="A912">
        <v>2021</v>
      </c>
      <c r="B912" t="s">
        <v>5107</v>
      </c>
      <c r="C912" t="s">
        <v>5108</v>
      </c>
      <c r="D912" t="s">
        <v>105</v>
      </c>
      <c r="E912" t="s">
        <v>20</v>
      </c>
      <c r="F912" t="str">
        <f>"43528-8577"</f>
        <v>43528-8577</v>
      </c>
      <c r="G912" t="str">
        <f>"402019"</f>
        <v>402019</v>
      </c>
      <c r="H912" s="2">
        <f>10</f>
        <v>10</v>
      </c>
      <c r="I912" t="s">
        <v>27</v>
      </c>
      <c r="J912" t="s">
        <v>42</v>
      </c>
      <c r="K912" t="str">
        <f>"114448"</f>
        <v>114448</v>
      </c>
    </row>
    <row r="913" spans="1:11" x14ac:dyDescent="0.25">
      <c r="A913">
        <v>2021</v>
      </c>
      <c r="B913" t="s">
        <v>5109</v>
      </c>
      <c r="C913" t="s">
        <v>5110</v>
      </c>
      <c r="D913" t="s">
        <v>19</v>
      </c>
      <c r="E913" t="s">
        <v>20</v>
      </c>
      <c r="F913" t="str">
        <f>"43607"</f>
        <v>43607</v>
      </c>
      <c r="G913" t="str">
        <f>"Je092221"</f>
        <v>Je092221</v>
      </c>
      <c r="H913" s="2">
        <f>15.53</f>
        <v>15.53</v>
      </c>
      <c r="I913" t="s">
        <v>15</v>
      </c>
      <c r="J913" t="s">
        <v>114</v>
      </c>
      <c r="K913" t="str">
        <f>"60008829"</f>
        <v>60008829</v>
      </c>
    </row>
    <row r="914" spans="1:11" x14ac:dyDescent="0.25">
      <c r="A914">
        <v>2021</v>
      </c>
      <c r="B914" t="s">
        <v>5117</v>
      </c>
      <c r="C914" t="s">
        <v>1050</v>
      </c>
      <c r="D914" t="s">
        <v>19</v>
      </c>
      <c r="E914" t="s">
        <v>20</v>
      </c>
      <c r="F914" t="str">
        <f>"43613"</f>
        <v>43613</v>
      </c>
      <c r="G914" t="str">
        <f>"402063"</f>
        <v>402063</v>
      </c>
      <c r="H914" s="2">
        <f>5.69</f>
        <v>5.69</v>
      </c>
      <c r="I914" t="s">
        <v>27</v>
      </c>
      <c r="J914" t="s">
        <v>71</v>
      </c>
      <c r="K914" t="str">
        <f>"22022374"</f>
        <v>22022374</v>
      </c>
    </row>
    <row r="915" spans="1:11" x14ac:dyDescent="0.25">
      <c r="A915">
        <v>2021</v>
      </c>
      <c r="B915" t="s">
        <v>5117</v>
      </c>
      <c r="C915" t="s">
        <v>1050</v>
      </c>
      <c r="D915" t="s">
        <v>19</v>
      </c>
      <c r="E915" t="s">
        <v>20</v>
      </c>
      <c r="F915" t="str">
        <f>"43613"</f>
        <v>43613</v>
      </c>
      <c r="G915" t="str">
        <f>"402063"</f>
        <v>402063</v>
      </c>
      <c r="H915" s="2">
        <f>12.62</f>
        <v>12.62</v>
      </c>
      <c r="I915" t="s">
        <v>27</v>
      </c>
      <c r="J915" t="s">
        <v>71</v>
      </c>
      <c r="K915" t="str">
        <f>"22019933"</f>
        <v>22019933</v>
      </c>
    </row>
    <row r="916" spans="1:11" x14ac:dyDescent="0.25">
      <c r="A916">
        <v>2021</v>
      </c>
      <c r="B916" t="s">
        <v>5124</v>
      </c>
      <c r="C916" t="s">
        <v>5125</v>
      </c>
      <c r="D916" t="s">
        <v>19</v>
      </c>
      <c r="E916" t="s">
        <v>20</v>
      </c>
      <c r="F916" t="str">
        <f>"43614"</f>
        <v>43614</v>
      </c>
      <c r="G916" t="str">
        <f>"397019"</f>
        <v>397019</v>
      </c>
      <c r="H916" s="2">
        <f>40</f>
        <v>40</v>
      </c>
      <c r="I916" t="s">
        <v>519</v>
      </c>
      <c r="J916" t="s">
        <v>519</v>
      </c>
      <c r="K916" t="str">
        <f>"10448"</f>
        <v>10448</v>
      </c>
    </row>
    <row r="917" spans="1:11" x14ac:dyDescent="0.25">
      <c r="A917">
        <v>2021</v>
      </c>
      <c r="B917" t="s">
        <v>5129</v>
      </c>
      <c r="C917" t="s">
        <v>5130</v>
      </c>
      <c r="D917" t="s">
        <v>19</v>
      </c>
      <c r="E917" t="s">
        <v>20</v>
      </c>
      <c r="F917" t="str">
        <f>"43611"</f>
        <v>43611</v>
      </c>
      <c r="G917" t="str">
        <f>"Pio448069"</f>
        <v>Pio448069</v>
      </c>
      <c r="H917" s="2">
        <f>0.02</f>
        <v>0.02</v>
      </c>
      <c r="I917" t="s">
        <v>86</v>
      </c>
      <c r="J917" t="s">
        <v>87</v>
      </c>
      <c r="K917" t="str">
        <f>"0"</f>
        <v>0</v>
      </c>
    </row>
    <row r="918" spans="1:11" x14ac:dyDescent="0.25">
      <c r="A918">
        <v>2021</v>
      </c>
      <c r="B918" t="s">
        <v>5157</v>
      </c>
      <c r="C918" t="s">
        <v>5158</v>
      </c>
      <c r="D918" t="s">
        <v>19</v>
      </c>
      <c r="E918" t="s">
        <v>20</v>
      </c>
      <c r="F918" t="str">
        <f>"43611-1926"</f>
        <v>43611-1926</v>
      </c>
      <c r="G918" t="str">
        <f t="shared" ref="G918:G924" si="24">"402019"</f>
        <v>402019</v>
      </c>
      <c r="H918" s="2">
        <f>20</f>
        <v>20</v>
      </c>
      <c r="I918" t="s">
        <v>27</v>
      </c>
      <c r="J918" t="s">
        <v>42</v>
      </c>
      <c r="K918" t="str">
        <f>"111785"</f>
        <v>111785</v>
      </c>
    </row>
    <row r="919" spans="1:11" x14ac:dyDescent="0.25">
      <c r="A919">
        <v>2021</v>
      </c>
      <c r="B919" t="s">
        <v>5181</v>
      </c>
      <c r="C919" t="s">
        <v>5182</v>
      </c>
      <c r="D919" t="s">
        <v>19</v>
      </c>
      <c r="E919" t="s">
        <v>20</v>
      </c>
      <c r="F919" t="str">
        <f>"43611-1412"</f>
        <v>43611-1412</v>
      </c>
      <c r="G919" t="str">
        <f t="shared" si="24"/>
        <v>402019</v>
      </c>
      <c r="H919" s="2">
        <f>20</f>
        <v>20</v>
      </c>
      <c r="I919" t="s">
        <v>27</v>
      </c>
      <c r="J919" t="s">
        <v>42</v>
      </c>
      <c r="K919" t="str">
        <f>"112387"</f>
        <v>112387</v>
      </c>
    </row>
    <row r="920" spans="1:11" x14ac:dyDescent="0.25">
      <c r="A920">
        <v>2021</v>
      </c>
      <c r="B920" t="s">
        <v>5217</v>
      </c>
      <c r="C920" t="s">
        <v>5218</v>
      </c>
      <c r="D920" t="s">
        <v>19</v>
      </c>
      <c r="E920" t="s">
        <v>20</v>
      </c>
      <c r="F920" t="str">
        <f>"43613-4901"</f>
        <v>43613-4901</v>
      </c>
      <c r="G920" t="str">
        <f t="shared" si="24"/>
        <v>402019</v>
      </c>
      <c r="H920" s="2">
        <f>10</f>
        <v>10</v>
      </c>
      <c r="I920" t="s">
        <v>27</v>
      </c>
      <c r="J920" t="s">
        <v>42</v>
      </c>
      <c r="K920" t="str">
        <f>"115558"</f>
        <v>115558</v>
      </c>
    </row>
    <row r="921" spans="1:11" x14ac:dyDescent="0.25">
      <c r="A921">
        <v>2021</v>
      </c>
      <c r="B921" t="s">
        <v>5223</v>
      </c>
      <c r="C921" t="s">
        <v>5224</v>
      </c>
      <c r="D921" t="s">
        <v>19</v>
      </c>
      <c r="E921" t="s">
        <v>20</v>
      </c>
      <c r="F921" t="str">
        <f>"43611-1046"</f>
        <v>43611-1046</v>
      </c>
      <c r="G921" t="str">
        <f t="shared" si="24"/>
        <v>402019</v>
      </c>
      <c r="H921" s="2">
        <f>10</f>
        <v>10</v>
      </c>
      <c r="I921" t="s">
        <v>27</v>
      </c>
      <c r="J921" t="s">
        <v>42</v>
      </c>
      <c r="K921" t="str">
        <f>"114657"</f>
        <v>114657</v>
      </c>
    </row>
    <row r="922" spans="1:11" x14ac:dyDescent="0.25">
      <c r="A922">
        <v>2021</v>
      </c>
      <c r="B922" t="s">
        <v>5249</v>
      </c>
      <c r="C922" t="s">
        <v>5250</v>
      </c>
      <c r="D922" t="s">
        <v>19</v>
      </c>
      <c r="E922" t="s">
        <v>20</v>
      </c>
      <c r="F922" t="str">
        <f>"43606-2049"</f>
        <v>43606-2049</v>
      </c>
      <c r="G922" t="str">
        <f t="shared" si="24"/>
        <v>402019</v>
      </c>
      <c r="H922" s="2">
        <f>10</f>
        <v>10</v>
      </c>
      <c r="I922" t="s">
        <v>27</v>
      </c>
      <c r="J922" t="s">
        <v>42</v>
      </c>
      <c r="K922" t="str">
        <f>"114161"</f>
        <v>114161</v>
      </c>
    </row>
    <row r="923" spans="1:11" x14ac:dyDescent="0.25">
      <c r="A923">
        <v>2021</v>
      </c>
      <c r="B923" t="s">
        <v>5265</v>
      </c>
      <c r="C923" t="s">
        <v>5266</v>
      </c>
      <c r="D923" t="s">
        <v>19</v>
      </c>
      <c r="E923" t="s">
        <v>20</v>
      </c>
      <c r="F923" t="str">
        <f>"43623-1949"</f>
        <v>43623-1949</v>
      </c>
      <c r="G923" t="str">
        <f t="shared" si="24"/>
        <v>402019</v>
      </c>
      <c r="H923" s="2">
        <f>10</f>
        <v>10</v>
      </c>
      <c r="I923" t="s">
        <v>27</v>
      </c>
      <c r="J923" t="s">
        <v>42</v>
      </c>
      <c r="K923" t="str">
        <f>"114740"</f>
        <v>114740</v>
      </c>
    </row>
    <row r="924" spans="1:11" x14ac:dyDescent="0.25">
      <c r="A924">
        <v>2021</v>
      </c>
      <c r="B924" t="s">
        <v>5278</v>
      </c>
      <c r="C924" t="s">
        <v>5279</v>
      </c>
      <c r="D924" t="s">
        <v>19</v>
      </c>
      <c r="E924" t="s">
        <v>20</v>
      </c>
      <c r="F924" t="str">
        <f>"43614-5649"</f>
        <v>43614-5649</v>
      </c>
      <c r="G924" t="str">
        <f t="shared" si="24"/>
        <v>402019</v>
      </c>
      <c r="H924" s="2">
        <f>10</f>
        <v>10</v>
      </c>
      <c r="I924" t="s">
        <v>27</v>
      </c>
      <c r="J924" t="s">
        <v>42</v>
      </c>
      <c r="K924" t="str">
        <f>"113877"</f>
        <v>113877</v>
      </c>
    </row>
    <row r="925" spans="1:11" x14ac:dyDescent="0.25">
      <c r="A925">
        <v>2021</v>
      </c>
      <c r="B925" t="s">
        <v>5304</v>
      </c>
      <c r="C925" t="s">
        <v>5305</v>
      </c>
      <c r="D925" t="s">
        <v>19</v>
      </c>
      <c r="E925" t="s">
        <v>20</v>
      </c>
      <c r="F925" t="str">
        <f>"43607"</f>
        <v>43607</v>
      </c>
      <c r="G925" t="str">
        <f>"Je092221"</f>
        <v>Je092221</v>
      </c>
      <c r="H925" s="2">
        <f>1</f>
        <v>1</v>
      </c>
      <c r="I925" t="s">
        <v>15</v>
      </c>
      <c r="J925" t="s">
        <v>114</v>
      </c>
      <c r="K925" t="str">
        <f>"60014249"</f>
        <v>60014249</v>
      </c>
    </row>
    <row r="926" spans="1:11" x14ac:dyDescent="0.25">
      <c r="A926">
        <v>2021</v>
      </c>
      <c r="B926" t="s">
        <v>5310</v>
      </c>
      <c r="C926" t="s">
        <v>5311</v>
      </c>
      <c r="D926" t="s">
        <v>19</v>
      </c>
      <c r="E926" t="s">
        <v>20</v>
      </c>
      <c r="F926" t="str">
        <f>"43613-4423"</f>
        <v>43613-4423</v>
      </c>
      <c r="G926" t="str">
        <f>"402019"</f>
        <v>402019</v>
      </c>
      <c r="H926" s="2">
        <f>10</f>
        <v>10</v>
      </c>
      <c r="I926" t="s">
        <v>27</v>
      </c>
      <c r="J926" t="s">
        <v>42</v>
      </c>
      <c r="K926" t="str">
        <f>"112780"</f>
        <v>112780</v>
      </c>
    </row>
    <row r="927" spans="1:11" x14ac:dyDescent="0.25">
      <c r="A927">
        <v>2021</v>
      </c>
      <c r="B927" t="s">
        <v>5334</v>
      </c>
      <c r="C927" t="s">
        <v>5335</v>
      </c>
      <c r="D927" t="s">
        <v>5336</v>
      </c>
      <c r="E927" t="s">
        <v>600</v>
      </c>
      <c r="F927" t="str">
        <f>"40383"</f>
        <v>40383</v>
      </c>
      <c r="G927" t="str">
        <f>"402063"</f>
        <v>402063</v>
      </c>
      <c r="H927" s="2">
        <f>5</f>
        <v>5</v>
      </c>
      <c r="I927" t="s">
        <v>27</v>
      </c>
      <c r="J927" t="s">
        <v>71</v>
      </c>
      <c r="K927" t="str">
        <f>"33007287"</f>
        <v>33007287</v>
      </c>
    </row>
    <row r="928" spans="1:11" x14ac:dyDescent="0.25">
      <c r="A928">
        <v>2021</v>
      </c>
      <c r="B928" t="s">
        <v>5341</v>
      </c>
      <c r="C928" t="s">
        <v>5342</v>
      </c>
      <c r="D928" t="s">
        <v>19</v>
      </c>
      <c r="E928" t="s">
        <v>20</v>
      </c>
      <c r="F928" t="str">
        <f>"43607-3836"</f>
        <v>43607-3836</v>
      </c>
      <c r="G928" t="str">
        <f>"402019"</f>
        <v>402019</v>
      </c>
      <c r="H928" s="2">
        <f>10</f>
        <v>10</v>
      </c>
      <c r="I928" t="s">
        <v>27</v>
      </c>
      <c r="J928" t="s">
        <v>42</v>
      </c>
      <c r="K928" t="str">
        <f>"114203"</f>
        <v>114203</v>
      </c>
    </row>
    <row r="929" spans="1:11" x14ac:dyDescent="0.25">
      <c r="A929">
        <v>2021</v>
      </c>
      <c r="B929" t="s">
        <v>5343</v>
      </c>
      <c r="C929" t="s">
        <v>5344</v>
      </c>
      <c r="D929" t="s">
        <v>19</v>
      </c>
      <c r="E929" t="s">
        <v>20</v>
      </c>
      <c r="F929" t="str">
        <f>"43614-4204"</f>
        <v>43614-4204</v>
      </c>
      <c r="G929" t="str">
        <f>"402019"</f>
        <v>402019</v>
      </c>
      <c r="H929" s="2">
        <f>10</f>
        <v>10</v>
      </c>
      <c r="I929" t="s">
        <v>27</v>
      </c>
      <c r="J929" t="s">
        <v>42</v>
      </c>
      <c r="K929" t="str">
        <f>"112077"</f>
        <v>112077</v>
      </c>
    </row>
    <row r="930" spans="1:11" x14ac:dyDescent="0.25">
      <c r="A930">
        <v>2021</v>
      </c>
      <c r="B930" t="s">
        <v>5355</v>
      </c>
      <c r="C930" t="s">
        <v>5356</v>
      </c>
      <c r="D930" t="s">
        <v>58</v>
      </c>
      <c r="E930" t="s">
        <v>20</v>
      </c>
      <c r="F930" t="str">
        <f>"43616-3135"</f>
        <v>43616-3135</v>
      </c>
      <c r="G930" t="str">
        <f>"402019"</f>
        <v>402019</v>
      </c>
      <c r="H930" s="2">
        <f>10</f>
        <v>10</v>
      </c>
      <c r="I930" t="s">
        <v>27</v>
      </c>
      <c r="J930" t="s">
        <v>42</v>
      </c>
      <c r="K930" t="str">
        <f>"113695"</f>
        <v>113695</v>
      </c>
    </row>
    <row r="931" spans="1:11" x14ac:dyDescent="0.25">
      <c r="A931">
        <v>2021</v>
      </c>
      <c r="B931" t="s">
        <v>5383</v>
      </c>
      <c r="C931" t="s">
        <v>5384</v>
      </c>
      <c r="D931" t="s">
        <v>19</v>
      </c>
      <c r="E931" t="s">
        <v>20</v>
      </c>
      <c r="F931" t="str">
        <f>"43606-3403"</f>
        <v>43606-3403</v>
      </c>
      <c r="G931" t="str">
        <f>"402019"</f>
        <v>402019</v>
      </c>
      <c r="H931" s="2">
        <f>10</f>
        <v>10</v>
      </c>
      <c r="I931" t="s">
        <v>27</v>
      </c>
      <c r="J931" t="s">
        <v>42</v>
      </c>
      <c r="K931" t="str">
        <f>"113998"</f>
        <v>113998</v>
      </c>
    </row>
    <row r="932" spans="1:11" x14ac:dyDescent="0.25">
      <c r="A932">
        <v>2021</v>
      </c>
      <c r="B932" t="s">
        <v>5387</v>
      </c>
      <c r="C932" t="s">
        <v>5388</v>
      </c>
      <c r="D932" t="s">
        <v>19</v>
      </c>
      <c r="E932" t="s">
        <v>20</v>
      </c>
      <c r="F932" t="str">
        <f>"43605"</f>
        <v>43605</v>
      </c>
      <c r="G932" t="str">
        <f>"402018"</f>
        <v>402018</v>
      </c>
      <c r="H932" s="2">
        <f>25</f>
        <v>25</v>
      </c>
      <c r="I932" t="s">
        <v>27</v>
      </c>
      <c r="J932" t="s">
        <v>171</v>
      </c>
      <c r="K932" t="str">
        <f>"515592"</f>
        <v>515592</v>
      </c>
    </row>
    <row r="933" spans="1:11" x14ac:dyDescent="0.25">
      <c r="A933">
        <v>2021</v>
      </c>
      <c r="B933" t="s">
        <v>5401</v>
      </c>
      <c r="C933" t="s">
        <v>5402</v>
      </c>
      <c r="D933" t="s">
        <v>19</v>
      </c>
      <c r="E933" t="s">
        <v>20</v>
      </c>
      <c r="F933" t="str">
        <f>"43613-4113"</f>
        <v>43613-4113</v>
      </c>
      <c r="G933" t="str">
        <f>"402019"</f>
        <v>402019</v>
      </c>
      <c r="H933" s="2">
        <f>10</f>
        <v>10</v>
      </c>
      <c r="I933" t="s">
        <v>27</v>
      </c>
      <c r="J933" t="s">
        <v>42</v>
      </c>
      <c r="K933" t="str">
        <f>"115042"</f>
        <v>115042</v>
      </c>
    </row>
    <row r="934" spans="1:11" x14ac:dyDescent="0.25">
      <c r="A934">
        <v>2021</v>
      </c>
      <c r="B934" t="s">
        <v>5405</v>
      </c>
      <c r="C934" t="s">
        <v>5406</v>
      </c>
      <c r="D934" t="s">
        <v>19</v>
      </c>
      <c r="E934" t="s">
        <v>20</v>
      </c>
      <c r="F934" t="str">
        <f>"43611-2569"</f>
        <v>43611-2569</v>
      </c>
      <c r="G934" t="str">
        <f>"402019"</f>
        <v>402019</v>
      </c>
      <c r="H934" s="2">
        <f>20</f>
        <v>20</v>
      </c>
      <c r="I934" t="s">
        <v>27</v>
      </c>
      <c r="J934" t="s">
        <v>42</v>
      </c>
      <c r="K934" t="str">
        <f>"113088"</f>
        <v>113088</v>
      </c>
    </row>
    <row r="935" spans="1:11" x14ac:dyDescent="0.25">
      <c r="A935">
        <v>2021</v>
      </c>
      <c r="B935" t="s">
        <v>5409</v>
      </c>
      <c r="C935" t="s">
        <v>5410</v>
      </c>
      <c r="D935" t="s">
        <v>19</v>
      </c>
      <c r="E935" t="s">
        <v>20</v>
      </c>
      <c r="F935" t="str">
        <f>"43609-2978"</f>
        <v>43609-2978</v>
      </c>
      <c r="G935" t="str">
        <f>"402019"</f>
        <v>402019</v>
      </c>
      <c r="H935" s="2">
        <f>10</f>
        <v>10</v>
      </c>
      <c r="I935" t="s">
        <v>27</v>
      </c>
      <c r="J935" t="s">
        <v>42</v>
      </c>
      <c r="K935" t="str">
        <f>"115307"</f>
        <v>115307</v>
      </c>
    </row>
    <row r="936" spans="1:11" x14ac:dyDescent="0.25">
      <c r="A936">
        <v>2021</v>
      </c>
      <c r="B936" t="s">
        <v>5415</v>
      </c>
      <c r="C936" t="s">
        <v>5416</v>
      </c>
      <c r="D936" t="s">
        <v>19</v>
      </c>
      <c r="E936" t="s">
        <v>20</v>
      </c>
      <c r="F936" t="str">
        <f>"43605"</f>
        <v>43605</v>
      </c>
      <c r="G936" t="str">
        <f>"Je061721"</f>
        <v>Je061721</v>
      </c>
      <c r="H936" s="2">
        <f>15.43</f>
        <v>15.43</v>
      </c>
      <c r="I936" t="s">
        <v>15</v>
      </c>
      <c r="J936" t="s">
        <v>137</v>
      </c>
      <c r="K936" t="str">
        <f>"60007258"</f>
        <v>60007258</v>
      </c>
    </row>
    <row r="937" spans="1:11" x14ac:dyDescent="0.25">
      <c r="A937">
        <v>2021</v>
      </c>
      <c r="B937" t="s">
        <v>5419</v>
      </c>
      <c r="C937" t="s">
        <v>5420</v>
      </c>
      <c r="D937" t="s">
        <v>19</v>
      </c>
      <c r="E937" t="s">
        <v>20</v>
      </c>
      <c r="F937" t="str">
        <f>"43612-4523"</f>
        <v>43612-4523</v>
      </c>
      <c r="G937" t="str">
        <f t="shared" ref="G937:G943" si="25">"402019"</f>
        <v>402019</v>
      </c>
      <c r="H937" s="2">
        <f>20</f>
        <v>20</v>
      </c>
      <c r="I937" t="s">
        <v>27</v>
      </c>
      <c r="J937" t="s">
        <v>42</v>
      </c>
      <c r="K937" t="str">
        <f>"114466"</f>
        <v>114466</v>
      </c>
    </row>
    <row r="938" spans="1:11" x14ac:dyDescent="0.25">
      <c r="A938">
        <v>2021</v>
      </c>
      <c r="B938" t="s">
        <v>5433</v>
      </c>
      <c r="C938" t="s">
        <v>5434</v>
      </c>
      <c r="D938" t="s">
        <v>164</v>
      </c>
      <c r="E938" t="s">
        <v>20</v>
      </c>
      <c r="F938" t="str">
        <f>"43558-8721"</f>
        <v>43558-8721</v>
      </c>
      <c r="G938" t="str">
        <f t="shared" si="25"/>
        <v>402019</v>
      </c>
      <c r="H938" s="2">
        <f>10</f>
        <v>10</v>
      </c>
      <c r="I938" t="s">
        <v>27</v>
      </c>
      <c r="J938" t="s">
        <v>42</v>
      </c>
      <c r="K938" t="str">
        <f>"112007"</f>
        <v>112007</v>
      </c>
    </row>
    <row r="939" spans="1:11" x14ac:dyDescent="0.25">
      <c r="A939">
        <v>2021</v>
      </c>
      <c r="B939" t="s">
        <v>5442</v>
      </c>
      <c r="C939" t="s">
        <v>5443</v>
      </c>
      <c r="D939" t="s">
        <v>19</v>
      </c>
      <c r="E939" t="s">
        <v>20</v>
      </c>
      <c r="F939" t="str">
        <f>"43610-1427"</f>
        <v>43610-1427</v>
      </c>
      <c r="G939" t="str">
        <f t="shared" si="25"/>
        <v>402019</v>
      </c>
      <c r="H939" s="2">
        <f>10</f>
        <v>10</v>
      </c>
      <c r="I939" t="s">
        <v>27</v>
      </c>
      <c r="J939" t="s">
        <v>42</v>
      </c>
      <c r="K939" t="str">
        <f>"115567"</f>
        <v>115567</v>
      </c>
    </row>
    <row r="940" spans="1:11" x14ac:dyDescent="0.25">
      <c r="A940">
        <v>2021</v>
      </c>
      <c r="B940" t="s">
        <v>5444</v>
      </c>
      <c r="C940" t="s">
        <v>5445</v>
      </c>
      <c r="D940" t="s">
        <v>19</v>
      </c>
      <c r="E940" t="s">
        <v>20</v>
      </c>
      <c r="F940" t="str">
        <f>"43615-4138"</f>
        <v>43615-4138</v>
      </c>
      <c r="G940" t="str">
        <f t="shared" si="25"/>
        <v>402019</v>
      </c>
      <c r="H940" s="2">
        <f>10</f>
        <v>10</v>
      </c>
      <c r="I940" t="s">
        <v>27</v>
      </c>
      <c r="J940" t="s">
        <v>42</v>
      </c>
      <c r="K940" t="str">
        <f>"115915"</f>
        <v>115915</v>
      </c>
    </row>
    <row r="941" spans="1:11" x14ac:dyDescent="0.25">
      <c r="A941">
        <v>2021</v>
      </c>
      <c r="B941" t="s">
        <v>5450</v>
      </c>
      <c r="C941" t="s">
        <v>5451</v>
      </c>
      <c r="D941" t="s">
        <v>50</v>
      </c>
      <c r="E941" t="s">
        <v>20</v>
      </c>
      <c r="F941" t="str">
        <f>"43560-3806"</f>
        <v>43560-3806</v>
      </c>
      <c r="G941" t="str">
        <f t="shared" si="25"/>
        <v>402019</v>
      </c>
      <c r="H941" s="2">
        <f>20</f>
        <v>20</v>
      </c>
      <c r="I941" t="s">
        <v>27</v>
      </c>
      <c r="J941" t="s">
        <v>42</v>
      </c>
      <c r="K941" t="str">
        <f>"114470"</f>
        <v>114470</v>
      </c>
    </row>
    <row r="942" spans="1:11" x14ac:dyDescent="0.25">
      <c r="A942">
        <v>2021</v>
      </c>
      <c r="B942" t="s">
        <v>5458</v>
      </c>
      <c r="C942" t="s">
        <v>5459</v>
      </c>
      <c r="D942" t="s">
        <v>58</v>
      </c>
      <c r="E942" t="s">
        <v>20</v>
      </c>
      <c r="F942" t="str">
        <f>"43616-3598"</f>
        <v>43616-3598</v>
      </c>
      <c r="G942" t="str">
        <f t="shared" si="25"/>
        <v>402019</v>
      </c>
      <c r="H942" s="2">
        <f>10</f>
        <v>10</v>
      </c>
      <c r="I942" t="s">
        <v>27</v>
      </c>
      <c r="J942" t="s">
        <v>42</v>
      </c>
      <c r="K942" t="str">
        <f>"114972"</f>
        <v>114972</v>
      </c>
    </row>
    <row r="943" spans="1:11" x14ac:dyDescent="0.25">
      <c r="A943">
        <v>2021</v>
      </c>
      <c r="B943" t="s">
        <v>5466</v>
      </c>
      <c r="C943" t="s">
        <v>5467</v>
      </c>
      <c r="D943" t="s">
        <v>125</v>
      </c>
      <c r="E943" t="s">
        <v>20</v>
      </c>
      <c r="F943" t="str">
        <f>"43537-2213"</f>
        <v>43537-2213</v>
      </c>
      <c r="G943" t="str">
        <f t="shared" si="25"/>
        <v>402019</v>
      </c>
      <c r="H943" s="2">
        <f>20</f>
        <v>20</v>
      </c>
      <c r="I943" t="s">
        <v>27</v>
      </c>
      <c r="J943" t="s">
        <v>42</v>
      </c>
      <c r="K943" t="str">
        <f>"112025"</f>
        <v>112025</v>
      </c>
    </row>
    <row r="944" spans="1:11" x14ac:dyDescent="0.25">
      <c r="A944">
        <v>2021</v>
      </c>
      <c r="B944" t="s">
        <v>5473</v>
      </c>
      <c r="C944" t="s">
        <v>5474</v>
      </c>
      <c r="D944" t="s">
        <v>19</v>
      </c>
      <c r="E944" t="s">
        <v>20</v>
      </c>
      <c r="F944" t="str">
        <f>"43615-6601"</f>
        <v>43615-6601</v>
      </c>
      <c r="G944" t="str">
        <f>"Swucf4621"</f>
        <v>Swucf4621</v>
      </c>
      <c r="H944" s="2">
        <f>73.96</f>
        <v>73.959999999999994</v>
      </c>
      <c r="I944" t="s">
        <v>15</v>
      </c>
      <c r="J944" t="s">
        <v>81</v>
      </c>
      <c r="K944" t="str">
        <f>"6298405"</f>
        <v>6298405</v>
      </c>
    </row>
    <row r="945" spans="1:11" x14ac:dyDescent="0.25">
      <c r="A945">
        <v>2021</v>
      </c>
      <c r="B945" t="s">
        <v>5484</v>
      </c>
      <c r="C945" t="s">
        <v>5485</v>
      </c>
      <c r="D945" t="s">
        <v>19</v>
      </c>
      <c r="E945" t="s">
        <v>20</v>
      </c>
      <c r="F945" t="str">
        <f>"43613-4425"</f>
        <v>43613-4425</v>
      </c>
      <c r="G945" t="str">
        <f>"402019"</f>
        <v>402019</v>
      </c>
      <c r="H945" s="2">
        <f>60</f>
        <v>60</v>
      </c>
      <c r="I945" t="s">
        <v>27</v>
      </c>
      <c r="J945" t="s">
        <v>42</v>
      </c>
      <c r="K945" t="str">
        <f>"112472"</f>
        <v>112472</v>
      </c>
    </row>
    <row r="946" spans="1:11" x14ac:dyDescent="0.25">
      <c r="A946">
        <v>2021</v>
      </c>
      <c r="B946" t="s">
        <v>5492</v>
      </c>
      <c r="C946" t="s">
        <v>5493</v>
      </c>
      <c r="D946" t="s">
        <v>50</v>
      </c>
      <c r="E946" t="s">
        <v>20</v>
      </c>
      <c r="F946" t="str">
        <f>"43560"</f>
        <v>43560</v>
      </c>
      <c r="G946" t="str">
        <f>"Je061721"</f>
        <v>Je061721</v>
      </c>
      <c r="H946" s="2">
        <f>607.46</f>
        <v>607.46</v>
      </c>
      <c r="I946" t="s">
        <v>15</v>
      </c>
      <c r="J946" t="s">
        <v>137</v>
      </c>
      <c r="K946" t="str">
        <f>"60002703"</f>
        <v>60002703</v>
      </c>
    </row>
    <row r="947" spans="1:11" x14ac:dyDescent="0.25">
      <c r="A947">
        <v>2021</v>
      </c>
      <c r="B947" t="s">
        <v>5498</v>
      </c>
      <c r="C947" t="s">
        <v>5499</v>
      </c>
      <c r="D947" t="s">
        <v>105</v>
      </c>
      <c r="E947" t="s">
        <v>20</v>
      </c>
      <c r="F947" t="str">
        <f>"43528-8691"</f>
        <v>43528-8691</v>
      </c>
      <c r="G947" t="str">
        <f>"402019"</f>
        <v>402019</v>
      </c>
      <c r="H947" s="2">
        <f>10</f>
        <v>10</v>
      </c>
      <c r="I947" t="s">
        <v>27</v>
      </c>
      <c r="J947" t="s">
        <v>42</v>
      </c>
      <c r="K947" t="str">
        <f>"112611"</f>
        <v>112611</v>
      </c>
    </row>
    <row r="948" spans="1:11" x14ac:dyDescent="0.25">
      <c r="A948">
        <v>2021</v>
      </c>
      <c r="B948" t="s">
        <v>5500</v>
      </c>
      <c r="C948" t="s">
        <v>5501</v>
      </c>
      <c r="D948" t="s">
        <v>5502</v>
      </c>
      <c r="E948" t="s">
        <v>20</v>
      </c>
      <c r="F948" t="str">
        <f>"45012"</f>
        <v>45012</v>
      </c>
      <c r="G948" t="str">
        <f>"Je092221"</f>
        <v>Je092221</v>
      </c>
      <c r="H948" s="2">
        <f>83.2</f>
        <v>83.2</v>
      </c>
      <c r="I948" t="s">
        <v>15</v>
      </c>
      <c r="J948" t="s">
        <v>114</v>
      </c>
      <c r="K948" t="str">
        <f>"60009661"</f>
        <v>60009661</v>
      </c>
    </row>
    <row r="949" spans="1:11" x14ac:dyDescent="0.25">
      <c r="A949">
        <v>2021</v>
      </c>
      <c r="B949" t="s">
        <v>5515</v>
      </c>
      <c r="C949" t="s">
        <v>5516</v>
      </c>
      <c r="D949" t="s">
        <v>5502</v>
      </c>
      <c r="E949" t="s">
        <v>20</v>
      </c>
      <c r="F949" t="str">
        <f>"45011-4702"</f>
        <v>45011-4702</v>
      </c>
      <c r="G949" t="str">
        <f>"Swucf4621"</f>
        <v>Swucf4621</v>
      </c>
      <c r="H949" s="2">
        <f>76.92</f>
        <v>76.92</v>
      </c>
      <c r="I949" t="s">
        <v>15</v>
      </c>
      <c r="J949" t="s">
        <v>81</v>
      </c>
      <c r="K949" t="str">
        <f>"6295852"</f>
        <v>6295852</v>
      </c>
    </row>
    <row r="950" spans="1:11" x14ac:dyDescent="0.25">
      <c r="A950">
        <v>2021</v>
      </c>
      <c r="B950" t="s">
        <v>5521</v>
      </c>
      <c r="C950" t="s">
        <v>5522</v>
      </c>
      <c r="D950" t="s">
        <v>19</v>
      </c>
      <c r="E950" t="s">
        <v>20</v>
      </c>
      <c r="F950" t="str">
        <f>"43613-1162"</f>
        <v>43613-1162</v>
      </c>
      <c r="G950" t="str">
        <f t="shared" ref="G950:G958" si="26">"402019"</f>
        <v>402019</v>
      </c>
      <c r="H950" s="2">
        <f>20</f>
        <v>20</v>
      </c>
      <c r="I950" t="s">
        <v>27</v>
      </c>
      <c r="J950" t="s">
        <v>42</v>
      </c>
      <c r="K950" t="str">
        <f>"114225"</f>
        <v>114225</v>
      </c>
    </row>
    <row r="951" spans="1:11" x14ac:dyDescent="0.25">
      <c r="A951">
        <v>2021</v>
      </c>
      <c r="B951" t="s">
        <v>5527</v>
      </c>
      <c r="C951" t="s">
        <v>5528</v>
      </c>
      <c r="D951" t="s">
        <v>19</v>
      </c>
      <c r="E951" t="s">
        <v>20</v>
      </c>
      <c r="F951" t="str">
        <f>"43612-4530"</f>
        <v>43612-4530</v>
      </c>
      <c r="G951" t="str">
        <f t="shared" si="26"/>
        <v>402019</v>
      </c>
      <c r="H951" s="2">
        <f>10</f>
        <v>10</v>
      </c>
      <c r="I951" t="s">
        <v>27</v>
      </c>
      <c r="J951" t="s">
        <v>42</v>
      </c>
      <c r="K951" t="str">
        <f>"112153"</f>
        <v>112153</v>
      </c>
    </row>
    <row r="952" spans="1:11" x14ac:dyDescent="0.25">
      <c r="A952">
        <v>2021</v>
      </c>
      <c r="B952" t="s">
        <v>5537</v>
      </c>
      <c r="C952" t="s">
        <v>5538</v>
      </c>
      <c r="D952" t="s">
        <v>19</v>
      </c>
      <c r="E952" t="s">
        <v>20</v>
      </c>
      <c r="F952" t="str">
        <f>"43612-4328"</f>
        <v>43612-4328</v>
      </c>
      <c r="G952" t="str">
        <f t="shared" si="26"/>
        <v>402019</v>
      </c>
      <c r="H952" s="2">
        <f>20</f>
        <v>20</v>
      </c>
      <c r="I952" t="s">
        <v>27</v>
      </c>
      <c r="J952" t="s">
        <v>42</v>
      </c>
      <c r="K952" t="str">
        <f>"114409"</f>
        <v>114409</v>
      </c>
    </row>
    <row r="953" spans="1:11" x14ac:dyDescent="0.25">
      <c r="A953">
        <v>2021</v>
      </c>
      <c r="B953" t="s">
        <v>5541</v>
      </c>
      <c r="C953" t="s">
        <v>5542</v>
      </c>
      <c r="D953" t="s">
        <v>105</v>
      </c>
      <c r="E953" t="s">
        <v>20</v>
      </c>
      <c r="F953" t="str">
        <f>"43528-7821"</f>
        <v>43528-7821</v>
      </c>
      <c r="G953" t="str">
        <f t="shared" si="26"/>
        <v>402019</v>
      </c>
      <c r="H953" s="2">
        <f>10</f>
        <v>10</v>
      </c>
      <c r="I953" t="s">
        <v>27</v>
      </c>
      <c r="J953" t="s">
        <v>42</v>
      </c>
      <c r="K953" t="str">
        <f>"115830"</f>
        <v>115830</v>
      </c>
    </row>
    <row r="954" spans="1:11" x14ac:dyDescent="0.25">
      <c r="A954">
        <v>2021</v>
      </c>
      <c r="B954" t="s">
        <v>5543</v>
      </c>
      <c r="C954" t="s">
        <v>5544</v>
      </c>
      <c r="D954" t="s">
        <v>50</v>
      </c>
      <c r="E954" t="s">
        <v>20</v>
      </c>
      <c r="F954" t="str">
        <f>"43560-4231"</f>
        <v>43560-4231</v>
      </c>
      <c r="G954" t="str">
        <f t="shared" si="26"/>
        <v>402019</v>
      </c>
      <c r="H954" s="2">
        <f>20</f>
        <v>20</v>
      </c>
      <c r="I954" t="s">
        <v>27</v>
      </c>
      <c r="J954" t="s">
        <v>42</v>
      </c>
      <c r="K954" t="str">
        <f>"112677"</f>
        <v>112677</v>
      </c>
    </row>
    <row r="955" spans="1:11" x14ac:dyDescent="0.25">
      <c r="A955">
        <v>2021</v>
      </c>
      <c r="B955" t="s">
        <v>5553</v>
      </c>
      <c r="C955" t="s">
        <v>5554</v>
      </c>
      <c r="D955" t="s">
        <v>125</v>
      </c>
      <c r="E955" t="s">
        <v>20</v>
      </c>
      <c r="F955" t="str">
        <f>"43537-1321"</f>
        <v>43537-1321</v>
      </c>
      <c r="G955" t="str">
        <f t="shared" si="26"/>
        <v>402019</v>
      </c>
      <c r="H955" s="2">
        <f>10</f>
        <v>10</v>
      </c>
      <c r="I955" t="s">
        <v>27</v>
      </c>
      <c r="J955" t="s">
        <v>42</v>
      </c>
      <c r="K955" t="str">
        <f>"111329"</f>
        <v>111329</v>
      </c>
    </row>
    <row r="956" spans="1:11" x14ac:dyDescent="0.25">
      <c r="A956">
        <v>2021</v>
      </c>
      <c r="B956" t="s">
        <v>5561</v>
      </c>
      <c r="C956" t="s">
        <v>5562</v>
      </c>
      <c r="D956" t="s">
        <v>19</v>
      </c>
      <c r="E956" t="s">
        <v>20</v>
      </c>
      <c r="F956" t="str">
        <f>"43611-2133"</f>
        <v>43611-2133</v>
      </c>
      <c r="G956" t="str">
        <f t="shared" si="26"/>
        <v>402019</v>
      </c>
      <c r="H956" s="2">
        <f>10</f>
        <v>10</v>
      </c>
      <c r="I956" t="s">
        <v>27</v>
      </c>
      <c r="J956" t="s">
        <v>42</v>
      </c>
      <c r="K956" t="str">
        <f>"114026"</f>
        <v>114026</v>
      </c>
    </row>
    <row r="957" spans="1:11" x14ac:dyDescent="0.25">
      <c r="A957">
        <v>2021</v>
      </c>
      <c r="B957" t="s">
        <v>5567</v>
      </c>
      <c r="C957" t="s">
        <v>5568</v>
      </c>
      <c r="D957" t="s">
        <v>45</v>
      </c>
      <c r="E957" t="s">
        <v>20</v>
      </c>
      <c r="F957" t="str">
        <f>"43542-8601"</f>
        <v>43542-8601</v>
      </c>
      <c r="G957" t="str">
        <f t="shared" si="26"/>
        <v>402019</v>
      </c>
      <c r="H957" s="2">
        <f>20</f>
        <v>20</v>
      </c>
      <c r="I957" t="s">
        <v>27</v>
      </c>
      <c r="J957" t="s">
        <v>42</v>
      </c>
      <c r="K957" t="str">
        <f>"113535"</f>
        <v>113535</v>
      </c>
    </row>
    <row r="958" spans="1:11" x14ac:dyDescent="0.25">
      <c r="A958">
        <v>2021</v>
      </c>
      <c r="B958" t="s">
        <v>5571</v>
      </c>
      <c r="C958" t="s">
        <v>5572</v>
      </c>
      <c r="D958" t="s">
        <v>19</v>
      </c>
      <c r="E958" t="s">
        <v>20</v>
      </c>
      <c r="F958" t="str">
        <f>"43609-1958"</f>
        <v>43609-1958</v>
      </c>
      <c r="G958" t="str">
        <f t="shared" si="26"/>
        <v>402019</v>
      </c>
      <c r="H958" s="2">
        <f>10</f>
        <v>10</v>
      </c>
      <c r="I958" t="s">
        <v>27</v>
      </c>
      <c r="J958" t="s">
        <v>42</v>
      </c>
      <c r="K958" t="str">
        <f>"114966"</f>
        <v>114966</v>
      </c>
    </row>
    <row r="959" spans="1:11" x14ac:dyDescent="0.25">
      <c r="A959">
        <v>2021</v>
      </c>
      <c r="B959" t="s">
        <v>5581</v>
      </c>
      <c r="C959" t="s">
        <v>5582</v>
      </c>
      <c r="D959" t="s">
        <v>19</v>
      </c>
      <c r="E959" t="s">
        <v>20</v>
      </c>
      <c r="F959" t="str">
        <f>"43605"</f>
        <v>43605</v>
      </c>
      <c r="G959" t="str">
        <f>"Je110321"</f>
        <v>Je110321</v>
      </c>
      <c r="H959" s="2">
        <f>191.55</f>
        <v>191.55</v>
      </c>
      <c r="I959" t="s">
        <v>15</v>
      </c>
      <c r="J959" t="s">
        <v>596</v>
      </c>
      <c r="K959" t="str">
        <f>"60022174"</f>
        <v>60022174</v>
      </c>
    </row>
    <row r="960" spans="1:11" x14ac:dyDescent="0.25">
      <c r="A960">
        <v>2021</v>
      </c>
      <c r="B960" t="s">
        <v>5581</v>
      </c>
      <c r="C960" t="s">
        <v>5582</v>
      </c>
      <c r="D960" t="s">
        <v>19</v>
      </c>
      <c r="E960" t="s">
        <v>20</v>
      </c>
      <c r="F960" t="str">
        <f>"43605"</f>
        <v>43605</v>
      </c>
      <c r="G960" t="str">
        <f>"Je110321"</f>
        <v>Je110321</v>
      </c>
      <c r="H960" s="2">
        <f>214.9</f>
        <v>214.9</v>
      </c>
      <c r="I960" t="s">
        <v>15</v>
      </c>
      <c r="J960" t="s">
        <v>596</v>
      </c>
      <c r="K960" t="str">
        <f>"60022175"</f>
        <v>60022175</v>
      </c>
    </row>
    <row r="961" spans="1:11" x14ac:dyDescent="0.25">
      <c r="A961">
        <v>2021</v>
      </c>
      <c r="B961" t="s">
        <v>5596</v>
      </c>
      <c r="C961" t="s">
        <v>5597</v>
      </c>
      <c r="D961" t="s">
        <v>5598</v>
      </c>
      <c r="E961" t="s">
        <v>85</v>
      </c>
      <c r="F961" t="str">
        <f>"98332"</f>
        <v>98332</v>
      </c>
      <c r="G961" t="str">
        <f>"Swucf4621"</f>
        <v>Swucf4621</v>
      </c>
      <c r="H961" s="2">
        <f>56.48</f>
        <v>56.48</v>
      </c>
      <c r="I961" t="s">
        <v>15</v>
      </c>
      <c r="J961" t="s">
        <v>81</v>
      </c>
      <c r="K961" t="str">
        <f>"6289591"</f>
        <v>6289591</v>
      </c>
    </row>
    <row r="962" spans="1:11" x14ac:dyDescent="0.25">
      <c r="A962">
        <v>2021</v>
      </c>
      <c r="B962" t="s">
        <v>5605</v>
      </c>
      <c r="C962" t="s">
        <v>5606</v>
      </c>
      <c r="D962" t="s">
        <v>2098</v>
      </c>
      <c r="E962" t="s">
        <v>14</v>
      </c>
      <c r="F962" t="str">
        <f>"48188-1676"</f>
        <v>48188-1676</v>
      </c>
      <c r="G962" t="str">
        <f>"Swucf4621"</f>
        <v>Swucf4621</v>
      </c>
      <c r="H962" s="2">
        <f>55.47</f>
        <v>55.47</v>
      </c>
      <c r="I962" t="s">
        <v>15</v>
      </c>
      <c r="J962" t="s">
        <v>81</v>
      </c>
      <c r="K962" t="str">
        <f>"6298418"</f>
        <v>6298418</v>
      </c>
    </row>
    <row r="963" spans="1:11" x14ac:dyDescent="0.25">
      <c r="A963">
        <v>2021</v>
      </c>
      <c r="B963" t="s">
        <v>5613</v>
      </c>
      <c r="C963" t="s">
        <v>5614</v>
      </c>
      <c r="D963" t="s">
        <v>50</v>
      </c>
      <c r="E963" t="s">
        <v>20</v>
      </c>
      <c r="F963" t="str">
        <f>"43560-1239"</f>
        <v>43560-1239</v>
      </c>
      <c r="G963" t="str">
        <f t="shared" ref="G963:G972" si="27">"402019"</f>
        <v>402019</v>
      </c>
      <c r="H963" s="2">
        <f>10</f>
        <v>10</v>
      </c>
      <c r="I963" t="s">
        <v>27</v>
      </c>
      <c r="J963" t="s">
        <v>42</v>
      </c>
      <c r="K963" t="str">
        <f>"114970"</f>
        <v>114970</v>
      </c>
    </row>
    <row r="964" spans="1:11" x14ac:dyDescent="0.25">
      <c r="A964">
        <v>2021</v>
      </c>
      <c r="B964" t="s">
        <v>5619</v>
      </c>
      <c r="C964" t="s">
        <v>5620</v>
      </c>
      <c r="D964" t="s">
        <v>19</v>
      </c>
      <c r="E964" t="s">
        <v>20</v>
      </c>
      <c r="F964" t="str">
        <f>"43608-1606"</f>
        <v>43608-1606</v>
      </c>
      <c r="G964" t="str">
        <f t="shared" si="27"/>
        <v>402019</v>
      </c>
      <c r="H964" s="2">
        <f>10</f>
        <v>10</v>
      </c>
      <c r="I964" t="s">
        <v>27</v>
      </c>
      <c r="J964" t="s">
        <v>42</v>
      </c>
      <c r="K964" t="str">
        <f>"115521"</f>
        <v>115521</v>
      </c>
    </row>
    <row r="965" spans="1:11" x14ac:dyDescent="0.25">
      <c r="A965">
        <v>2021</v>
      </c>
      <c r="B965" t="s">
        <v>5623</v>
      </c>
      <c r="C965" t="s">
        <v>5624</v>
      </c>
      <c r="D965" t="s">
        <v>19</v>
      </c>
      <c r="E965" t="s">
        <v>20</v>
      </c>
      <c r="F965" t="str">
        <f>"43609-1929"</f>
        <v>43609-1929</v>
      </c>
      <c r="G965" t="str">
        <f t="shared" si="27"/>
        <v>402019</v>
      </c>
      <c r="H965" s="2">
        <f>60</f>
        <v>60</v>
      </c>
      <c r="I965" t="s">
        <v>27</v>
      </c>
      <c r="J965" t="s">
        <v>42</v>
      </c>
      <c r="K965" t="str">
        <f>"112447"</f>
        <v>112447</v>
      </c>
    </row>
    <row r="966" spans="1:11" x14ac:dyDescent="0.25">
      <c r="A966">
        <v>2021</v>
      </c>
      <c r="B966" t="s">
        <v>5625</v>
      </c>
      <c r="C966" t="s">
        <v>5626</v>
      </c>
      <c r="D966" t="s">
        <v>19</v>
      </c>
      <c r="E966" t="s">
        <v>20</v>
      </c>
      <c r="F966" t="str">
        <f>"43614-3506"</f>
        <v>43614-3506</v>
      </c>
      <c r="G966" t="str">
        <f t="shared" si="27"/>
        <v>402019</v>
      </c>
      <c r="H966" s="2">
        <f>10</f>
        <v>10</v>
      </c>
      <c r="I966" t="s">
        <v>27</v>
      </c>
      <c r="J966" t="s">
        <v>42</v>
      </c>
      <c r="K966" t="str">
        <f>"115856"</f>
        <v>115856</v>
      </c>
    </row>
    <row r="967" spans="1:11" x14ac:dyDescent="0.25">
      <c r="A967">
        <v>2021</v>
      </c>
      <c r="B967" t="s">
        <v>5627</v>
      </c>
      <c r="C967" t="s">
        <v>5628</v>
      </c>
      <c r="D967" t="s">
        <v>19</v>
      </c>
      <c r="E967" t="s">
        <v>20</v>
      </c>
      <c r="F967" t="str">
        <f>"43606-3233"</f>
        <v>43606-3233</v>
      </c>
      <c r="G967" t="str">
        <f t="shared" si="27"/>
        <v>402019</v>
      </c>
      <c r="H967" s="2">
        <f>20</f>
        <v>20</v>
      </c>
      <c r="I967" t="s">
        <v>27</v>
      </c>
      <c r="J967" t="s">
        <v>42</v>
      </c>
      <c r="K967" t="str">
        <f>"112325"</f>
        <v>112325</v>
      </c>
    </row>
    <row r="968" spans="1:11" x14ac:dyDescent="0.25">
      <c r="A968">
        <v>2021</v>
      </c>
      <c r="B968" t="s">
        <v>5633</v>
      </c>
      <c r="C968" t="s">
        <v>5634</v>
      </c>
      <c r="D968" t="s">
        <v>50</v>
      </c>
      <c r="E968" t="s">
        <v>20</v>
      </c>
      <c r="F968" t="str">
        <f>"43560-1208"</f>
        <v>43560-1208</v>
      </c>
      <c r="G968" t="str">
        <f t="shared" si="27"/>
        <v>402019</v>
      </c>
      <c r="H968" s="2">
        <f>10</f>
        <v>10</v>
      </c>
      <c r="I968" t="s">
        <v>27</v>
      </c>
      <c r="J968" t="s">
        <v>42</v>
      </c>
      <c r="K968" t="str">
        <f>"111315"</f>
        <v>111315</v>
      </c>
    </row>
    <row r="969" spans="1:11" x14ac:dyDescent="0.25">
      <c r="A969">
        <v>2021</v>
      </c>
      <c r="B969" t="s">
        <v>5637</v>
      </c>
      <c r="C969" t="s">
        <v>5638</v>
      </c>
      <c r="D969" t="s">
        <v>19</v>
      </c>
      <c r="E969" t="s">
        <v>20</v>
      </c>
      <c r="F969" t="str">
        <f>"43612-1276"</f>
        <v>43612-1276</v>
      </c>
      <c r="G969" t="str">
        <f t="shared" si="27"/>
        <v>402019</v>
      </c>
      <c r="H969" s="2">
        <f>20</f>
        <v>20</v>
      </c>
      <c r="I969" t="s">
        <v>27</v>
      </c>
      <c r="J969" t="s">
        <v>42</v>
      </c>
      <c r="K969" t="str">
        <f>"115975"</f>
        <v>115975</v>
      </c>
    </row>
    <row r="970" spans="1:11" x14ac:dyDescent="0.25">
      <c r="A970">
        <v>2021</v>
      </c>
      <c r="B970" t="s">
        <v>5643</v>
      </c>
      <c r="C970" t="s">
        <v>5644</v>
      </c>
      <c r="D970" t="s">
        <v>19</v>
      </c>
      <c r="E970" t="s">
        <v>20</v>
      </c>
      <c r="F970" t="str">
        <f>"43612-2104"</f>
        <v>43612-2104</v>
      </c>
      <c r="G970" t="str">
        <f t="shared" si="27"/>
        <v>402019</v>
      </c>
      <c r="H970" s="2">
        <f>10</f>
        <v>10</v>
      </c>
      <c r="I970" t="s">
        <v>27</v>
      </c>
      <c r="J970" t="s">
        <v>42</v>
      </c>
      <c r="K970" t="str">
        <f>"114839"</f>
        <v>114839</v>
      </c>
    </row>
    <row r="971" spans="1:11" x14ac:dyDescent="0.25">
      <c r="A971">
        <v>2021</v>
      </c>
      <c r="B971" t="s">
        <v>5645</v>
      </c>
      <c r="C971" t="s">
        <v>5646</v>
      </c>
      <c r="D971" t="s">
        <v>105</v>
      </c>
      <c r="E971" t="s">
        <v>20</v>
      </c>
      <c r="F971" t="str">
        <f>"43528-9028"</f>
        <v>43528-9028</v>
      </c>
      <c r="G971" t="str">
        <f t="shared" si="27"/>
        <v>402019</v>
      </c>
      <c r="H971" s="2">
        <f>10</f>
        <v>10</v>
      </c>
      <c r="I971" t="s">
        <v>27</v>
      </c>
      <c r="J971" t="s">
        <v>42</v>
      </c>
      <c r="K971" t="str">
        <f>"115813"</f>
        <v>115813</v>
      </c>
    </row>
    <row r="972" spans="1:11" x14ac:dyDescent="0.25">
      <c r="A972">
        <v>2021</v>
      </c>
      <c r="B972" t="s">
        <v>5649</v>
      </c>
      <c r="C972" t="s">
        <v>5650</v>
      </c>
      <c r="D972" t="s">
        <v>19</v>
      </c>
      <c r="E972" t="s">
        <v>20</v>
      </c>
      <c r="F972" t="str">
        <f>"43606-3645"</f>
        <v>43606-3645</v>
      </c>
      <c r="G972" t="str">
        <f t="shared" si="27"/>
        <v>402019</v>
      </c>
      <c r="H972" s="2">
        <f>10</f>
        <v>10</v>
      </c>
      <c r="I972" t="s">
        <v>27</v>
      </c>
      <c r="J972" t="s">
        <v>42</v>
      </c>
      <c r="K972" t="str">
        <f>"111250"</f>
        <v>111250</v>
      </c>
    </row>
    <row r="973" spans="1:11" x14ac:dyDescent="0.25">
      <c r="A973">
        <v>2021</v>
      </c>
      <c r="B973" t="s">
        <v>5672</v>
      </c>
      <c r="C973" t="s">
        <v>5673</v>
      </c>
      <c r="D973" t="s">
        <v>4271</v>
      </c>
      <c r="E973" t="s">
        <v>14</v>
      </c>
      <c r="F973" t="str">
        <f>"48144-9549"</f>
        <v>48144-9549</v>
      </c>
      <c r="G973" t="str">
        <f>"Swucf4621"</f>
        <v>Swucf4621</v>
      </c>
      <c r="H973" s="2">
        <f>9.24</f>
        <v>9.24</v>
      </c>
      <c r="I973" t="s">
        <v>15</v>
      </c>
      <c r="J973" t="s">
        <v>81</v>
      </c>
      <c r="K973" t="str">
        <f>"6295872"</f>
        <v>6295872</v>
      </c>
    </row>
    <row r="974" spans="1:11" x14ac:dyDescent="0.25">
      <c r="A974">
        <v>2021</v>
      </c>
      <c r="B974" t="s">
        <v>5682</v>
      </c>
      <c r="C974" t="s">
        <v>5683</v>
      </c>
      <c r="D974" t="s">
        <v>125</v>
      </c>
      <c r="E974" t="s">
        <v>20</v>
      </c>
      <c r="F974" t="str">
        <f>"43537-1303"</f>
        <v>43537-1303</v>
      </c>
      <c r="G974" t="str">
        <f>"402019"</f>
        <v>402019</v>
      </c>
      <c r="H974" s="2">
        <f>10</f>
        <v>10</v>
      </c>
      <c r="I974" t="s">
        <v>27</v>
      </c>
      <c r="J974" t="s">
        <v>42</v>
      </c>
      <c r="K974" t="str">
        <f>"111372"</f>
        <v>111372</v>
      </c>
    </row>
    <row r="975" spans="1:11" x14ac:dyDescent="0.25">
      <c r="A975">
        <v>2021</v>
      </c>
      <c r="B975" t="s">
        <v>5710</v>
      </c>
      <c r="C975" t="s">
        <v>5711</v>
      </c>
      <c r="D975" t="s">
        <v>19</v>
      </c>
      <c r="E975" t="s">
        <v>20</v>
      </c>
      <c r="F975" t="str">
        <f>"43614-4548"</f>
        <v>43614-4548</v>
      </c>
      <c r="G975" t="str">
        <f>"402019"</f>
        <v>402019</v>
      </c>
      <c r="H975" s="2">
        <f>10</f>
        <v>10</v>
      </c>
      <c r="I975" t="s">
        <v>27</v>
      </c>
      <c r="J975" t="s">
        <v>42</v>
      </c>
      <c r="K975" t="str">
        <f>"112288"</f>
        <v>112288</v>
      </c>
    </row>
    <row r="976" spans="1:11" x14ac:dyDescent="0.25">
      <c r="A976">
        <v>2021</v>
      </c>
      <c r="B976" t="s">
        <v>5710</v>
      </c>
      <c r="C976" t="s">
        <v>5711</v>
      </c>
      <c r="D976" t="s">
        <v>19</v>
      </c>
      <c r="E976" t="s">
        <v>20</v>
      </c>
      <c r="F976" t="str">
        <f>"43614-4548"</f>
        <v>43614-4548</v>
      </c>
      <c r="G976" t="str">
        <f>"402019"</f>
        <v>402019</v>
      </c>
      <c r="H976" s="2">
        <f>10</f>
        <v>10</v>
      </c>
      <c r="I976" t="s">
        <v>27</v>
      </c>
      <c r="J976" t="s">
        <v>42</v>
      </c>
      <c r="K976" t="str">
        <f>"115131"</f>
        <v>115131</v>
      </c>
    </row>
    <row r="977" spans="1:11" x14ac:dyDescent="0.25">
      <c r="A977">
        <v>2021</v>
      </c>
      <c r="B977" t="s">
        <v>5732</v>
      </c>
      <c r="C977" t="s">
        <v>5733</v>
      </c>
      <c r="D977" t="s">
        <v>105</v>
      </c>
      <c r="E977" t="s">
        <v>20</v>
      </c>
      <c r="F977" t="str">
        <f>"43528-9302"</f>
        <v>43528-9302</v>
      </c>
      <c r="G977" t="str">
        <f>"402019"</f>
        <v>402019</v>
      </c>
      <c r="H977" s="2">
        <f>10</f>
        <v>10</v>
      </c>
      <c r="I977" t="s">
        <v>27</v>
      </c>
      <c r="J977" t="s">
        <v>42</v>
      </c>
      <c r="K977" t="str">
        <f>"115290"</f>
        <v>115290</v>
      </c>
    </row>
    <row r="978" spans="1:11" x14ac:dyDescent="0.25">
      <c r="A978">
        <v>2021</v>
      </c>
      <c r="B978" t="s">
        <v>5749</v>
      </c>
      <c r="C978" t="s">
        <v>5750</v>
      </c>
      <c r="D978" t="s">
        <v>19</v>
      </c>
      <c r="E978" t="s">
        <v>20</v>
      </c>
      <c r="F978" t="str">
        <f>"43613-4313"</f>
        <v>43613-4313</v>
      </c>
      <c r="G978" t="str">
        <f>"Swucf4621"</f>
        <v>Swucf4621</v>
      </c>
      <c r="H978" s="2">
        <f>360</f>
        <v>360</v>
      </c>
      <c r="I978" t="s">
        <v>15</v>
      </c>
      <c r="J978" t="s">
        <v>81</v>
      </c>
      <c r="K978" t="str">
        <f>"6288896"</f>
        <v>6288896</v>
      </c>
    </row>
    <row r="979" spans="1:11" x14ac:dyDescent="0.25">
      <c r="A979">
        <v>2021</v>
      </c>
      <c r="B979" t="s">
        <v>5751</v>
      </c>
      <c r="C979" t="s">
        <v>5752</v>
      </c>
      <c r="D979" t="s">
        <v>125</v>
      </c>
      <c r="E979" t="s">
        <v>20</v>
      </c>
      <c r="F979" t="str">
        <f>"43537-2344"</f>
        <v>43537-2344</v>
      </c>
      <c r="G979" t="str">
        <f>"402019"</f>
        <v>402019</v>
      </c>
      <c r="H979" s="2">
        <f>10</f>
        <v>10</v>
      </c>
      <c r="I979" t="s">
        <v>27</v>
      </c>
      <c r="J979" t="s">
        <v>42</v>
      </c>
      <c r="K979" t="str">
        <f>"112565"</f>
        <v>112565</v>
      </c>
    </row>
    <row r="980" spans="1:11" x14ac:dyDescent="0.25">
      <c r="A980">
        <v>2021</v>
      </c>
      <c r="B980" t="s">
        <v>5753</v>
      </c>
      <c r="C980" t="s">
        <v>5754</v>
      </c>
      <c r="D980" t="s">
        <v>19</v>
      </c>
      <c r="E980" t="s">
        <v>20</v>
      </c>
      <c r="F980" t="str">
        <f>"43613-1150"</f>
        <v>43613-1150</v>
      </c>
      <c r="G980" t="str">
        <f>"402019"</f>
        <v>402019</v>
      </c>
      <c r="H980" s="2">
        <f>20</f>
        <v>20</v>
      </c>
      <c r="I980" t="s">
        <v>27</v>
      </c>
      <c r="J980" t="s">
        <v>42</v>
      </c>
      <c r="K980" t="str">
        <f>"114418"</f>
        <v>114418</v>
      </c>
    </row>
    <row r="981" spans="1:11" x14ac:dyDescent="0.25">
      <c r="A981">
        <v>2021</v>
      </c>
      <c r="B981" t="s">
        <v>5759</v>
      </c>
      <c r="C981" t="s">
        <v>5760</v>
      </c>
      <c r="D981" t="s">
        <v>19</v>
      </c>
      <c r="E981" t="s">
        <v>20</v>
      </c>
      <c r="F981" t="str">
        <f>"43610"</f>
        <v>43610</v>
      </c>
      <c r="G981" t="str">
        <f>"Bwucf4621"</f>
        <v>Bwucf4621</v>
      </c>
      <c r="H981" s="2">
        <f>6.42</f>
        <v>6.42</v>
      </c>
      <c r="I981" t="s">
        <v>15</v>
      </c>
      <c r="J981" t="s">
        <v>295</v>
      </c>
      <c r="K981" t="str">
        <f>"01441332"</f>
        <v>01441332</v>
      </c>
    </row>
    <row r="982" spans="1:11" x14ac:dyDescent="0.25">
      <c r="A982">
        <v>2021</v>
      </c>
      <c r="B982" t="s">
        <v>5765</v>
      </c>
      <c r="C982" t="s">
        <v>5766</v>
      </c>
      <c r="D982" t="s">
        <v>19</v>
      </c>
      <c r="E982" t="s">
        <v>20</v>
      </c>
      <c r="F982" t="str">
        <f>"43612-2032"</f>
        <v>43612-2032</v>
      </c>
      <c r="G982" t="str">
        <f>"402019"</f>
        <v>402019</v>
      </c>
      <c r="H982" s="2">
        <f>10</f>
        <v>10</v>
      </c>
      <c r="I982" t="s">
        <v>27</v>
      </c>
      <c r="J982" t="s">
        <v>42</v>
      </c>
      <c r="K982" t="str">
        <f>"115094"</f>
        <v>115094</v>
      </c>
    </row>
    <row r="983" spans="1:11" x14ac:dyDescent="0.25">
      <c r="A983">
        <v>2021</v>
      </c>
      <c r="B983" t="s">
        <v>5769</v>
      </c>
      <c r="C983" t="s">
        <v>5770</v>
      </c>
      <c r="D983" t="s">
        <v>58</v>
      </c>
      <c r="E983" t="s">
        <v>20</v>
      </c>
      <c r="F983" t="str">
        <f>"43616-3406"</f>
        <v>43616-3406</v>
      </c>
      <c r="G983" t="str">
        <f>"402019"</f>
        <v>402019</v>
      </c>
      <c r="H983" s="2">
        <f>10</f>
        <v>10</v>
      </c>
      <c r="I983" t="s">
        <v>27</v>
      </c>
      <c r="J983" t="s">
        <v>42</v>
      </c>
      <c r="K983" t="str">
        <f>"115529"</f>
        <v>115529</v>
      </c>
    </row>
    <row r="984" spans="1:11" x14ac:dyDescent="0.25">
      <c r="A984">
        <v>2021</v>
      </c>
      <c r="B984" t="s">
        <v>5781</v>
      </c>
      <c r="C984" t="s">
        <v>5782</v>
      </c>
      <c r="D984" t="s">
        <v>19</v>
      </c>
      <c r="E984" t="s">
        <v>20</v>
      </c>
      <c r="F984" t="str">
        <f>"43613-3913"</f>
        <v>43613-3913</v>
      </c>
      <c r="G984" t="str">
        <f>"402019"</f>
        <v>402019</v>
      </c>
      <c r="H984" s="2">
        <f>10</f>
        <v>10</v>
      </c>
      <c r="I984" t="s">
        <v>27</v>
      </c>
      <c r="J984" t="s">
        <v>42</v>
      </c>
      <c r="K984" t="str">
        <f>"115923"</f>
        <v>115923</v>
      </c>
    </row>
    <row r="985" spans="1:11" x14ac:dyDescent="0.25">
      <c r="A985">
        <v>2021</v>
      </c>
      <c r="B985" t="s">
        <v>5797</v>
      </c>
      <c r="C985" t="s">
        <v>5798</v>
      </c>
      <c r="D985" t="s">
        <v>19</v>
      </c>
      <c r="E985" t="s">
        <v>20</v>
      </c>
      <c r="F985" t="str">
        <f>"43612-2134"</f>
        <v>43612-2134</v>
      </c>
      <c r="G985" t="str">
        <f>"402019"</f>
        <v>402019</v>
      </c>
      <c r="H985" s="2">
        <f>20</f>
        <v>20</v>
      </c>
      <c r="I985" t="s">
        <v>27</v>
      </c>
      <c r="J985" t="s">
        <v>42</v>
      </c>
      <c r="K985" t="str">
        <f>"114172"</f>
        <v>114172</v>
      </c>
    </row>
    <row r="986" spans="1:11" x14ac:dyDescent="0.25">
      <c r="A986">
        <v>2021</v>
      </c>
      <c r="B986" t="s">
        <v>5817</v>
      </c>
      <c r="C986" t="s">
        <v>5818</v>
      </c>
      <c r="D986" t="s">
        <v>125</v>
      </c>
      <c r="E986" t="s">
        <v>20</v>
      </c>
      <c r="F986" t="str">
        <f>"43537"</f>
        <v>43537</v>
      </c>
      <c r="G986" t="str">
        <f>"402063"</f>
        <v>402063</v>
      </c>
      <c r="H986" s="2">
        <f>10</f>
        <v>10</v>
      </c>
      <c r="I986" t="s">
        <v>27</v>
      </c>
      <c r="J986" t="s">
        <v>71</v>
      </c>
      <c r="K986" t="str">
        <f>"33006713"</f>
        <v>33006713</v>
      </c>
    </row>
    <row r="987" spans="1:11" x14ac:dyDescent="0.25">
      <c r="A987">
        <v>2021</v>
      </c>
      <c r="B987" t="s">
        <v>5817</v>
      </c>
      <c r="C987" t="s">
        <v>5818</v>
      </c>
      <c r="D987" t="s">
        <v>125</v>
      </c>
      <c r="E987" t="s">
        <v>20</v>
      </c>
      <c r="F987" t="str">
        <f>"43537"</f>
        <v>43537</v>
      </c>
      <c r="G987" t="str">
        <f>"402063"</f>
        <v>402063</v>
      </c>
      <c r="H987" s="2">
        <f>5</f>
        <v>5</v>
      </c>
      <c r="I987" t="s">
        <v>27</v>
      </c>
      <c r="J987" t="s">
        <v>71</v>
      </c>
      <c r="K987" t="str">
        <f>"33006532"</f>
        <v>33006532</v>
      </c>
    </row>
    <row r="988" spans="1:11" x14ac:dyDescent="0.25">
      <c r="A988">
        <v>2021</v>
      </c>
      <c r="B988" t="s">
        <v>5821</v>
      </c>
      <c r="C988" t="s">
        <v>5822</v>
      </c>
      <c r="D988" t="s">
        <v>19</v>
      </c>
      <c r="E988" t="s">
        <v>20</v>
      </c>
      <c r="F988" t="str">
        <f>"43611"</f>
        <v>43611</v>
      </c>
      <c r="G988" t="str">
        <f>"Pio448069"</f>
        <v>Pio448069</v>
      </c>
      <c r="H988" s="2">
        <f>4.56</f>
        <v>4.5599999999999996</v>
      </c>
      <c r="I988" t="s">
        <v>86</v>
      </c>
      <c r="J988" t="s">
        <v>87</v>
      </c>
      <c r="K988" t="str">
        <f>"0"</f>
        <v>0</v>
      </c>
    </row>
    <row r="989" spans="1:11" x14ac:dyDescent="0.25">
      <c r="A989">
        <v>2021</v>
      </c>
      <c r="B989" t="s">
        <v>5825</v>
      </c>
      <c r="C989" t="s">
        <v>5826</v>
      </c>
      <c r="D989" t="s">
        <v>19</v>
      </c>
      <c r="E989" t="s">
        <v>20</v>
      </c>
      <c r="F989" t="str">
        <f>"43614"</f>
        <v>43614</v>
      </c>
      <c r="G989" t="str">
        <f>"402017"</f>
        <v>402017</v>
      </c>
      <c r="H989" s="2">
        <f>62.43</f>
        <v>62.43</v>
      </c>
      <c r="I989" t="s">
        <v>27</v>
      </c>
      <c r="J989" t="s">
        <v>212</v>
      </c>
      <c r="K989" t="str">
        <f>"34263"</f>
        <v>34263</v>
      </c>
    </row>
    <row r="990" spans="1:11" x14ac:dyDescent="0.25">
      <c r="A990">
        <v>2021</v>
      </c>
      <c r="B990" t="s">
        <v>5832</v>
      </c>
      <c r="C990" t="s">
        <v>5833</v>
      </c>
      <c r="D990" t="s">
        <v>19</v>
      </c>
      <c r="E990" t="s">
        <v>20</v>
      </c>
      <c r="F990" t="str">
        <f>"43605-1759"</f>
        <v>43605-1759</v>
      </c>
      <c r="G990" t="str">
        <f>"402019"</f>
        <v>402019</v>
      </c>
      <c r="H990" s="2">
        <f>40</f>
        <v>40</v>
      </c>
      <c r="I990" t="s">
        <v>27</v>
      </c>
      <c r="J990" t="s">
        <v>42</v>
      </c>
      <c r="K990" t="str">
        <f>"114518"</f>
        <v>114518</v>
      </c>
    </row>
    <row r="991" spans="1:11" x14ac:dyDescent="0.25">
      <c r="A991">
        <v>2021</v>
      </c>
      <c r="B991" t="s">
        <v>5838</v>
      </c>
      <c r="C991" t="s">
        <v>1578</v>
      </c>
      <c r="D991" t="s">
        <v>19</v>
      </c>
      <c r="E991" t="s">
        <v>20</v>
      </c>
      <c r="F991" t="str">
        <f>"43604"</f>
        <v>43604</v>
      </c>
      <c r="G991" t="str">
        <f>"Je092221"</f>
        <v>Je092221</v>
      </c>
      <c r="H991" s="2">
        <f>35</f>
        <v>35</v>
      </c>
      <c r="I991" t="s">
        <v>15</v>
      </c>
      <c r="J991" t="s">
        <v>114</v>
      </c>
      <c r="K991" t="str">
        <f>"60011073"</f>
        <v>60011073</v>
      </c>
    </row>
    <row r="992" spans="1:11" x14ac:dyDescent="0.25">
      <c r="A992">
        <v>2021</v>
      </c>
      <c r="B992" t="s">
        <v>5839</v>
      </c>
      <c r="C992" t="s">
        <v>2634</v>
      </c>
      <c r="D992" t="s">
        <v>19</v>
      </c>
      <c r="E992" t="s">
        <v>20</v>
      </c>
      <c r="F992" t="str">
        <f>"43615"</f>
        <v>43615</v>
      </c>
      <c r="G992" t="str">
        <f>"402018"</f>
        <v>402018</v>
      </c>
      <c r="H992" s="2">
        <f>9.08</f>
        <v>9.08</v>
      </c>
      <c r="I992" t="s">
        <v>27</v>
      </c>
      <c r="J992" t="s">
        <v>171</v>
      </c>
      <c r="K992" t="str">
        <f>"517657"</f>
        <v>517657</v>
      </c>
    </row>
    <row r="993" spans="1:11" x14ac:dyDescent="0.25">
      <c r="A993">
        <v>2021</v>
      </c>
      <c r="B993" t="s">
        <v>5858</v>
      </c>
      <c r="C993" t="s">
        <v>5859</v>
      </c>
      <c r="D993" t="s">
        <v>19</v>
      </c>
      <c r="E993" t="s">
        <v>20</v>
      </c>
      <c r="F993" t="str">
        <f>"43613"</f>
        <v>43613</v>
      </c>
      <c r="G993" t="str">
        <f>"396747"</f>
        <v>396747</v>
      </c>
      <c r="H993" s="2">
        <f>6.95</f>
        <v>6.95</v>
      </c>
      <c r="I993" t="s">
        <v>86</v>
      </c>
      <c r="J993" t="s">
        <v>1075</v>
      </c>
      <c r="K993" t="str">
        <f>"29213"</f>
        <v>29213</v>
      </c>
    </row>
    <row r="994" spans="1:11" x14ac:dyDescent="0.25">
      <c r="A994">
        <v>2021</v>
      </c>
      <c r="B994" t="s">
        <v>5871</v>
      </c>
      <c r="C994" t="s">
        <v>5872</v>
      </c>
      <c r="D994" t="s">
        <v>19</v>
      </c>
      <c r="E994" t="s">
        <v>20</v>
      </c>
      <c r="F994" t="str">
        <f>"43615-4926"</f>
        <v>43615-4926</v>
      </c>
      <c r="G994" t="str">
        <f t="shared" ref="G994:G1004" si="28">"402019"</f>
        <v>402019</v>
      </c>
      <c r="H994" s="2">
        <f>10</f>
        <v>10</v>
      </c>
      <c r="I994" t="s">
        <v>27</v>
      </c>
      <c r="J994" t="s">
        <v>42</v>
      </c>
      <c r="K994" t="str">
        <f>"112563"</f>
        <v>112563</v>
      </c>
    </row>
    <row r="995" spans="1:11" x14ac:dyDescent="0.25">
      <c r="A995">
        <v>2021</v>
      </c>
      <c r="B995" t="s">
        <v>5875</v>
      </c>
      <c r="C995" t="s">
        <v>5876</v>
      </c>
      <c r="D995" t="s">
        <v>19</v>
      </c>
      <c r="E995" t="s">
        <v>20</v>
      </c>
      <c r="F995" t="str">
        <f>"43606-4464"</f>
        <v>43606-4464</v>
      </c>
      <c r="G995" t="str">
        <f t="shared" si="28"/>
        <v>402019</v>
      </c>
      <c r="H995" s="2">
        <f>10</f>
        <v>10</v>
      </c>
      <c r="I995" t="s">
        <v>27</v>
      </c>
      <c r="J995" t="s">
        <v>42</v>
      </c>
      <c r="K995" t="str">
        <f>"112632"</f>
        <v>112632</v>
      </c>
    </row>
    <row r="996" spans="1:11" x14ac:dyDescent="0.25">
      <c r="A996">
        <v>2021</v>
      </c>
      <c r="B996" t="s">
        <v>5877</v>
      </c>
      <c r="C996" t="s">
        <v>5878</v>
      </c>
      <c r="D996" t="s">
        <v>19</v>
      </c>
      <c r="E996" t="s">
        <v>20</v>
      </c>
      <c r="F996" t="str">
        <f>"43612-3059"</f>
        <v>43612-3059</v>
      </c>
      <c r="G996" t="str">
        <f t="shared" si="28"/>
        <v>402019</v>
      </c>
      <c r="H996" s="2">
        <f>10</f>
        <v>10</v>
      </c>
      <c r="I996" t="s">
        <v>27</v>
      </c>
      <c r="J996" t="s">
        <v>42</v>
      </c>
      <c r="K996" t="str">
        <f>"112635"</f>
        <v>112635</v>
      </c>
    </row>
    <row r="997" spans="1:11" x14ac:dyDescent="0.25">
      <c r="A997">
        <v>2021</v>
      </c>
      <c r="B997" t="s">
        <v>5893</v>
      </c>
      <c r="C997" t="s">
        <v>5894</v>
      </c>
      <c r="D997" t="s">
        <v>19</v>
      </c>
      <c r="E997" t="s">
        <v>20</v>
      </c>
      <c r="F997" t="str">
        <f>"43623-1768"</f>
        <v>43623-1768</v>
      </c>
      <c r="G997" t="str">
        <f t="shared" si="28"/>
        <v>402019</v>
      </c>
      <c r="H997" s="2">
        <f>10</f>
        <v>10</v>
      </c>
      <c r="I997" t="s">
        <v>27</v>
      </c>
      <c r="J997" t="s">
        <v>42</v>
      </c>
      <c r="K997" t="str">
        <f>"115373"</f>
        <v>115373</v>
      </c>
    </row>
    <row r="998" spans="1:11" x14ac:dyDescent="0.25">
      <c r="A998">
        <v>2021</v>
      </c>
      <c r="B998" t="s">
        <v>5903</v>
      </c>
      <c r="C998" t="s">
        <v>5904</v>
      </c>
      <c r="D998" t="s">
        <v>19</v>
      </c>
      <c r="E998" t="s">
        <v>20</v>
      </c>
      <c r="F998" t="str">
        <f>"43612-1213"</f>
        <v>43612-1213</v>
      </c>
      <c r="G998" t="str">
        <f t="shared" si="28"/>
        <v>402019</v>
      </c>
      <c r="H998" s="2">
        <f>10</f>
        <v>10</v>
      </c>
      <c r="I998" t="s">
        <v>27</v>
      </c>
      <c r="J998" t="s">
        <v>42</v>
      </c>
      <c r="K998" t="str">
        <f>"111369"</f>
        <v>111369</v>
      </c>
    </row>
    <row r="999" spans="1:11" x14ac:dyDescent="0.25">
      <c r="A999">
        <v>2021</v>
      </c>
      <c r="B999" t="s">
        <v>5913</v>
      </c>
      <c r="C999" t="s">
        <v>5914</v>
      </c>
      <c r="D999" t="s">
        <v>19</v>
      </c>
      <c r="E999" t="s">
        <v>20</v>
      </c>
      <c r="F999" t="str">
        <f>"43606-3076"</f>
        <v>43606-3076</v>
      </c>
      <c r="G999" t="str">
        <f t="shared" si="28"/>
        <v>402019</v>
      </c>
      <c r="H999" s="2">
        <f>10</f>
        <v>10</v>
      </c>
      <c r="I999" t="s">
        <v>27</v>
      </c>
      <c r="J999" t="s">
        <v>42</v>
      </c>
      <c r="K999" t="str">
        <f>"115033"</f>
        <v>115033</v>
      </c>
    </row>
    <row r="1000" spans="1:11" x14ac:dyDescent="0.25">
      <c r="A1000">
        <v>2021</v>
      </c>
      <c r="B1000" t="s">
        <v>5917</v>
      </c>
      <c r="C1000" t="s">
        <v>5918</v>
      </c>
      <c r="D1000" t="s">
        <v>50</v>
      </c>
      <c r="E1000" t="s">
        <v>20</v>
      </c>
      <c r="F1000" t="str">
        <f>"43560-3713"</f>
        <v>43560-3713</v>
      </c>
      <c r="G1000" t="str">
        <f t="shared" si="28"/>
        <v>402019</v>
      </c>
      <c r="H1000" s="2">
        <f>10</f>
        <v>10</v>
      </c>
      <c r="I1000" t="s">
        <v>27</v>
      </c>
      <c r="J1000" t="s">
        <v>42</v>
      </c>
      <c r="K1000" t="str">
        <f>"112768"</f>
        <v>112768</v>
      </c>
    </row>
    <row r="1001" spans="1:11" x14ac:dyDescent="0.25">
      <c r="A1001">
        <v>2021</v>
      </c>
      <c r="B1001" t="s">
        <v>5924</v>
      </c>
      <c r="C1001" t="s">
        <v>5925</v>
      </c>
      <c r="D1001" t="s">
        <v>1299</v>
      </c>
      <c r="E1001" t="s">
        <v>20</v>
      </c>
      <c r="F1001" t="str">
        <f>"43504-9773"</f>
        <v>43504-9773</v>
      </c>
      <c r="G1001" t="str">
        <f t="shared" si="28"/>
        <v>402019</v>
      </c>
      <c r="H1001" s="2">
        <f>20</f>
        <v>20</v>
      </c>
      <c r="I1001" t="s">
        <v>27</v>
      </c>
      <c r="J1001" t="s">
        <v>42</v>
      </c>
      <c r="K1001" t="str">
        <f>"113538"</f>
        <v>113538</v>
      </c>
    </row>
    <row r="1002" spans="1:11" x14ac:dyDescent="0.25">
      <c r="A1002">
        <v>2021</v>
      </c>
      <c r="B1002" t="s">
        <v>5936</v>
      </c>
      <c r="C1002" t="s">
        <v>5937</v>
      </c>
      <c r="D1002" t="s">
        <v>19</v>
      </c>
      <c r="E1002" t="s">
        <v>20</v>
      </c>
      <c r="F1002" t="str">
        <f>"43614-3356"</f>
        <v>43614-3356</v>
      </c>
      <c r="G1002" t="str">
        <f t="shared" si="28"/>
        <v>402019</v>
      </c>
      <c r="H1002" s="2">
        <f>10</f>
        <v>10</v>
      </c>
      <c r="I1002" t="s">
        <v>27</v>
      </c>
      <c r="J1002" t="s">
        <v>42</v>
      </c>
      <c r="K1002" t="str">
        <f>"113613"</f>
        <v>113613</v>
      </c>
    </row>
    <row r="1003" spans="1:11" x14ac:dyDescent="0.25">
      <c r="A1003">
        <v>2021</v>
      </c>
      <c r="B1003" t="s">
        <v>5940</v>
      </c>
      <c r="C1003" t="s">
        <v>5941</v>
      </c>
      <c r="D1003" t="s">
        <v>19</v>
      </c>
      <c r="E1003" t="s">
        <v>20</v>
      </c>
      <c r="F1003" t="str">
        <f>"43612-3145"</f>
        <v>43612-3145</v>
      </c>
      <c r="G1003" t="str">
        <f t="shared" si="28"/>
        <v>402019</v>
      </c>
      <c r="H1003" s="2">
        <f>10</f>
        <v>10</v>
      </c>
      <c r="I1003" t="s">
        <v>27</v>
      </c>
      <c r="J1003" t="s">
        <v>42</v>
      </c>
      <c r="K1003" t="str">
        <f>"111831"</f>
        <v>111831</v>
      </c>
    </row>
    <row r="1004" spans="1:11" x14ac:dyDescent="0.25">
      <c r="A1004">
        <v>2021</v>
      </c>
      <c r="B1004" t="s">
        <v>5946</v>
      </c>
      <c r="C1004" t="s">
        <v>5947</v>
      </c>
      <c r="D1004" t="s">
        <v>19</v>
      </c>
      <c r="E1004" t="s">
        <v>20</v>
      </c>
      <c r="F1004" t="str">
        <f>"43606-3742"</f>
        <v>43606-3742</v>
      </c>
      <c r="G1004" t="str">
        <f t="shared" si="28"/>
        <v>402019</v>
      </c>
      <c r="H1004" s="2">
        <f>20</f>
        <v>20</v>
      </c>
      <c r="I1004" t="s">
        <v>27</v>
      </c>
      <c r="J1004" t="s">
        <v>42</v>
      </c>
      <c r="K1004" t="str">
        <f>"112011"</f>
        <v>112011</v>
      </c>
    </row>
    <row r="1005" spans="1:11" x14ac:dyDescent="0.25">
      <c r="A1005">
        <v>2021</v>
      </c>
      <c r="B1005" t="s">
        <v>5948</v>
      </c>
      <c r="C1005" t="s">
        <v>5949</v>
      </c>
      <c r="D1005" t="s">
        <v>5950</v>
      </c>
      <c r="E1005" t="s">
        <v>204</v>
      </c>
      <c r="F1005" t="str">
        <f>"30012"</f>
        <v>30012</v>
      </c>
      <c r="G1005" t="str">
        <f>"402063"</f>
        <v>402063</v>
      </c>
      <c r="H1005" s="2">
        <f>28.19</f>
        <v>28.19</v>
      </c>
      <c r="I1005" t="s">
        <v>27</v>
      </c>
      <c r="J1005" t="s">
        <v>71</v>
      </c>
      <c r="K1005" t="str">
        <f>"11003561"</f>
        <v>11003561</v>
      </c>
    </row>
    <row r="1006" spans="1:11" x14ac:dyDescent="0.25">
      <c r="A1006">
        <v>2021</v>
      </c>
      <c r="B1006" t="s">
        <v>5959</v>
      </c>
      <c r="C1006" t="s">
        <v>5960</v>
      </c>
      <c r="D1006" t="s">
        <v>19</v>
      </c>
      <c r="E1006" t="s">
        <v>20</v>
      </c>
      <c r="F1006" t="str">
        <f>"43604-5627"</f>
        <v>43604-5627</v>
      </c>
      <c r="G1006" t="str">
        <f>"Je061721"</f>
        <v>Je061721</v>
      </c>
      <c r="H1006" s="2">
        <f>392.5</f>
        <v>392.5</v>
      </c>
      <c r="I1006" t="s">
        <v>15</v>
      </c>
      <c r="J1006" t="s">
        <v>137</v>
      </c>
      <c r="K1006" t="str">
        <f>"60001666"</f>
        <v>60001666</v>
      </c>
    </row>
    <row r="1007" spans="1:11" x14ac:dyDescent="0.25">
      <c r="A1007">
        <v>2021</v>
      </c>
      <c r="B1007" t="s">
        <v>5963</v>
      </c>
      <c r="C1007" t="s">
        <v>5964</v>
      </c>
      <c r="D1007" t="s">
        <v>5965</v>
      </c>
      <c r="E1007" t="s">
        <v>1341</v>
      </c>
      <c r="F1007" t="str">
        <f>"77449"</f>
        <v>77449</v>
      </c>
      <c r="G1007" t="str">
        <f>"Je061721"</f>
        <v>Je061721</v>
      </c>
      <c r="H1007" s="2">
        <f>129.43</f>
        <v>129.43</v>
      </c>
      <c r="I1007" t="s">
        <v>15</v>
      </c>
      <c r="J1007" t="s">
        <v>137</v>
      </c>
      <c r="K1007" t="str">
        <f>"60000568"</f>
        <v>60000568</v>
      </c>
    </row>
    <row r="1008" spans="1:11" x14ac:dyDescent="0.25">
      <c r="A1008">
        <v>2021</v>
      </c>
      <c r="B1008" t="s">
        <v>5975</v>
      </c>
      <c r="C1008" t="s">
        <v>5976</v>
      </c>
      <c r="D1008" t="s">
        <v>19</v>
      </c>
      <c r="E1008" t="s">
        <v>20</v>
      </c>
      <c r="F1008" t="str">
        <f>"43615-2734"</f>
        <v>43615-2734</v>
      </c>
      <c r="G1008" t="str">
        <f>"402019"</f>
        <v>402019</v>
      </c>
      <c r="H1008" s="2">
        <f>20</f>
        <v>20</v>
      </c>
      <c r="I1008" t="s">
        <v>27</v>
      </c>
      <c r="J1008" t="s">
        <v>42</v>
      </c>
      <c r="K1008" t="str">
        <f>"112987"</f>
        <v>112987</v>
      </c>
    </row>
    <row r="1009" spans="1:11" x14ac:dyDescent="0.25">
      <c r="A1009">
        <v>2021</v>
      </c>
      <c r="B1009" t="s">
        <v>5985</v>
      </c>
      <c r="C1009" t="s">
        <v>5986</v>
      </c>
      <c r="D1009" t="s">
        <v>19</v>
      </c>
      <c r="E1009" t="s">
        <v>20</v>
      </c>
      <c r="F1009" t="str">
        <f>"43608"</f>
        <v>43608</v>
      </c>
      <c r="G1009" t="str">
        <f>"402018"</f>
        <v>402018</v>
      </c>
      <c r="H1009" s="2">
        <f>25</f>
        <v>25</v>
      </c>
      <c r="I1009" t="s">
        <v>27</v>
      </c>
      <c r="J1009" t="s">
        <v>171</v>
      </c>
      <c r="K1009" t="str">
        <f>"517049"</f>
        <v>517049</v>
      </c>
    </row>
    <row r="1010" spans="1:11" x14ac:dyDescent="0.25">
      <c r="A1010">
        <v>2021</v>
      </c>
      <c r="B1010" t="s">
        <v>5989</v>
      </c>
      <c r="C1010" t="s">
        <v>5990</v>
      </c>
      <c r="D1010" t="s">
        <v>19</v>
      </c>
      <c r="E1010" t="s">
        <v>20</v>
      </c>
      <c r="F1010" t="str">
        <f>"43613"</f>
        <v>43613</v>
      </c>
      <c r="G1010" t="str">
        <f t="shared" ref="G1010:G1015" si="29">"Pio448069"</f>
        <v>Pio448069</v>
      </c>
      <c r="H1010" s="2">
        <f>4.2</f>
        <v>4.2</v>
      </c>
      <c r="I1010" t="s">
        <v>86</v>
      </c>
      <c r="J1010" t="s">
        <v>87</v>
      </c>
      <c r="K1010" t="str">
        <f t="shared" ref="K1010:K1015" si="30">"0"</f>
        <v>0</v>
      </c>
    </row>
    <row r="1011" spans="1:11" x14ac:dyDescent="0.25">
      <c r="A1011">
        <v>2021</v>
      </c>
      <c r="B1011" t="s">
        <v>5991</v>
      </c>
      <c r="C1011" t="s">
        <v>438</v>
      </c>
      <c r="D1011" t="s">
        <v>19</v>
      </c>
      <c r="E1011" t="s">
        <v>20</v>
      </c>
      <c r="F1011" t="str">
        <f>"43604"</f>
        <v>43604</v>
      </c>
      <c r="G1011" t="str">
        <f t="shared" si="29"/>
        <v>Pio448069</v>
      </c>
      <c r="H1011" s="2">
        <f>1</f>
        <v>1</v>
      </c>
      <c r="I1011" t="s">
        <v>86</v>
      </c>
      <c r="J1011" t="s">
        <v>87</v>
      </c>
      <c r="K1011" t="str">
        <f t="shared" si="30"/>
        <v>0</v>
      </c>
    </row>
    <row r="1012" spans="1:11" x14ac:dyDescent="0.25">
      <c r="A1012">
        <v>2021</v>
      </c>
      <c r="B1012" t="s">
        <v>5994</v>
      </c>
      <c r="C1012" t="s">
        <v>5995</v>
      </c>
      <c r="D1012" t="s">
        <v>19</v>
      </c>
      <c r="E1012" t="s">
        <v>20</v>
      </c>
      <c r="F1012" t="str">
        <f>"43610"</f>
        <v>43610</v>
      </c>
      <c r="G1012" t="str">
        <f t="shared" si="29"/>
        <v>Pio448069</v>
      </c>
      <c r="H1012" s="2">
        <f>1.07</f>
        <v>1.07</v>
      </c>
      <c r="I1012" t="s">
        <v>86</v>
      </c>
      <c r="J1012" t="s">
        <v>87</v>
      </c>
      <c r="K1012" t="str">
        <f t="shared" si="30"/>
        <v>0</v>
      </c>
    </row>
    <row r="1013" spans="1:11" x14ac:dyDescent="0.25">
      <c r="A1013">
        <v>2021</v>
      </c>
      <c r="B1013" t="s">
        <v>5996</v>
      </c>
      <c r="C1013" t="s">
        <v>5997</v>
      </c>
      <c r="D1013" t="s">
        <v>19</v>
      </c>
      <c r="E1013" t="s">
        <v>20</v>
      </c>
      <c r="F1013" t="str">
        <f>"43607"</f>
        <v>43607</v>
      </c>
      <c r="G1013" t="str">
        <f t="shared" si="29"/>
        <v>Pio448069</v>
      </c>
      <c r="H1013" s="2">
        <f>30.1</f>
        <v>30.1</v>
      </c>
      <c r="I1013" t="s">
        <v>86</v>
      </c>
      <c r="J1013" t="s">
        <v>87</v>
      </c>
      <c r="K1013" t="str">
        <f t="shared" si="30"/>
        <v>0</v>
      </c>
    </row>
    <row r="1014" spans="1:11" x14ac:dyDescent="0.25">
      <c r="A1014">
        <v>2021</v>
      </c>
      <c r="B1014" t="s">
        <v>6000</v>
      </c>
      <c r="C1014" t="s">
        <v>6001</v>
      </c>
      <c r="D1014" t="s">
        <v>19</v>
      </c>
      <c r="E1014" t="s">
        <v>20</v>
      </c>
      <c r="F1014" t="str">
        <f>"43614"</f>
        <v>43614</v>
      </c>
      <c r="G1014" t="str">
        <f t="shared" si="29"/>
        <v>Pio448069</v>
      </c>
      <c r="H1014" s="2">
        <f>10</f>
        <v>10</v>
      </c>
      <c r="I1014" t="s">
        <v>86</v>
      </c>
      <c r="J1014" t="s">
        <v>87</v>
      </c>
      <c r="K1014" t="str">
        <f t="shared" si="30"/>
        <v>0</v>
      </c>
    </row>
    <row r="1015" spans="1:11" x14ac:dyDescent="0.25">
      <c r="A1015">
        <v>2021</v>
      </c>
      <c r="B1015" t="s">
        <v>6004</v>
      </c>
      <c r="C1015" t="s">
        <v>6005</v>
      </c>
      <c r="D1015" t="s">
        <v>19</v>
      </c>
      <c r="E1015" t="s">
        <v>20</v>
      </c>
      <c r="F1015" t="str">
        <f>"43609"</f>
        <v>43609</v>
      </c>
      <c r="G1015" t="str">
        <f t="shared" si="29"/>
        <v>Pio448069</v>
      </c>
      <c r="H1015" s="2">
        <f>0.32</f>
        <v>0.32</v>
      </c>
      <c r="I1015" t="s">
        <v>86</v>
      </c>
      <c r="J1015" t="s">
        <v>87</v>
      </c>
      <c r="K1015" t="str">
        <f t="shared" si="30"/>
        <v>0</v>
      </c>
    </row>
    <row r="1016" spans="1:11" x14ac:dyDescent="0.25">
      <c r="A1016">
        <v>2021</v>
      </c>
      <c r="B1016" t="s">
        <v>6009</v>
      </c>
      <c r="C1016" t="s">
        <v>6010</v>
      </c>
      <c r="D1016" t="s">
        <v>19</v>
      </c>
      <c r="E1016" t="s">
        <v>20</v>
      </c>
      <c r="F1016" t="str">
        <f>"43609"</f>
        <v>43609</v>
      </c>
      <c r="G1016" t="str">
        <f>"402018"</f>
        <v>402018</v>
      </c>
      <c r="H1016" s="2">
        <f>150</f>
        <v>150</v>
      </c>
      <c r="I1016" t="s">
        <v>27</v>
      </c>
      <c r="J1016" t="s">
        <v>171</v>
      </c>
      <c r="K1016" t="str">
        <f>"515650"</f>
        <v>515650</v>
      </c>
    </row>
    <row r="1017" spans="1:11" x14ac:dyDescent="0.25">
      <c r="A1017">
        <v>2021</v>
      </c>
      <c r="B1017" t="s">
        <v>6011</v>
      </c>
      <c r="C1017" t="s">
        <v>6012</v>
      </c>
      <c r="D1017" t="s">
        <v>19</v>
      </c>
      <c r="E1017" t="s">
        <v>20</v>
      </c>
      <c r="F1017" t="str">
        <f>"43607"</f>
        <v>43607</v>
      </c>
      <c r="G1017" t="str">
        <f>"Pio448069"</f>
        <v>Pio448069</v>
      </c>
      <c r="H1017" s="2">
        <f>74.97</f>
        <v>74.97</v>
      </c>
      <c r="I1017" t="s">
        <v>86</v>
      </c>
      <c r="J1017" t="s">
        <v>87</v>
      </c>
      <c r="K1017" t="str">
        <f>"0"</f>
        <v>0</v>
      </c>
    </row>
    <row r="1018" spans="1:11" x14ac:dyDescent="0.25">
      <c r="A1018">
        <v>2021</v>
      </c>
      <c r="B1018" t="s">
        <v>6013</v>
      </c>
      <c r="C1018" t="s">
        <v>6014</v>
      </c>
      <c r="D1018" t="s">
        <v>19</v>
      </c>
      <c r="E1018" t="s">
        <v>20</v>
      </c>
      <c r="F1018" t="str">
        <f>"43607"</f>
        <v>43607</v>
      </c>
      <c r="G1018" t="str">
        <f>"Pio448069"</f>
        <v>Pio448069</v>
      </c>
      <c r="H1018" s="2">
        <f>2.59</f>
        <v>2.59</v>
      </c>
      <c r="I1018" t="s">
        <v>86</v>
      </c>
      <c r="J1018" t="s">
        <v>87</v>
      </c>
      <c r="K1018" t="str">
        <f>"0"</f>
        <v>0</v>
      </c>
    </row>
    <row r="1019" spans="1:11" x14ac:dyDescent="0.25">
      <c r="A1019">
        <v>2021</v>
      </c>
      <c r="B1019" t="s">
        <v>6015</v>
      </c>
      <c r="C1019" t="s">
        <v>2318</v>
      </c>
      <c r="D1019" t="s">
        <v>105</v>
      </c>
      <c r="E1019" t="s">
        <v>20</v>
      </c>
      <c r="F1019" t="str">
        <f>"43528"</f>
        <v>43528</v>
      </c>
      <c r="G1019" t="str">
        <f>"Swucf4621"</f>
        <v>Swucf4621</v>
      </c>
      <c r="H1019" s="2">
        <f>47.25</f>
        <v>47.25</v>
      </c>
      <c r="I1019" t="s">
        <v>15</v>
      </c>
      <c r="J1019" t="s">
        <v>81</v>
      </c>
      <c r="K1019" t="str">
        <f>"6297523"</f>
        <v>6297523</v>
      </c>
    </row>
    <row r="1020" spans="1:11" x14ac:dyDescent="0.25">
      <c r="A1020">
        <v>2021</v>
      </c>
      <c r="B1020" t="s">
        <v>6020</v>
      </c>
      <c r="C1020" t="s">
        <v>6021</v>
      </c>
      <c r="D1020" t="s">
        <v>19</v>
      </c>
      <c r="E1020" t="s">
        <v>20</v>
      </c>
      <c r="F1020" t="str">
        <f>"43537"</f>
        <v>43537</v>
      </c>
      <c r="G1020" t="str">
        <f>"402018"</f>
        <v>402018</v>
      </c>
      <c r="H1020" s="2">
        <f>9.08</f>
        <v>9.08</v>
      </c>
      <c r="I1020" t="s">
        <v>27</v>
      </c>
      <c r="J1020" t="s">
        <v>171</v>
      </c>
      <c r="K1020" t="str">
        <f>"517659"</f>
        <v>517659</v>
      </c>
    </row>
    <row r="1021" spans="1:11" x14ac:dyDescent="0.25">
      <c r="A1021">
        <v>2021</v>
      </c>
      <c r="B1021" t="s">
        <v>6029</v>
      </c>
      <c r="C1021" t="s">
        <v>6030</v>
      </c>
      <c r="D1021" t="s">
        <v>19</v>
      </c>
      <c r="E1021" t="s">
        <v>20</v>
      </c>
      <c r="F1021" t="str">
        <f>"43615-3521"</f>
        <v>43615-3521</v>
      </c>
      <c r="G1021" t="str">
        <f>"402019"</f>
        <v>402019</v>
      </c>
      <c r="H1021" s="2">
        <f>20</f>
        <v>20</v>
      </c>
      <c r="I1021" t="s">
        <v>27</v>
      </c>
      <c r="J1021" t="s">
        <v>42</v>
      </c>
      <c r="K1021" t="str">
        <f>"114080"</f>
        <v>114080</v>
      </c>
    </row>
    <row r="1022" spans="1:11" x14ac:dyDescent="0.25">
      <c r="A1022">
        <v>2021</v>
      </c>
      <c r="B1022" t="s">
        <v>6048</v>
      </c>
      <c r="C1022" t="s">
        <v>6049</v>
      </c>
      <c r="D1022" t="s">
        <v>323</v>
      </c>
      <c r="E1022" t="s">
        <v>20</v>
      </c>
      <c r="F1022" t="str">
        <f>"43571"</f>
        <v>43571</v>
      </c>
      <c r="G1022" t="str">
        <f>"Je061721"</f>
        <v>Je061721</v>
      </c>
      <c r="H1022" s="2">
        <f>42.53</f>
        <v>42.53</v>
      </c>
      <c r="I1022" t="s">
        <v>15</v>
      </c>
      <c r="J1022" t="s">
        <v>137</v>
      </c>
      <c r="K1022" t="str">
        <f>"60006696"</f>
        <v>60006696</v>
      </c>
    </row>
    <row r="1023" spans="1:11" x14ac:dyDescent="0.25">
      <c r="A1023">
        <v>2021</v>
      </c>
      <c r="B1023" t="s">
        <v>6048</v>
      </c>
      <c r="C1023" t="s">
        <v>6049</v>
      </c>
      <c r="D1023" t="s">
        <v>323</v>
      </c>
      <c r="E1023" t="s">
        <v>20</v>
      </c>
      <c r="F1023" t="str">
        <f>"43571"</f>
        <v>43571</v>
      </c>
      <c r="G1023" t="str">
        <f>"Je092221"</f>
        <v>Je092221</v>
      </c>
      <c r="H1023" s="2">
        <f>35.4</f>
        <v>35.4</v>
      </c>
      <c r="I1023" t="s">
        <v>15</v>
      </c>
      <c r="J1023" t="s">
        <v>114</v>
      </c>
      <c r="K1023" t="str">
        <f>"60013318"</f>
        <v>60013318</v>
      </c>
    </row>
    <row r="1024" spans="1:11" x14ac:dyDescent="0.25">
      <c r="A1024">
        <v>2021</v>
      </c>
      <c r="B1024" t="s">
        <v>6050</v>
      </c>
      <c r="C1024" t="s">
        <v>6051</v>
      </c>
      <c r="D1024" t="s">
        <v>1299</v>
      </c>
      <c r="E1024" t="s">
        <v>20</v>
      </c>
      <c r="F1024" t="str">
        <f>"43504-9708"</f>
        <v>43504-9708</v>
      </c>
      <c r="G1024" t="str">
        <f>"402019"</f>
        <v>402019</v>
      </c>
      <c r="H1024" s="2">
        <f>10</f>
        <v>10</v>
      </c>
      <c r="I1024" t="s">
        <v>27</v>
      </c>
      <c r="J1024" t="s">
        <v>42</v>
      </c>
      <c r="K1024" t="str">
        <f>"113867"</f>
        <v>113867</v>
      </c>
    </row>
    <row r="1025" spans="1:11" x14ac:dyDescent="0.25">
      <c r="A1025">
        <v>2021</v>
      </c>
      <c r="B1025" t="s">
        <v>6066</v>
      </c>
      <c r="C1025" t="s">
        <v>6067</v>
      </c>
      <c r="D1025" t="s">
        <v>19</v>
      </c>
      <c r="E1025" t="s">
        <v>20</v>
      </c>
      <c r="F1025" t="str">
        <f>"43604"</f>
        <v>43604</v>
      </c>
      <c r="G1025" t="str">
        <f>"Pio448069"</f>
        <v>Pio448069</v>
      </c>
      <c r="H1025" s="2">
        <f>14.41</f>
        <v>14.41</v>
      </c>
      <c r="I1025" t="s">
        <v>86</v>
      </c>
      <c r="J1025" t="s">
        <v>87</v>
      </c>
      <c r="K1025" t="str">
        <f>"0"</f>
        <v>0</v>
      </c>
    </row>
    <row r="1026" spans="1:11" x14ac:dyDescent="0.25">
      <c r="A1026">
        <v>2021</v>
      </c>
      <c r="B1026" t="s">
        <v>6068</v>
      </c>
      <c r="C1026" t="s">
        <v>6069</v>
      </c>
      <c r="D1026" t="s">
        <v>19</v>
      </c>
      <c r="E1026" t="s">
        <v>20</v>
      </c>
      <c r="F1026" t="str">
        <f t="shared" ref="F1026:F1031" si="31">"43608"</f>
        <v>43608</v>
      </c>
      <c r="G1026" t="str">
        <f t="shared" ref="G1026:G1032" si="32">"402018"</f>
        <v>402018</v>
      </c>
      <c r="H1026" s="2">
        <f>1.82</f>
        <v>1.82</v>
      </c>
      <c r="I1026" t="s">
        <v>27</v>
      </c>
      <c r="J1026" t="s">
        <v>171</v>
      </c>
      <c r="K1026" t="str">
        <f>"517781"</f>
        <v>517781</v>
      </c>
    </row>
    <row r="1027" spans="1:11" x14ac:dyDescent="0.25">
      <c r="A1027">
        <v>2021</v>
      </c>
      <c r="B1027" t="s">
        <v>6068</v>
      </c>
      <c r="C1027" t="s">
        <v>6069</v>
      </c>
      <c r="D1027" t="s">
        <v>19</v>
      </c>
      <c r="E1027" t="s">
        <v>20</v>
      </c>
      <c r="F1027" t="str">
        <f t="shared" si="31"/>
        <v>43608</v>
      </c>
      <c r="G1027" t="str">
        <f t="shared" si="32"/>
        <v>402018</v>
      </c>
      <c r="H1027" s="2">
        <f>1.82</f>
        <v>1.82</v>
      </c>
      <c r="I1027" t="s">
        <v>27</v>
      </c>
      <c r="J1027" t="s">
        <v>171</v>
      </c>
      <c r="K1027" t="str">
        <f>"517923"</f>
        <v>517923</v>
      </c>
    </row>
    <row r="1028" spans="1:11" x14ac:dyDescent="0.25">
      <c r="A1028">
        <v>2021</v>
      </c>
      <c r="B1028" t="s">
        <v>6068</v>
      </c>
      <c r="C1028" t="s">
        <v>6069</v>
      </c>
      <c r="D1028" t="s">
        <v>19</v>
      </c>
      <c r="E1028" t="s">
        <v>20</v>
      </c>
      <c r="F1028" t="str">
        <f t="shared" si="31"/>
        <v>43608</v>
      </c>
      <c r="G1028" t="str">
        <f t="shared" si="32"/>
        <v>402018</v>
      </c>
      <c r="H1028" s="2">
        <f>1.82</f>
        <v>1.82</v>
      </c>
      <c r="I1028" t="s">
        <v>27</v>
      </c>
      <c r="J1028" t="s">
        <v>171</v>
      </c>
      <c r="K1028" t="str">
        <f>"516986"</f>
        <v>516986</v>
      </c>
    </row>
    <row r="1029" spans="1:11" x14ac:dyDescent="0.25">
      <c r="A1029">
        <v>2021</v>
      </c>
      <c r="B1029" t="s">
        <v>6068</v>
      </c>
      <c r="C1029" t="s">
        <v>6069</v>
      </c>
      <c r="D1029" t="s">
        <v>19</v>
      </c>
      <c r="E1029" t="s">
        <v>20</v>
      </c>
      <c r="F1029" t="str">
        <f t="shared" si="31"/>
        <v>43608</v>
      </c>
      <c r="G1029" t="str">
        <f t="shared" si="32"/>
        <v>402018</v>
      </c>
      <c r="H1029" s="2">
        <f>2.09</f>
        <v>2.09</v>
      </c>
      <c r="I1029" t="s">
        <v>27</v>
      </c>
      <c r="J1029" t="s">
        <v>171</v>
      </c>
      <c r="K1029" t="str">
        <f>"516549"</f>
        <v>516549</v>
      </c>
    </row>
    <row r="1030" spans="1:11" x14ac:dyDescent="0.25">
      <c r="A1030">
        <v>2021</v>
      </c>
      <c r="B1030" t="s">
        <v>6068</v>
      </c>
      <c r="C1030" t="s">
        <v>6069</v>
      </c>
      <c r="D1030" t="s">
        <v>19</v>
      </c>
      <c r="E1030" t="s">
        <v>20</v>
      </c>
      <c r="F1030" t="str">
        <f t="shared" si="31"/>
        <v>43608</v>
      </c>
      <c r="G1030" t="str">
        <f t="shared" si="32"/>
        <v>402018</v>
      </c>
      <c r="H1030" s="2">
        <f>3.34</f>
        <v>3.34</v>
      </c>
      <c r="I1030" t="s">
        <v>27</v>
      </c>
      <c r="J1030" t="s">
        <v>171</v>
      </c>
      <c r="K1030" t="str">
        <f>"516355"</f>
        <v>516355</v>
      </c>
    </row>
    <row r="1031" spans="1:11" x14ac:dyDescent="0.25">
      <c r="A1031">
        <v>2021</v>
      </c>
      <c r="B1031" t="s">
        <v>6068</v>
      </c>
      <c r="C1031" t="s">
        <v>6069</v>
      </c>
      <c r="D1031" t="s">
        <v>19</v>
      </c>
      <c r="E1031" t="s">
        <v>20</v>
      </c>
      <c r="F1031" t="str">
        <f t="shared" si="31"/>
        <v>43608</v>
      </c>
      <c r="G1031" t="str">
        <f t="shared" si="32"/>
        <v>402018</v>
      </c>
      <c r="H1031" s="2">
        <f>1.67</f>
        <v>1.67</v>
      </c>
      <c r="I1031" t="s">
        <v>27</v>
      </c>
      <c r="J1031" t="s">
        <v>171</v>
      </c>
      <c r="K1031" t="str">
        <f>"515655"</f>
        <v>515655</v>
      </c>
    </row>
    <row r="1032" spans="1:11" x14ac:dyDescent="0.25">
      <c r="A1032">
        <v>2021</v>
      </c>
      <c r="B1032" t="s">
        <v>6070</v>
      </c>
      <c r="C1032" t="s">
        <v>6071</v>
      </c>
      <c r="D1032" t="s">
        <v>19</v>
      </c>
      <c r="E1032" t="s">
        <v>20</v>
      </c>
      <c r="F1032" t="str">
        <f>"43604"</f>
        <v>43604</v>
      </c>
      <c r="G1032" t="str">
        <f t="shared" si="32"/>
        <v>402018</v>
      </c>
      <c r="H1032" s="2">
        <f>10.5</f>
        <v>10.5</v>
      </c>
      <c r="I1032" t="s">
        <v>27</v>
      </c>
      <c r="J1032" t="s">
        <v>171</v>
      </c>
      <c r="K1032" t="str">
        <f>"516635"</f>
        <v>516635</v>
      </c>
    </row>
    <row r="1033" spans="1:11" x14ac:dyDescent="0.25">
      <c r="A1033">
        <v>2021</v>
      </c>
      <c r="B1033" t="s">
        <v>6072</v>
      </c>
      <c r="C1033" t="s">
        <v>6073</v>
      </c>
      <c r="D1033" t="s">
        <v>19</v>
      </c>
      <c r="E1033" t="s">
        <v>20</v>
      </c>
      <c r="F1033" t="str">
        <f>"43609"</f>
        <v>43609</v>
      </c>
      <c r="G1033" t="str">
        <f>"Pio448069"</f>
        <v>Pio448069</v>
      </c>
      <c r="H1033" s="2">
        <f>40</f>
        <v>40</v>
      </c>
      <c r="I1033" t="s">
        <v>86</v>
      </c>
      <c r="J1033" t="s">
        <v>87</v>
      </c>
      <c r="K1033" t="str">
        <f>"0"</f>
        <v>0</v>
      </c>
    </row>
    <row r="1034" spans="1:11" x14ac:dyDescent="0.25">
      <c r="A1034">
        <v>2021</v>
      </c>
      <c r="B1034" t="s">
        <v>6074</v>
      </c>
      <c r="C1034" t="s">
        <v>6075</v>
      </c>
      <c r="D1034" t="s">
        <v>19</v>
      </c>
      <c r="E1034" t="s">
        <v>20</v>
      </c>
      <c r="F1034" t="str">
        <f>"43605"</f>
        <v>43605</v>
      </c>
      <c r="G1034" t="str">
        <f>"Pio448069"</f>
        <v>Pio448069</v>
      </c>
      <c r="H1034" s="2">
        <f>0.25</f>
        <v>0.25</v>
      </c>
      <c r="I1034" t="s">
        <v>86</v>
      </c>
      <c r="J1034" t="s">
        <v>87</v>
      </c>
      <c r="K1034" t="str">
        <f>"0"</f>
        <v>0</v>
      </c>
    </row>
    <row r="1035" spans="1:11" x14ac:dyDescent="0.25">
      <c r="A1035">
        <v>2021</v>
      </c>
      <c r="B1035" t="s">
        <v>6076</v>
      </c>
      <c r="C1035" t="s">
        <v>6077</v>
      </c>
      <c r="D1035" t="s">
        <v>4250</v>
      </c>
      <c r="E1035" t="s">
        <v>20</v>
      </c>
      <c r="F1035" t="str">
        <f>"44901"</f>
        <v>44901</v>
      </c>
      <c r="G1035" t="str">
        <f>"402018"</f>
        <v>402018</v>
      </c>
      <c r="H1035" s="2">
        <f>4.84</f>
        <v>4.84</v>
      </c>
      <c r="I1035" t="s">
        <v>27</v>
      </c>
      <c r="J1035" t="s">
        <v>171</v>
      </c>
      <c r="K1035" t="str">
        <f>"515881"</f>
        <v>515881</v>
      </c>
    </row>
    <row r="1036" spans="1:11" x14ac:dyDescent="0.25">
      <c r="A1036">
        <v>2021</v>
      </c>
      <c r="B1036" t="s">
        <v>6078</v>
      </c>
      <c r="C1036" t="s">
        <v>1731</v>
      </c>
      <c r="D1036" t="s">
        <v>19</v>
      </c>
      <c r="E1036" t="s">
        <v>20</v>
      </c>
      <c r="F1036" t="str">
        <f>"43604"</f>
        <v>43604</v>
      </c>
      <c r="G1036" t="str">
        <f>"402018"</f>
        <v>402018</v>
      </c>
      <c r="H1036" s="2">
        <f>9.08</f>
        <v>9.08</v>
      </c>
      <c r="I1036" t="s">
        <v>27</v>
      </c>
      <c r="J1036" t="s">
        <v>171</v>
      </c>
      <c r="K1036" t="str">
        <f>"517661"</f>
        <v>517661</v>
      </c>
    </row>
    <row r="1037" spans="1:11" x14ac:dyDescent="0.25">
      <c r="A1037">
        <v>2021</v>
      </c>
      <c r="B1037" t="s">
        <v>6079</v>
      </c>
      <c r="C1037" t="s">
        <v>6080</v>
      </c>
      <c r="D1037" t="s">
        <v>19</v>
      </c>
      <c r="E1037" t="s">
        <v>20</v>
      </c>
      <c r="F1037" t="str">
        <f>"43605"</f>
        <v>43605</v>
      </c>
      <c r="G1037" t="str">
        <f>"Pio448069"</f>
        <v>Pio448069</v>
      </c>
      <c r="H1037" s="2">
        <f>8</f>
        <v>8</v>
      </c>
      <c r="I1037" t="s">
        <v>86</v>
      </c>
      <c r="J1037" t="s">
        <v>87</v>
      </c>
      <c r="K1037" t="str">
        <f>"0"</f>
        <v>0</v>
      </c>
    </row>
    <row r="1038" spans="1:11" x14ac:dyDescent="0.25">
      <c r="A1038">
        <v>2021</v>
      </c>
      <c r="B1038" t="s">
        <v>6081</v>
      </c>
      <c r="C1038" t="s">
        <v>6082</v>
      </c>
      <c r="D1038" t="s">
        <v>19</v>
      </c>
      <c r="E1038" t="s">
        <v>20</v>
      </c>
      <c r="F1038" t="str">
        <f>"43623"</f>
        <v>43623</v>
      </c>
      <c r="G1038" t="str">
        <f>"Pio448069"</f>
        <v>Pio448069</v>
      </c>
      <c r="H1038" s="2">
        <f>0.49</f>
        <v>0.49</v>
      </c>
      <c r="I1038" t="s">
        <v>86</v>
      </c>
      <c r="J1038" t="s">
        <v>87</v>
      </c>
      <c r="K1038" t="str">
        <f>"0"</f>
        <v>0</v>
      </c>
    </row>
    <row r="1039" spans="1:11" x14ac:dyDescent="0.25">
      <c r="A1039">
        <v>2021</v>
      </c>
      <c r="B1039" t="s">
        <v>6083</v>
      </c>
      <c r="C1039" t="s">
        <v>6084</v>
      </c>
      <c r="D1039" t="s">
        <v>19</v>
      </c>
      <c r="E1039" t="s">
        <v>20</v>
      </c>
      <c r="F1039" t="str">
        <f>"43604"</f>
        <v>43604</v>
      </c>
      <c r="G1039" t="str">
        <f>"Pio448069"</f>
        <v>Pio448069</v>
      </c>
      <c r="H1039" s="2">
        <f>0.02</f>
        <v>0.02</v>
      </c>
      <c r="I1039" t="s">
        <v>86</v>
      </c>
      <c r="J1039" t="s">
        <v>87</v>
      </c>
      <c r="K1039" t="str">
        <f>"0"</f>
        <v>0</v>
      </c>
    </row>
    <row r="1040" spans="1:11" x14ac:dyDescent="0.25">
      <c r="A1040">
        <v>2021</v>
      </c>
      <c r="B1040" t="s">
        <v>6085</v>
      </c>
      <c r="C1040" t="s">
        <v>6086</v>
      </c>
      <c r="D1040" t="s">
        <v>19</v>
      </c>
      <c r="E1040" t="s">
        <v>20</v>
      </c>
      <c r="F1040" t="str">
        <f>"43607"</f>
        <v>43607</v>
      </c>
      <c r="G1040" t="str">
        <f>"Pio448069"</f>
        <v>Pio448069</v>
      </c>
      <c r="H1040" s="2">
        <f>501</f>
        <v>501</v>
      </c>
      <c r="I1040" t="s">
        <v>86</v>
      </c>
      <c r="J1040" t="s">
        <v>87</v>
      </c>
      <c r="K1040" t="str">
        <f>"0"</f>
        <v>0</v>
      </c>
    </row>
    <row r="1041" spans="1:11" x14ac:dyDescent="0.25">
      <c r="A1041">
        <v>2021</v>
      </c>
      <c r="B1041" t="s">
        <v>6089</v>
      </c>
      <c r="C1041" t="s">
        <v>6090</v>
      </c>
      <c r="D1041" t="s">
        <v>19</v>
      </c>
      <c r="E1041" t="s">
        <v>20</v>
      </c>
      <c r="F1041" t="str">
        <f>"43613"</f>
        <v>43613</v>
      </c>
      <c r="G1041" t="str">
        <f>"Pio448069"</f>
        <v>Pio448069</v>
      </c>
      <c r="H1041" s="2">
        <f>0.05</f>
        <v>0.05</v>
      </c>
      <c r="I1041" t="s">
        <v>86</v>
      </c>
      <c r="J1041" t="s">
        <v>87</v>
      </c>
      <c r="K1041" t="str">
        <f>"0"</f>
        <v>0</v>
      </c>
    </row>
    <row r="1042" spans="1:11" x14ac:dyDescent="0.25">
      <c r="A1042">
        <v>2021</v>
      </c>
      <c r="B1042" t="s">
        <v>6095</v>
      </c>
      <c r="C1042" t="s">
        <v>6096</v>
      </c>
      <c r="D1042" t="s">
        <v>19</v>
      </c>
      <c r="E1042" t="s">
        <v>20</v>
      </c>
      <c r="F1042" t="str">
        <f>"43607"</f>
        <v>43607</v>
      </c>
      <c r="G1042" t="str">
        <f>"Je110321"</f>
        <v>Je110321</v>
      </c>
      <c r="H1042" s="2">
        <f>88.77</f>
        <v>88.77</v>
      </c>
      <c r="I1042" t="s">
        <v>15</v>
      </c>
      <c r="J1042" t="s">
        <v>596</v>
      </c>
      <c r="K1042" t="str">
        <f>"60024823"</f>
        <v>60024823</v>
      </c>
    </row>
    <row r="1043" spans="1:11" x14ac:dyDescent="0.25">
      <c r="A1043">
        <v>2021</v>
      </c>
      <c r="B1043" t="s">
        <v>6097</v>
      </c>
      <c r="C1043" t="s">
        <v>6096</v>
      </c>
      <c r="D1043" t="s">
        <v>19</v>
      </c>
      <c r="E1043" t="s">
        <v>20</v>
      </c>
      <c r="F1043" t="str">
        <f>"43607"</f>
        <v>43607</v>
      </c>
      <c r="G1043" t="str">
        <f>"Je110321"</f>
        <v>Je110321</v>
      </c>
      <c r="H1043" s="2">
        <f>182.48</f>
        <v>182.48</v>
      </c>
      <c r="I1043" t="s">
        <v>15</v>
      </c>
      <c r="J1043" t="s">
        <v>596</v>
      </c>
      <c r="K1043" t="str">
        <f>"60024824"</f>
        <v>60024824</v>
      </c>
    </row>
    <row r="1044" spans="1:11" x14ac:dyDescent="0.25">
      <c r="A1044">
        <v>2021</v>
      </c>
      <c r="B1044" t="s">
        <v>6116</v>
      </c>
      <c r="C1044" t="s">
        <v>6117</v>
      </c>
      <c r="D1044" t="s">
        <v>19</v>
      </c>
      <c r="E1044" t="s">
        <v>20</v>
      </c>
      <c r="F1044" t="str">
        <f>"43613-2141"</f>
        <v>43613-2141</v>
      </c>
      <c r="G1044" t="str">
        <f>"402019"</f>
        <v>402019</v>
      </c>
      <c r="H1044" s="2">
        <f>10</f>
        <v>10</v>
      </c>
      <c r="I1044" t="s">
        <v>27</v>
      </c>
      <c r="J1044" t="s">
        <v>42</v>
      </c>
      <c r="K1044" t="str">
        <f>"114240"</f>
        <v>114240</v>
      </c>
    </row>
    <row r="1045" spans="1:11" x14ac:dyDescent="0.25">
      <c r="A1045">
        <v>2021</v>
      </c>
      <c r="B1045" t="s">
        <v>6128</v>
      </c>
      <c r="C1045" t="s">
        <v>6129</v>
      </c>
      <c r="D1045" t="s">
        <v>125</v>
      </c>
      <c r="E1045" t="s">
        <v>20</v>
      </c>
      <c r="F1045" t="str">
        <f>"43537-2419"</f>
        <v>43537-2419</v>
      </c>
      <c r="G1045" t="str">
        <f>"402019"</f>
        <v>402019</v>
      </c>
      <c r="H1045" s="2">
        <f>20</f>
        <v>20</v>
      </c>
      <c r="I1045" t="s">
        <v>27</v>
      </c>
      <c r="J1045" t="s">
        <v>42</v>
      </c>
      <c r="K1045" t="str">
        <f>"113266"</f>
        <v>113266</v>
      </c>
    </row>
    <row r="1046" spans="1:11" x14ac:dyDescent="0.25">
      <c r="A1046">
        <v>2021</v>
      </c>
      <c r="B1046" t="s">
        <v>6147</v>
      </c>
      <c r="C1046" t="s">
        <v>6148</v>
      </c>
      <c r="D1046" t="s">
        <v>120</v>
      </c>
      <c r="E1046" t="s">
        <v>20</v>
      </c>
      <c r="F1046" t="str">
        <f>"43522"</f>
        <v>43522</v>
      </c>
      <c r="G1046" t="str">
        <f>"Je092221"</f>
        <v>Je092221</v>
      </c>
      <c r="H1046" s="2">
        <f>35</f>
        <v>35</v>
      </c>
      <c r="I1046" t="s">
        <v>15</v>
      </c>
      <c r="J1046" t="s">
        <v>114</v>
      </c>
      <c r="K1046" t="str">
        <f>"60011115"</f>
        <v>60011115</v>
      </c>
    </row>
    <row r="1047" spans="1:11" x14ac:dyDescent="0.25">
      <c r="A1047">
        <v>2021</v>
      </c>
      <c r="B1047" t="s">
        <v>6166</v>
      </c>
      <c r="C1047" t="s">
        <v>6167</v>
      </c>
      <c r="D1047" t="s">
        <v>19</v>
      </c>
      <c r="E1047" t="s">
        <v>20</v>
      </c>
      <c r="F1047" t="str">
        <f>"43620"</f>
        <v>43620</v>
      </c>
      <c r="G1047" t="str">
        <f>"389598"</f>
        <v>389598</v>
      </c>
      <c r="H1047" s="2">
        <f>7531.91</f>
        <v>7531.91</v>
      </c>
      <c r="I1047" t="s">
        <v>148</v>
      </c>
      <c r="J1047" t="s">
        <v>6168</v>
      </c>
      <c r="K1047" t="str">
        <f>"24878"</f>
        <v>24878</v>
      </c>
    </row>
    <row r="1048" spans="1:11" x14ac:dyDescent="0.25">
      <c r="A1048">
        <v>2021</v>
      </c>
      <c r="B1048" t="s">
        <v>6175</v>
      </c>
      <c r="C1048" t="s">
        <v>6176</v>
      </c>
      <c r="D1048" t="s">
        <v>19</v>
      </c>
      <c r="E1048" t="s">
        <v>20</v>
      </c>
      <c r="F1048" t="str">
        <f>"43623-3745"</f>
        <v>43623-3745</v>
      </c>
      <c r="G1048" t="str">
        <f>"402019"</f>
        <v>402019</v>
      </c>
      <c r="H1048" s="2">
        <f>10</f>
        <v>10</v>
      </c>
      <c r="I1048" t="s">
        <v>27</v>
      </c>
      <c r="J1048" t="s">
        <v>42</v>
      </c>
      <c r="K1048" t="str">
        <f>"115101"</f>
        <v>115101</v>
      </c>
    </row>
    <row r="1049" spans="1:11" x14ac:dyDescent="0.25">
      <c r="A1049">
        <v>2021</v>
      </c>
      <c r="B1049" t="s">
        <v>6177</v>
      </c>
      <c r="C1049" t="s">
        <v>6178</v>
      </c>
      <c r="D1049" t="s">
        <v>19</v>
      </c>
      <c r="E1049" t="s">
        <v>20</v>
      </c>
      <c r="F1049" t="str">
        <f>"43613-3726"</f>
        <v>43613-3726</v>
      </c>
      <c r="G1049" t="str">
        <f>"402019"</f>
        <v>402019</v>
      </c>
      <c r="H1049" s="2">
        <f>10</f>
        <v>10</v>
      </c>
      <c r="I1049" t="s">
        <v>27</v>
      </c>
      <c r="J1049" t="s">
        <v>42</v>
      </c>
      <c r="K1049" t="str">
        <f>"111924"</f>
        <v>111924</v>
      </c>
    </row>
    <row r="1050" spans="1:11" x14ac:dyDescent="0.25">
      <c r="A1050">
        <v>2021</v>
      </c>
      <c r="B1050" t="s">
        <v>6193</v>
      </c>
      <c r="C1050" t="s">
        <v>6194</v>
      </c>
      <c r="D1050" t="s">
        <v>19</v>
      </c>
      <c r="E1050" t="s">
        <v>20</v>
      </c>
      <c r="F1050" t="str">
        <f>"43615"</f>
        <v>43615</v>
      </c>
      <c r="G1050" t="str">
        <f>"Pio448069"</f>
        <v>Pio448069</v>
      </c>
      <c r="H1050" s="2">
        <f>37</f>
        <v>37</v>
      </c>
      <c r="I1050" t="s">
        <v>86</v>
      </c>
      <c r="J1050" t="s">
        <v>87</v>
      </c>
      <c r="K1050" t="str">
        <f>"0"</f>
        <v>0</v>
      </c>
    </row>
    <row r="1051" spans="1:11" x14ac:dyDescent="0.25">
      <c r="A1051">
        <v>2021</v>
      </c>
      <c r="B1051" t="s">
        <v>6197</v>
      </c>
      <c r="C1051" t="s">
        <v>6198</v>
      </c>
      <c r="D1051" t="s">
        <v>19</v>
      </c>
      <c r="E1051" t="s">
        <v>20</v>
      </c>
      <c r="F1051" t="str">
        <f>"43609-2246"</f>
        <v>43609-2246</v>
      </c>
      <c r="G1051" t="str">
        <f>"402019"</f>
        <v>402019</v>
      </c>
      <c r="H1051" s="2">
        <f>10</f>
        <v>10</v>
      </c>
      <c r="I1051" t="s">
        <v>27</v>
      </c>
      <c r="J1051" t="s">
        <v>42</v>
      </c>
      <c r="K1051" t="str">
        <f>"112271"</f>
        <v>112271</v>
      </c>
    </row>
    <row r="1052" spans="1:11" x14ac:dyDescent="0.25">
      <c r="A1052">
        <v>2021</v>
      </c>
      <c r="B1052" t="s">
        <v>6209</v>
      </c>
      <c r="C1052" t="s">
        <v>6210</v>
      </c>
      <c r="D1052" t="s">
        <v>19</v>
      </c>
      <c r="E1052" t="s">
        <v>20</v>
      </c>
      <c r="F1052" t="str">
        <f>"43613-4301"</f>
        <v>43613-4301</v>
      </c>
      <c r="G1052" t="str">
        <f>"402019"</f>
        <v>402019</v>
      </c>
      <c r="H1052" s="2">
        <f>20</f>
        <v>20</v>
      </c>
      <c r="I1052" t="s">
        <v>27</v>
      </c>
      <c r="J1052" t="s">
        <v>42</v>
      </c>
      <c r="K1052" t="str">
        <f>"114287"</f>
        <v>114287</v>
      </c>
    </row>
    <row r="1053" spans="1:11" x14ac:dyDescent="0.25">
      <c r="A1053">
        <v>2021</v>
      </c>
      <c r="B1053" t="s">
        <v>6212</v>
      </c>
      <c r="C1053" t="s">
        <v>6213</v>
      </c>
      <c r="D1053" t="s">
        <v>19</v>
      </c>
      <c r="E1053" t="s">
        <v>20</v>
      </c>
      <c r="F1053" t="str">
        <f>"43612-3506"</f>
        <v>43612-3506</v>
      </c>
      <c r="G1053" t="str">
        <f>"402019"</f>
        <v>402019</v>
      </c>
      <c r="H1053" s="2">
        <f>20</f>
        <v>20</v>
      </c>
      <c r="I1053" t="s">
        <v>27</v>
      </c>
      <c r="J1053" t="s">
        <v>42</v>
      </c>
      <c r="K1053" t="str">
        <f>"112853"</f>
        <v>112853</v>
      </c>
    </row>
    <row r="1054" spans="1:11" x14ac:dyDescent="0.25">
      <c r="A1054">
        <v>2021</v>
      </c>
      <c r="B1054" t="s">
        <v>6261</v>
      </c>
      <c r="C1054" t="s">
        <v>6262</v>
      </c>
      <c r="D1054" t="s">
        <v>19</v>
      </c>
      <c r="E1054" t="s">
        <v>20</v>
      </c>
      <c r="F1054" t="str">
        <f>"43614"</f>
        <v>43614</v>
      </c>
      <c r="G1054" t="str">
        <f>"Je092221"</f>
        <v>Je092221</v>
      </c>
      <c r="H1054" s="2">
        <f>27.73</f>
        <v>27.73</v>
      </c>
      <c r="I1054" t="s">
        <v>15</v>
      </c>
      <c r="J1054" t="s">
        <v>114</v>
      </c>
      <c r="K1054" t="str">
        <f>"60009719"</f>
        <v>60009719</v>
      </c>
    </row>
    <row r="1055" spans="1:11" x14ac:dyDescent="0.25">
      <c r="A1055">
        <v>2021</v>
      </c>
      <c r="B1055" t="s">
        <v>6271</v>
      </c>
      <c r="C1055" t="s">
        <v>6272</v>
      </c>
      <c r="D1055" t="s">
        <v>323</v>
      </c>
      <c r="E1055" t="s">
        <v>20</v>
      </c>
      <c r="F1055" t="str">
        <f>"43571-9059"</f>
        <v>43571-9059</v>
      </c>
      <c r="G1055" t="str">
        <f>"402019"</f>
        <v>402019</v>
      </c>
      <c r="H1055" s="2">
        <f>20</f>
        <v>20</v>
      </c>
      <c r="I1055" t="s">
        <v>27</v>
      </c>
      <c r="J1055" t="s">
        <v>42</v>
      </c>
      <c r="K1055" t="str">
        <f>"113747"</f>
        <v>113747</v>
      </c>
    </row>
    <row r="1056" spans="1:11" x14ac:dyDescent="0.25">
      <c r="A1056">
        <v>2021</v>
      </c>
      <c r="B1056" t="s">
        <v>6283</v>
      </c>
      <c r="C1056" t="s">
        <v>6284</v>
      </c>
      <c r="D1056" t="s">
        <v>19</v>
      </c>
      <c r="E1056" t="s">
        <v>20</v>
      </c>
      <c r="F1056" t="str">
        <f>"43605"</f>
        <v>43605</v>
      </c>
      <c r="G1056" t="str">
        <f>"Swucf4621"</f>
        <v>Swucf4621</v>
      </c>
      <c r="H1056" s="2">
        <f>160</f>
        <v>160</v>
      </c>
      <c r="I1056" t="s">
        <v>15</v>
      </c>
      <c r="J1056" t="s">
        <v>81</v>
      </c>
      <c r="K1056" t="str">
        <f>"6294565"</f>
        <v>6294565</v>
      </c>
    </row>
    <row r="1057" spans="1:11" x14ac:dyDescent="0.25">
      <c r="A1057">
        <v>2021</v>
      </c>
      <c r="B1057" t="s">
        <v>6287</v>
      </c>
      <c r="C1057" t="s">
        <v>6288</v>
      </c>
      <c r="D1057" t="s">
        <v>105</v>
      </c>
      <c r="E1057" t="s">
        <v>20</v>
      </c>
      <c r="F1057" t="str">
        <f>"43528"</f>
        <v>43528</v>
      </c>
      <c r="G1057" t="str">
        <f>"402017"</f>
        <v>402017</v>
      </c>
      <c r="H1057" s="2">
        <f>9.42</f>
        <v>9.42</v>
      </c>
      <c r="I1057" t="s">
        <v>27</v>
      </c>
      <c r="J1057" t="s">
        <v>212</v>
      </c>
      <c r="K1057" t="str">
        <f>"34984"</f>
        <v>34984</v>
      </c>
    </row>
    <row r="1058" spans="1:11" x14ac:dyDescent="0.25">
      <c r="A1058">
        <v>2021</v>
      </c>
      <c r="B1058" t="s">
        <v>6293</v>
      </c>
      <c r="C1058" t="s">
        <v>6294</v>
      </c>
      <c r="D1058" t="s">
        <v>19</v>
      </c>
      <c r="E1058" t="s">
        <v>20</v>
      </c>
      <c r="F1058" t="str">
        <f>"43604-1962"</f>
        <v>43604-1962</v>
      </c>
      <c r="G1058" t="str">
        <f>"402019"</f>
        <v>402019</v>
      </c>
      <c r="H1058" s="2">
        <f>10</f>
        <v>10</v>
      </c>
      <c r="I1058" t="s">
        <v>27</v>
      </c>
      <c r="J1058" t="s">
        <v>42</v>
      </c>
      <c r="K1058" t="str">
        <f>"113105"</f>
        <v>113105</v>
      </c>
    </row>
    <row r="1059" spans="1:11" x14ac:dyDescent="0.25">
      <c r="A1059">
        <v>2021</v>
      </c>
      <c r="B1059" t="s">
        <v>6295</v>
      </c>
      <c r="C1059" t="s">
        <v>6296</v>
      </c>
      <c r="D1059" t="s">
        <v>19</v>
      </c>
      <c r="E1059" t="s">
        <v>20</v>
      </c>
      <c r="F1059" t="str">
        <f>"43615"</f>
        <v>43615</v>
      </c>
      <c r="G1059" t="str">
        <f>"Je092221"</f>
        <v>Je092221</v>
      </c>
      <c r="H1059" s="2">
        <f>15</f>
        <v>15</v>
      </c>
      <c r="I1059" t="s">
        <v>15</v>
      </c>
      <c r="J1059" t="s">
        <v>114</v>
      </c>
      <c r="K1059" t="str">
        <f>"60011134"</f>
        <v>60011134</v>
      </c>
    </row>
    <row r="1060" spans="1:11" x14ac:dyDescent="0.25">
      <c r="A1060">
        <v>2021</v>
      </c>
      <c r="B1060" t="s">
        <v>6299</v>
      </c>
      <c r="C1060" t="s">
        <v>6300</v>
      </c>
      <c r="D1060" t="s">
        <v>58</v>
      </c>
      <c r="E1060" t="s">
        <v>20</v>
      </c>
      <c r="F1060" t="str">
        <f>"43616"</f>
        <v>43616</v>
      </c>
      <c r="G1060" t="str">
        <f>"402017"</f>
        <v>402017</v>
      </c>
      <c r="H1060" s="2">
        <f>5</f>
        <v>5</v>
      </c>
      <c r="I1060" t="s">
        <v>27</v>
      </c>
      <c r="J1060" t="s">
        <v>212</v>
      </c>
      <c r="K1060" t="str">
        <f>"35175"</f>
        <v>35175</v>
      </c>
    </row>
    <row r="1061" spans="1:11" x14ac:dyDescent="0.25">
      <c r="A1061">
        <v>2021</v>
      </c>
      <c r="B1061" t="s">
        <v>6318</v>
      </c>
      <c r="C1061" t="s">
        <v>6319</v>
      </c>
      <c r="D1061" t="s">
        <v>19</v>
      </c>
      <c r="E1061" t="s">
        <v>20</v>
      </c>
      <c r="F1061" t="str">
        <f>"43615-5412"</f>
        <v>43615-5412</v>
      </c>
      <c r="G1061" t="str">
        <f>"402019"</f>
        <v>402019</v>
      </c>
      <c r="H1061" s="2">
        <f>10</f>
        <v>10</v>
      </c>
      <c r="I1061" t="s">
        <v>27</v>
      </c>
      <c r="J1061" t="s">
        <v>42</v>
      </c>
      <c r="K1061" t="str">
        <f>"115067"</f>
        <v>115067</v>
      </c>
    </row>
    <row r="1062" spans="1:11" x14ac:dyDescent="0.25">
      <c r="A1062">
        <v>2021</v>
      </c>
      <c r="B1062" t="s">
        <v>6340</v>
      </c>
      <c r="C1062" t="s">
        <v>6341</v>
      </c>
      <c r="D1062" t="s">
        <v>19</v>
      </c>
      <c r="E1062" t="s">
        <v>20</v>
      </c>
      <c r="F1062" t="str">
        <f>"43623"</f>
        <v>43623</v>
      </c>
      <c r="G1062" t="str">
        <f>"402063"</f>
        <v>402063</v>
      </c>
      <c r="H1062" s="2">
        <f>16.48</f>
        <v>16.48</v>
      </c>
      <c r="I1062" t="s">
        <v>27</v>
      </c>
      <c r="J1062" t="s">
        <v>71</v>
      </c>
      <c r="K1062" t="str">
        <f>"22022368"</f>
        <v>22022368</v>
      </c>
    </row>
    <row r="1063" spans="1:11" x14ac:dyDescent="0.25">
      <c r="A1063">
        <v>2021</v>
      </c>
      <c r="B1063" t="s">
        <v>6342</v>
      </c>
      <c r="C1063" t="s">
        <v>6343</v>
      </c>
      <c r="D1063" t="s">
        <v>19</v>
      </c>
      <c r="E1063" t="s">
        <v>20</v>
      </c>
      <c r="F1063" t="str">
        <f>"43615-6343"</f>
        <v>43615-6343</v>
      </c>
      <c r="G1063" t="str">
        <f>"402019"</f>
        <v>402019</v>
      </c>
      <c r="H1063" s="2">
        <f>10</f>
        <v>10</v>
      </c>
      <c r="I1063" t="s">
        <v>27</v>
      </c>
      <c r="J1063" t="s">
        <v>42</v>
      </c>
      <c r="K1063" t="str">
        <f>"114959"</f>
        <v>114959</v>
      </c>
    </row>
    <row r="1064" spans="1:11" x14ac:dyDescent="0.25">
      <c r="A1064">
        <v>2021</v>
      </c>
      <c r="B1064" t="s">
        <v>6344</v>
      </c>
      <c r="C1064" t="s">
        <v>6345</v>
      </c>
      <c r="D1064" t="s">
        <v>125</v>
      </c>
      <c r="E1064" t="s">
        <v>20</v>
      </c>
      <c r="F1064" t="str">
        <f>"43537-3229"</f>
        <v>43537-3229</v>
      </c>
      <c r="G1064" t="str">
        <f>"402019"</f>
        <v>402019</v>
      </c>
      <c r="H1064" s="2">
        <f>40</f>
        <v>40</v>
      </c>
      <c r="I1064" t="s">
        <v>27</v>
      </c>
      <c r="J1064" t="s">
        <v>42</v>
      </c>
      <c r="K1064" t="str">
        <f>"112190"</f>
        <v>112190</v>
      </c>
    </row>
    <row r="1065" spans="1:11" x14ac:dyDescent="0.25">
      <c r="A1065">
        <v>2021</v>
      </c>
      <c r="B1065" t="s">
        <v>6348</v>
      </c>
      <c r="C1065" t="s">
        <v>6349</v>
      </c>
      <c r="D1065" t="s">
        <v>6350</v>
      </c>
      <c r="E1065" t="s">
        <v>462</v>
      </c>
      <c r="F1065" t="str">
        <f>"33772-6342"</f>
        <v>33772-6342</v>
      </c>
      <c r="G1065" t="str">
        <f>"Swucf4621"</f>
        <v>Swucf4621</v>
      </c>
      <c r="H1065" s="2">
        <f>55.36</f>
        <v>55.36</v>
      </c>
      <c r="I1065" t="s">
        <v>15</v>
      </c>
      <c r="J1065" t="s">
        <v>81</v>
      </c>
      <c r="K1065" t="str">
        <f>"6292093"</f>
        <v>6292093</v>
      </c>
    </row>
    <row r="1066" spans="1:11" x14ac:dyDescent="0.25">
      <c r="A1066">
        <v>2021</v>
      </c>
      <c r="B1066" t="s">
        <v>6351</v>
      </c>
      <c r="C1066" t="s">
        <v>6353</v>
      </c>
      <c r="D1066" t="s">
        <v>6354</v>
      </c>
      <c r="E1066" t="s">
        <v>462</v>
      </c>
      <c r="F1066" t="str">
        <f>"33709"</f>
        <v>33709</v>
      </c>
      <c r="G1066" t="str">
        <f>"Je092221"</f>
        <v>Je092221</v>
      </c>
      <c r="H1066" s="2">
        <f>46.17</f>
        <v>46.17</v>
      </c>
      <c r="I1066" t="s">
        <v>15</v>
      </c>
      <c r="J1066" t="s">
        <v>114</v>
      </c>
      <c r="K1066" t="str">
        <f>"60013330"</f>
        <v>60013330</v>
      </c>
    </row>
    <row r="1067" spans="1:11" x14ac:dyDescent="0.25">
      <c r="A1067">
        <v>2021</v>
      </c>
      <c r="B1067" t="s">
        <v>6358</v>
      </c>
      <c r="C1067" t="s">
        <v>6096</v>
      </c>
      <c r="D1067" t="s">
        <v>19</v>
      </c>
      <c r="E1067" t="s">
        <v>20</v>
      </c>
      <c r="F1067" t="str">
        <f>"43607"</f>
        <v>43607</v>
      </c>
      <c r="G1067" t="str">
        <f>"Je110321"</f>
        <v>Je110321</v>
      </c>
      <c r="H1067" s="2">
        <f>5.77</f>
        <v>5.77</v>
      </c>
      <c r="I1067" t="s">
        <v>15</v>
      </c>
      <c r="J1067" t="s">
        <v>596</v>
      </c>
      <c r="K1067" t="str">
        <f>"60024825"</f>
        <v>60024825</v>
      </c>
    </row>
    <row r="1068" spans="1:11" x14ac:dyDescent="0.25">
      <c r="A1068">
        <v>2021</v>
      </c>
      <c r="B1068" t="s">
        <v>6359</v>
      </c>
      <c r="C1068" t="s">
        <v>6360</v>
      </c>
      <c r="D1068" t="s">
        <v>19</v>
      </c>
      <c r="E1068" t="s">
        <v>20</v>
      </c>
      <c r="F1068" t="str">
        <f>"43617"</f>
        <v>43617</v>
      </c>
      <c r="G1068" t="str">
        <f>"Swucf4621"</f>
        <v>Swucf4621</v>
      </c>
      <c r="H1068" s="2">
        <f>107.36</f>
        <v>107.36</v>
      </c>
      <c r="I1068" t="s">
        <v>15</v>
      </c>
      <c r="J1068" t="s">
        <v>81</v>
      </c>
      <c r="K1068" t="str">
        <f>"6292857"</f>
        <v>6292857</v>
      </c>
    </row>
    <row r="1069" spans="1:11" x14ac:dyDescent="0.25">
      <c r="A1069">
        <v>2021</v>
      </c>
      <c r="B1069" t="s">
        <v>6363</v>
      </c>
      <c r="C1069" t="s">
        <v>6364</v>
      </c>
      <c r="D1069" t="s">
        <v>19</v>
      </c>
      <c r="E1069" t="s">
        <v>20</v>
      </c>
      <c r="F1069" t="str">
        <f>"43611"</f>
        <v>43611</v>
      </c>
      <c r="G1069" t="str">
        <f>"402019"</f>
        <v>402019</v>
      </c>
      <c r="H1069" s="2">
        <f>20</f>
        <v>20</v>
      </c>
      <c r="I1069" t="s">
        <v>27</v>
      </c>
      <c r="J1069" t="s">
        <v>42</v>
      </c>
      <c r="K1069" t="str">
        <f>"114880"</f>
        <v>114880</v>
      </c>
    </row>
    <row r="1070" spans="1:11" x14ac:dyDescent="0.25">
      <c r="A1070">
        <v>2021</v>
      </c>
      <c r="B1070" t="s">
        <v>6367</v>
      </c>
      <c r="C1070" t="s">
        <v>6368</v>
      </c>
      <c r="D1070" t="s">
        <v>105</v>
      </c>
      <c r="E1070" t="s">
        <v>20</v>
      </c>
      <c r="F1070" t="str">
        <f>"43528"</f>
        <v>43528</v>
      </c>
      <c r="G1070" t="str">
        <f>"402019"</f>
        <v>402019</v>
      </c>
      <c r="H1070" s="2">
        <f>10</f>
        <v>10</v>
      </c>
      <c r="I1070" t="s">
        <v>27</v>
      </c>
      <c r="J1070" t="s">
        <v>42</v>
      </c>
      <c r="K1070" t="str">
        <f>"111753"</f>
        <v>111753</v>
      </c>
    </row>
    <row r="1071" spans="1:11" x14ac:dyDescent="0.25">
      <c r="A1071">
        <v>2021</v>
      </c>
      <c r="B1071" t="s">
        <v>6369</v>
      </c>
      <c r="C1071" t="s">
        <v>6370</v>
      </c>
      <c r="D1071" t="s">
        <v>323</v>
      </c>
      <c r="E1071" t="s">
        <v>20</v>
      </c>
      <c r="F1071" t="str">
        <f>"43571-9692"</f>
        <v>43571-9692</v>
      </c>
      <c r="G1071" t="str">
        <f>"402019"</f>
        <v>402019</v>
      </c>
      <c r="H1071" s="2">
        <f>10</f>
        <v>10</v>
      </c>
      <c r="I1071" t="s">
        <v>27</v>
      </c>
      <c r="J1071" t="s">
        <v>42</v>
      </c>
      <c r="K1071" t="str">
        <f>"112047"</f>
        <v>112047</v>
      </c>
    </row>
    <row r="1072" spans="1:11" x14ac:dyDescent="0.25">
      <c r="A1072">
        <v>2021</v>
      </c>
      <c r="B1072" t="s">
        <v>6379</v>
      </c>
      <c r="C1072" t="s">
        <v>6380</v>
      </c>
      <c r="D1072" t="s">
        <v>6381</v>
      </c>
      <c r="E1072" t="s">
        <v>20</v>
      </c>
      <c r="F1072" t="str">
        <f>"45305-2021"</f>
        <v>45305-2021</v>
      </c>
      <c r="G1072" t="str">
        <f>"Swucf4621"</f>
        <v>Swucf4621</v>
      </c>
      <c r="H1072" s="2">
        <f>55.46</f>
        <v>55.46</v>
      </c>
      <c r="I1072" t="s">
        <v>15</v>
      </c>
      <c r="J1072" t="s">
        <v>81</v>
      </c>
      <c r="K1072" t="str">
        <f>"6293677"</f>
        <v>6293677</v>
      </c>
    </row>
    <row r="1073" spans="1:11" x14ac:dyDescent="0.25">
      <c r="A1073">
        <v>2021</v>
      </c>
      <c r="B1073" t="s">
        <v>6382</v>
      </c>
      <c r="C1073" t="s">
        <v>6383</v>
      </c>
      <c r="D1073" t="s">
        <v>19</v>
      </c>
      <c r="E1073" t="s">
        <v>20</v>
      </c>
      <c r="F1073" t="str">
        <f>"43614-4205"</f>
        <v>43614-4205</v>
      </c>
      <c r="G1073" t="str">
        <f>"402019"</f>
        <v>402019</v>
      </c>
      <c r="H1073" s="2">
        <f>20</f>
        <v>20</v>
      </c>
      <c r="I1073" t="s">
        <v>27</v>
      </c>
      <c r="J1073" t="s">
        <v>42</v>
      </c>
      <c r="K1073" t="str">
        <f>"116026"</f>
        <v>116026</v>
      </c>
    </row>
    <row r="1074" spans="1:11" x14ac:dyDescent="0.25">
      <c r="A1074">
        <v>2021</v>
      </c>
      <c r="B1074" t="s">
        <v>6392</v>
      </c>
      <c r="C1074" t="s">
        <v>6393</v>
      </c>
      <c r="D1074" t="s">
        <v>19</v>
      </c>
      <c r="E1074" t="s">
        <v>20</v>
      </c>
      <c r="F1074" t="str">
        <f>"43607"</f>
        <v>43607</v>
      </c>
      <c r="G1074" t="str">
        <f>"Je092221"</f>
        <v>Je092221</v>
      </c>
      <c r="H1074" s="2">
        <f>35</f>
        <v>35</v>
      </c>
      <c r="I1074" t="s">
        <v>15</v>
      </c>
      <c r="J1074" t="s">
        <v>114</v>
      </c>
      <c r="K1074" t="str">
        <f>"60011139"</f>
        <v>60011139</v>
      </c>
    </row>
    <row r="1075" spans="1:11" x14ac:dyDescent="0.25">
      <c r="A1075">
        <v>2021</v>
      </c>
      <c r="B1075" t="s">
        <v>6398</v>
      </c>
      <c r="C1075" t="s">
        <v>6399</v>
      </c>
      <c r="D1075" t="s">
        <v>125</v>
      </c>
      <c r="E1075" t="s">
        <v>20</v>
      </c>
      <c r="F1075" t="str">
        <f>"43537-3759"</f>
        <v>43537-3759</v>
      </c>
      <c r="G1075" t="str">
        <f>"402019"</f>
        <v>402019</v>
      </c>
      <c r="H1075" s="2">
        <f>10</f>
        <v>10</v>
      </c>
      <c r="I1075" t="s">
        <v>27</v>
      </c>
      <c r="J1075" t="s">
        <v>42</v>
      </c>
      <c r="K1075" t="str">
        <f>"114494"</f>
        <v>114494</v>
      </c>
    </row>
    <row r="1076" spans="1:11" x14ac:dyDescent="0.25">
      <c r="A1076">
        <v>2021</v>
      </c>
      <c r="B1076" t="s">
        <v>6416</v>
      </c>
      <c r="C1076" t="s">
        <v>6417</v>
      </c>
      <c r="D1076" t="s">
        <v>19</v>
      </c>
      <c r="E1076" t="s">
        <v>20</v>
      </c>
      <c r="F1076" t="str">
        <f>"43609-1509"</f>
        <v>43609-1509</v>
      </c>
      <c r="G1076" t="str">
        <f>"402019"</f>
        <v>402019</v>
      </c>
      <c r="H1076" s="2">
        <f>20</f>
        <v>20</v>
      </c>
      <c r="I1076" t="s">
        <v>27</v>
      </c>
      <c r="J1076" t="s">
        <v>42</v>
      </c>
      <c r="K1076" t="str">
        <f>"114206"</f>
        <v>114206</v>
      </c>
    </row>
    <row r="1077" spans="1:11" x14ac:dyDescent="0.25">
      <c r="A1077">
        <v>2021</v>
      </c>
      <c r="B1077" t="s">
        <v>6426</v>
      </c>
      <c r="C1077" t="s">
        <v>6427</v>
      </c>
      <c r="D1077" t="s">
        <v>19</v>
      </c>
      <c r="E1077" t="s">
        <v>20</v>
      </c>
      <c r="F1077" t="str">
        <f>"43613-5412"</f>
        <v>43613-5412</v>
      </c>
      <c r="G1077" t="str">
        <f>"402019"</f>
        <v>402019</v>
      </c>
      <c r="H1077" s="2">
        <f>10</f>
        <v>10</v>
      </c>
      <c r="I1077" t="s">
        <v>27</v>
      </c>
      <c r="J1077" t="s">
        <v>42</v>
      </c>
      <c r="K1077" t="str">
        <f>"111527"</f>
        <v>111527</v>
      </c>
    </row>
    <row r="1078" spans="1:11" x14ac:dyDescent="0.25">
      <c r="A1078">
        <v>2021</v>
      </c>
      <c r="B1078" t="s">
        <v>6428</v>
      </c>
      <c r="C1078" t="s">
        <v>6429</v>
      </c>
      <c r="D1078" t="s">
        <v>58</v>
      </c>
      <c r="E1078" t="s">
        <v>20</v>
      </c>
      <c r="F1078" t="str">
        <f>"43616-4470"</f>
        <v>43616-4470</v>
      </c>
      <c r="G1078" t="str">
        <f>"402019"</f>
        <v>402019</v>
      </c>
      <c r="H1078" s="2">
        <f>10</f>
        <v>10</v>
      </c>
      <c r="I1078" t="s">
        <v>27</v>
      </c>
      <c r="J1078" t="s">
        <v>42</v>
      </c>
      <c r="K1078" t="str">
        <f>"113726"</f>
        <v>113726</v>
      </c>
    </row>
    <row r="1079" spans="1:11" x14ac:dyDescent="0.25">
      <c r="A1079">
        <v>2021</v>
      </c>
      <c r="B1079" t="s">
        <v>6432</v>
      </c>
      <c r="C1079" t="s">
        <v>6433</v>
      </c>
      <c r="D1079" t="s">
        <v>6434</v>
      </c>
      <c r="E1079" t="s">
        <v>20</v>
      </c>
      <c r="F1079" t="str">
        <f>"43432"</f>
        <v>43432</v>
      </c>
      <c r="G1079" t="str">
        <f>"Pio448069"</f>
        <v>Pio448069</v>
      </c>
      <c r="H1079" s="2">
        <f>32</f>
        <v>32</v>
      </c>
      <c r="I1079" t="s">
        <v>86</v>
      </c>
      <c r="J1079" t="s">
        <v>87</v>
      </c>
      <c r="K1079" t="str">
        <f>"0"</f>
        <v>0</v>
      </c>
    </row>
    <row r="1080" spans="1:11" x14ac:dyDescent="0.25">
      <c r="A1080">
        <v>2021</v>
      </c>
      <c r="B1080" t="s">
        <v>6435</v>
      </c>
      <c r="C1080" t="s">
        <v>6436</v>
      </c>
      <c r="D1080" t="s">
        <v>19</v>
      </c>
      <c r="E1080" t="s">
        <v>20</v>
      </c>
      <c r="F1080" t="str">
        <f>"43623-1071"</f>
        <v>43623-1071</v>
      </c>
      <c r="G1080" t="str">
        <f>"402019"</f>
        <v>402019</v>
      </c>
      <c r="H1080" s="2">
        <f>30</f>
        <v>30</v>
      </c>
      <c r="I1080" t="s">
        <v>27</v>
      </c>
      <c r="J1080" t="s">
        <v>42</v>
      </c>
      <c r="K1080" t="str">
        <f>"111466"</f>
        <v>111466</v>
      </c>
    </row>
    <row r="1081" spans="1:11" x14ac:dyDescent="0.25">
      <c r="A1081">
        <v>2021</v>
      </c>
      <c r="B1081" t="s">
        <v>6440</v>
      </c>
      <c r="C1081" t="s">
        <v>6441</v>
      </c>
      <c r="D1081" t="s">
        <v>19</v>
      </c>
      <c r="E1081" t="s">
        <v>20</v>
      </c>
      <c r="F1081" t="str">
        <f>"43613-2119"</f>
        <v>43613-2119</v>
      </c>
      <c r="G1081" t="str">
        <f>"402019"</f>
        <v>402019</v>
      </c>
      <c r="H1081" s="2">
        <f>10</f>
        <v>10</v>
      </c>
      <c r="I1081" t="s">
        <v>27</v>
      </c>
      <c r="J1081" t="s">
        <v>42</v>
      </c>
      <c r="K1081" t="str">
        <f>"114199"</f>
        <v>114199</v>
      </c>
    </row>
    <row r="1082" spans="1:11" x14ac:dyDescent="0.25">
      <c r="A1082">
        <v>2021</v>
      </c>
      <c r="B1082" t="s">
        <v>6452</v>
      </c>
      <c r="C1082" t="s">
        <v>6451</v>
      </c>
      <c r="D1082" t="s">
        <v>771</v>
      </c>
      <c r="E1082" t="s">
        <v>20</v>
      </c>
      <c r="F1082" t="str">
        <f>"43460-1334"</f>
        <v>43460-1334</v>
      </c>
      <c r="G1082" t="str">
        <f>"Swucf4621"</f>
        <v>Swucf4621</v>
      </c>
      <c r="H1082" s="2">
        <f>64.59</f>
        <v>64.59</v>
      </c>
      <c r="I1082" t="s">
        <v>15</v>
      </c>
      <c r="J1082" t="s">
        <v>81</v>
      </c>
      <c r="K1082" t="str">
        <f>"6290541"</f>
        <v>6290541</v>
      </c>
    </row>
    <row r="1083" spans="1:11" x14ac:dyDescent="0.25">
      <c r="A1083">
        <v>2021</v>
      </c>
      <c r="B1083" t="s">
        <v>6455</v>
      </c>
      <c r="C1083" t="s">
        <v>6456</v>
      </c>
      <c r="D1083" t="s">
        <v>3853</v>
      </c>
      <c r="E1083" t="s">
        <v>20</v>
      </c>
      <c r="F1083" t="str">
        <f>"43447-9822"</f>
        <v>43447-9822</v>
      </c>
      <c r="G1083" t="str">
        <f>"Swucf4621"</f>
        <v>Swucf4621</v>
      </c>
      <c r="H1083" s="2">
        <f>55.36</f>
        <v>55.36</v>
      </c>
      <c r="I1083" t="s">
        <v>15</v>
      </c>
      <c r="J1083" t="s">
        <v>81</v>
      </c>
      <c r="K1083" t="str">
        <f>"6288942"</f>
        <v>6288942</v>
      </c>
    </row>
    <row r="1084" spans="1:11" x14ac:dyDescent="0.25">
      <c r="A1084">
        <v>2021</v>
      </c>
      <c r="B1084" t="s">
        <v>6455</v>
      </c>
      <c r="C1084" t="s">
        <v>6456</v>
      </c>
      <c r="D1084" t="s">
        <v>3853</v>
      </c>
      <c r="E1084" t="s">
        <v>20</v>
      </c>
      <c r="F1084" t="str">
        <f>"43447-9822"</f>
        <v>43447-9822</v>
      </c>
      <c r="G1084" t="str">
        <f>"Swucf4621"</f>
        <v>Swucf4621</v>
      </c>
      <c r="H1084" s="2">
        <f>55.47</f>
        <v>55.47</v>
      </c>
      <c r="I1084" t="s">
        <v>15</v>
      </c>
      <c r="J1084" t="s">
        <v>81</v>
      </c>
      <c r="K1084" t="str">
        <f>"6298484"</f>
        <v>6298484</v>
      </c>
    </row>
    <row r="1085" spans="1:11" x14ac:dyDescent="0.25">
      <c r="A1085">
        <v>2021</v>
      </c>
      <c r="B1085" t="s">
        <v>6457</v>
      </c>
      <c r="C1085" t="s">
        <v>6456</v>
      </c>
      <c r="D1085" t="s">
        <v>3853</v>
      </c>
      <c r="E1085" t="s">
        <v>20</v>
      </c>
      <c r="F1085" t="str">
        <f>"43447"</f>
        <v>43447</v>
      </c>
      <c r="G1085" t="str">
        <f>"Je061721"</f>
        <v>Je061721</v>
      </c>
      <c r="H1085" s="2">
        <f>55.47</f>
        <v>55.47</v>
      </c>
      <c r="I1085" t="s">
        <v>15</v>
      </c>
      <c r="J1085" t="s">
        <v>137</v>
      </c>
      <c r="K1085" t="str">
        <f>"60000594"</f>
        <v>60000594</v>
      </c>
    </row>
    <row r="1086" spans="1:11" x14ac:dyDescent="0.25">
      <c r="A1086">
        <v>2021</v>
      </c>
      <c r="B1086" t="s">
        <v>6457</v>
      </c>
      <c r="C1086" t="s">
        <v>6456</v>
      </c>
      <c r="D1086" t="s">
        <v>3853</v>
      </c>
      <c r="E1086" t="s">
        <v>20</v>
      </c>
      <c r="F1086" t="str">
        <f>"43447"</f>
        <v>43447</v>
      </c>
      <c r="G1086" t="str">
        <f>"Je061721"</f>
        <v>Je061721</v>
      </c>
      <c r="H1086" s="2">
        <f>55.47</f>
        <v>55.47</v>
      </c>
      <c r="I1086" t="s">
        <v>15</v>
      </c>
      <c r="J1086" t="s">
        <v>137</v>
      </c>
      <c r="K1086" t="str">
        <f>"60006721"</f>
        <v>60006721</v>
      </c>
    </row>
    <row r="1087" spans="1:11" x14ac:dyDescent="0.25">
      <c r="A1087">
        <v>2021</v>
      </c>
      <c r="B1087" t="s">
        <v>6457</v>
      </c>
      <c r="C1087" t="s">
        <v>6456</v>
      </c>
      <c r="D1087" t="s">
        <v>3853</v>
      </c>
      <c r="E1087" t="s">
        <v>20</v>
      </c>
      <c r="F1087" t="str">
        <f>"43447"</f>
        <v>43447</v>
      </c>
      <c r="G1087" t="str">
        <f>"Je061721"</f>
        <v>Je061721</v>
      </c>
      <c r="H1087" s="2">
        <f>55.47</f>
        <v>55.47</v>
      </c>
      <c r="I1087" t="s">
        <v>15</v>
      </c>
      <c r="J1087" t="s">
        <v>137</v>
      </c>
      <c r="K1087" t="str">
        <f>"60003583"</f>
        <v>60003583</v>
      </c>
    </row>
    <row r="1088" spans="1:11" x14ac:dyDescent="0.25">
      <c r="A1088">
        <v>2021</v>
      </c>
      <c r="B1088" t="s">
        <v>6457</v>
      </c>
      <c r="C1088" t="s">
        <v>6456</v>
      </c>
      <c r="D1088" t="s">
        <v>3853</v>
      </c>
      <c r="E1088" t="s">
        <v>20</v>
      </c>
      <c r="F1088" t="str">
        <f>"43447"</f>
        <v>43447</v>
      </c>
      <c r="G1088" t="str">
        <f>"Je092221"</f>
        <v>Je092221</v>
      </c>
      <c r="H1088" s="2">
        <f>46.17</f>
        <v>46.17</v>
      </c>
      <c r="I1088" t="s">
        <v>15</v>
      </c>
      <c r="J1088" t="s">
        <v>114</v>
      </c>
      <c r="K1088" t="str">
        <f>"60015425"</f>
        <v>60015425</v>
      </c>
    </row>
    <row r="1089" spans="1:11" x14ac:dyDescent="0.25">
      <c r="A1089">
        <v>2021</v>
      </c>
      <c r="B1089" t="s">
        <v>6457</v>
      </c>
      <c r="C1089" t="s">
        <v>6456</v>
      </c>
      <c r="D1089" t="s">
        <v>3853</v>
      </c>
      <c r="E1089" t="s">
        <v>20</v>
      </c>
      <c r="F1089" t="str">
        <f>"43447"</f>
        <v>43447</v>
      </c>
      <c r="G1089" t="str">
        <f>"Je110321"</f>
        <v>Je110321</v>
      </c>
      <c r="H1089" s="2">
        <f>46.17</f>
        <v>46.17</v>
      </c>
      <c r="I1089" t="s">
        <v>15</v>
      </c>
      <c r="J1089" t="s">
        <v>596</v>
      </c>
      <c r="K1089" t="str">
        <f>"60020193"</f>
        <v>60020193</v>
      </c>
    </row>
    <row r="1090" spans="1:11" x14ac:dyDescent="0.25">
      <c r="A1090">
        <v>2021</v>
      </c>
      <c r="B1090" t="s">
        <v>6463</v>
      </c>
      <c r="C1090" t="s">
        <v>6464</v>
      </c>
      <c r="D1090" t="s">
        <v>19</v>
      </c>
      <c r="E1090" t="s">
        <v>20</v>
      </c>
      <c r="F1090" t="str">
        <f>"43611"</f>
        <v>43611</v>
      </c>
      <c r="G1090" t="str">
        <f>"Je110321"</f>
        <v>Je110321</v>
      </c>
      <c r="H1090" s="2">
        <f>668.6</f>
        <v>668.6</v>
      </c>
      <c r="I1090" t="s">
        <v>15</v>
      </c>
      <c r="J1090" t="s">
        <v>596</v>
      </c>
      <c r="K1090" t="str">
        <f>"60023269"</f>
        <v>60023269</v>
      </c>
    </row>
    <row r="1091" spans="1:11" x14ac:dyDescent="0.25">
      <c r="A1091">
        <v>2021</v>
      </c>
      <c r="B1091" t="s">
        <v>6472</v>
      </c>
      <c r="C1091" t="s">
        <v>6473</v>
      </c>
      <c r="D1091" t="s">
        <v>19</v>
      </c>
      <c r="E1091" t="s">
        <v>20</v>
      </c>
      <c r="F1091" t="str">
        <f>"43615-1606"</f>
        <v>43615-1606</v>
      </c>
      <c r="G1091" t="str">
        <f>"402019"</f>
        <v>402019</v>
      </c>
      <c r="H1091" s="2">
        <f>10</f>
        <v>10</v>
      </c>
      <c r="I1091" t="s">
        <v>27</v>
      </c>
      <c r="J1091" t="s">
        <v>42</v>
      </c>
      <c r="K1091" t="str">
        <f>"115449"</f>
        <v>115449</v>
      </c>
    </row>
    <row r="1092" spans="1:11" x14ac:dyDescent="0.25">
      <c r="A1092">
        <v>2021</v>
      </c>
      <c r="B1092" t="s">
        <v>6474</v>
      </c>
      <c r="C1092" t="s">
        <v>6475</v>
      </c>
      <c r="D1092" t="s">
        <v>19</v>
      </c>
      <c r="E1092" t="s">
        <v>20</v>
      </c>
      <c r="F1092" t="str">
        <f>"43614"</f>
        <v>43614</v>
      </c>
      <c r="G1092" t="str">
        <f>"402019"</f>
        <v>402019</v>
      </c>
      <c r="H1092" s="2">
        <f>20</f>
        <v>20</v>
      </c>
      <c r="I1092" t="s">
        <v>27</v>
      </c>
      <c r="J1092" t="s">
        <v>42</v>
      </c>
      <c r="K1092" t="str">
        <f>"116024"</f>
        <v>116024</v>
      </c>
    </row>
    <row r="1093" spans="1:11" x14ac:dyDescent="0.25">
      <c r="A1093">
        <v>2021</v>
      </c>
      <c r="B1093" t="s">
        <v>6491</v>
      </c>
      <c r="C1093" t="s">
        <v>6492</v>
      </c>
      <c r="D1093" t="s">
        <v>125</v>
      </c>
      <c r="E1093" t="s">
        <v>20</v>
      </c>
      <c r="F1093" t="str">
        <f>"43537-9703"</f>
        <v>43537-9703</v>
      </c>
      <c r="G1093" t="str">
        <f>"Swucf4621"</f>
        <v>Swucf4621</v>
      </c>
      <c r="H1093" s="2">
        <f>18.49</f>
        <v>18.489999999999998</v>
      </c>
      <c r="I1093" t="s">
        <v>15</v>
      </c>
      <c r="J1093" t="s">
        <v>81</v>
      </c>
      <c r="K1093" t="str">
        <f>"6293690"</f>
        <v>6293690</v>
      </c>
    </row>
    <row r="1094" spans="1:11" x14ac:dyDescent="0.25">
      <c r="A1094">
        <v>2021</v>
      </c>
      <c r="B1094" t="s">
        <v>6496</v>
      </c>
      <c r="C1094" t="s">
        <v>6497</v>
      </c>
      <c r="D1094" t="s">
        <v>19</v>
      </c>
      <c r="E1094" t="s">
        <v>20</v>
      </c>
      <c r="F1094" t="str">
        <f>"43606-3716"</f>
        <v>43606-3716</v>
      </c>
      <c r="G1094" t="str">
        <f>"402019"</f>
        <v>402019</v>
      </c>
      <c r="H1094" s="2">
        <f>20</f>
        <v>20</v>
      </c>
      <c r="I1094" t="s">
        <v>27</v>
      </c>
      <c r="J1094" t="s">
        <v>42</v>
      </c>
      <c r="K1094" t="str">
        <f>"112820"</f>
        <v>112820</v>
      </c>
    </row>
    <row r="1095" spans="1:11" x14ac:dyDescent="0.25">
      <c r="A1095">
        <v>2021</v>
      </c>
      <c r="B1095" t="s">
        <v>6498</v>
      </c>
      <c r="C1095" t="s">
        <v>6499</v>
      </c>
      <c r="D1095" t="s">
        <v>19</v>
      </c>
      <c r="E1095" t="s">
        <v>20</v>
      </c>
      <c r="F1095" t="str">
        <f>"43609-1909"</f>
        <v>43609-1909</v>
      </c>
      <c r="G1095" t="str">
        <f>"402019"</f>
        <v>402019</v>
      </c>
      <c r="H1095" s="2">
        <f>10</f>
        <v>10</v>
      </c>
      <c r="I1095" t="s">
        <v>27</v>
      </c>
      <c r="J1095" t="s">
        <v>42</v>
      </c>
      <c r="K1095" t="str">
        <f>"111977"</f>
        <v>111977</v>
      </c>
    </row>
    <row r="1096" spans="1:11" x14ac:dyDescent="0.25">
      <c r="A1096">
        <v>2021</v>
      </c>
      <c r="B1096" t="s">
        <v>6500</v>
      </c>
      <c r="C1096" t="s">
        <v>6501</v>
      </c>
      <c r="D1096" t="s">
        <v>50</v>
      </c>
      <c r="E1096" t="s">
        <v>20</v>
      </c>
      <c r="F1096" t="str">
        <f>"43560"</f>
        <v>43560</v>
      </c>
      <c r="G1096" t="str">
        <f>"402018"</f>
        <v>402018</v>
      </c>
      <c r="H1096" s="2">
        <f>6.77</f>
        <v>6.77</v>
      </c>
      <c r="I1096" t="s">
        <v>27</v>
      </c>
      <c r="J1096" t="s">
        <v>171</v>
      </c>
      <c r="K1096" t="str">
        <f>"517496"</f>
        <v>517496</v>
      </c>
    </row>
    <row r="1097" spans="1:11" x14ac:dyDescent="0.25">
      <c r="A1097">
        <v>2021</v>
      </c>
      <c r="B1097" t="s">
        <v>6502</v>
      </c>
      <c r="C1097" t="s">
        <v>3906</v>
      </c>
      <c r="D1097" t="s">
        <v>19</v>
      </c>
      <c r="E1097" t="s">
        <v>20</v>
      </c>
      <c r="F1097" t="str">
        <f>"43606"</f>
        <v>43606</v>
      </c>
      <c r="G1097" t="str">
        <f>"402019"</f>
        <v>402019</v>
      </c>
      <c r="H1097" s="2">
        <f>20</f>
        <v>20</v>
      </c>
      <c r="I1097" t="s">
        <v>27</v>
      </c>
      <c r="J1097" t="s">
        <v>42</v>
      </c>
      <c r="K1097" t="str">
        <f>"113467"</f>
        <v>113467</v>
      </c>
    </row>
    <row r="1098" spans="1:11" x14ac:dyDescent="0.25">
      <c r="A1098">
        <v>2021</v>
      </c>
      <c r="B1098" t="s">
        <v>6509</v>
      </c>
      <c r="C1098" t="s">
        <v>6510</v>
      </c>
      <c r="D1098" t="s">
        <v>323</v>
      </c>
      <c r="E1098" t="s">
        <v>20</v>
      </c>
      <c r="F1098" t="str">
        <f>"43571-9374"</f>
        <v>43571-9374</v>
      </c>
      <c r="G1098" t="str">
        <f>"402019"</f>
        <v>402019</v>
      </c>
      <c r="H1098" s="2">
        <f>10</f>
        <v>10</v>
      </c>
      <c r="I1098" t="s">
        <v>27</v>
      </c>
      <c r="J1098" t="s">
        <v>42</v>
      </c>
      <c r="K1098" t="str">
        <f>"113988"</f>
        <v>113988</v>
      </c>
    </row>
    <row r="1099" spans="1:11" x14ac:dyDescent="0.25">
      <c r="A1099">
        <v>2021</v>
      </c>
      <c r="B1099" t="s">
        <v>6517</v>
      </c>
      <c r="C1099" t="s">
        <v>6518</v>
      </c>
      <c r="D1099" t="s">
        <v>6519</v>
      </c>
      <c r="E1099" t="s">
        <v>6520</v>
      </c>
      <c r="F1099" t="str">
        <f>"29576"</f>
        <v>29576</v>
      </c>
      <c r="G1099" t="str">
        <f>"402063"</f>
        <v>402063</v>
      </c>
      <c r="H1099" s="2">
        <f>5</f>
        <v>5</v>
      </c>
      <c r="I1099" t="s">
        <v>27</v>
      </c>
      <c r="J1099" t="s">
        <v>71</v>
      </c>
      <c r="K1099" t="str">
        <f>"33005724"</f>
        <v>33005724</v>
      </c>
    </row>
    <row r="1100" spans="1:11" x14ac:dyDescent="0.25">
      <c r="A1100">
        <v>2021</v>
      </c>
      <c r="B1100" t="s">
        <v>6525</v>
      </c>
      <c r="C1100" t="s">
        <v>6526</v>
      </c>
      <c r="D1100" t="s">
        <v>50</v>
      </c>
      <c r="E1100" t="s">
        <v>20</v>
      </c>
      <c r="F1100" t="str">
        <f>"43560"</f>
        <v>43560</v>
      </c>
      <c r="G1100" t="str">
        <f>"Je092221"</f>
        <v>Je092221</v>
      </c>
      <c r="H1100" s="2">
        <f>35</f>
        <v>35</v>
      </c>
      <c r="I1100" t="s">
        <v>15</v>
      </c>
      <c r="J1100" t="s">
        <v>114</v>
      </c>
      <c r="K1100" t="str">
        <f>"60011153"</f>
        <v>60011153</v>
      </c>
    </row>
    <row r="1101" spans="1:11" x14ac:dyDescent="0.25">
      <c r="A1101">
        <v>2021</v>
      </c>
      <c r="B1101" t="s">
        <v>6527</v>
      </c>
      <c r="C1101" t="s">
        <v>6528</v>
      </c>
      <c r="D1101" t="s">
        <v>125</v>
      </c>
      <c r="E1101" t="s">
        <v>20</v>
      </c>
      <c r="F1101" t="str">
        <f>"43537-2433"</f>
        <v>43537-2433</v>
      </c>
      <c r="G1101" t="str">
        <f>"Swucf4621"</f>
        <v>Swucf4621</v>
      </c>
      <c r="H1101" s="2">
        <f>125.49</f>
        <v>125.49</v>
      </c>
      <c r="I1101" t="s">
        <v>15</v>
      </c>
      <c r="J1101" t="s">
        <v>81</v>
      </c>
      <c r="K1101" t="str">
        <f>"6292111"</f>
        <v>6292111</v>
      </c>
    </row>
    <row r="1102" spans="1:11" x14ac:dyDescent="0.25">
      <c r="A1102">
        <v>2021</v>
      </c>
      <c r="B1102" t="s">
        <v>6539</v>
      </c>
      <c r="C1102" t="s">
        <v>6540</v>
      </c>
      <c r="D1102" t="s">
        <v>19</v>
      </c>
      <c r="E1102" t="s">
        <v>20</v>
      </c>
      <c r="F1102" t="str">
        <f>"43617-1345"</f>
        <v>43617-1345</v>
      </c>
      <c r="G1102" t="str">
        <f t="shared" ref="G1102:G1107" si="33">"402019"</f>
        <v>402019</v>
      </c>
      <c r="H1102" s="2">
        <f>10</f>
        <v>10</v>
      </c>
      <c r="I1102" t="s">
        <v>27</v>
      </c>
      <c r="J1102" t="s">
        <v>42</v>
      </c>
      <c r="K1102" t="str">
        <f>"115013"</f>
        <v>115013</v>
      </c>
    </row>
    <row r="1103" spans="1:11" x14ac:dyDescent="0.25">
      <c r="A1103">
        <v>2021</v>
      </c>
      <c r="B1103" t="s">
        <v>6549</v>
      </c>
      <c r="C1103" t="s">
        <v>6550</v>
      </c>
      <c r="D1103" t="s">
        <v>19</v>
      </c>
      <c r="E1103" t="s">
        <v>20</v>
      </c>
      <c r="F1103" t="str">
        <f>"43613"</f>
        <v>43613</v>
      </c>
      <c r="G1103" t="str">
        <f t="shared" si="33"/>
        <v>402019</v>
      </c>
      <c r="H1103" s="2">
        <f>20</f>
        <v>20</v>
      </c>
      <c r="I1103" t="s">
        <v>27</v>
      </c>
      <c r="J1103" t="s">
        <v>42</v>
      </c>
      <c r="K1103" t="str">
        <f>"114467"</f>
        <v>114467</v>
      </c>
    </row>
    <row r="1104" spans="1:11" x14ac:dyDescent="0.25">
      <c r="A1104">
        <v>2021</v>
      </c>
      <c r="B1104" t="s">
        <v>6551</v>
      </c>
      <c r="C1104" t="s">
        <v>6552</v>
      </c>
      <c r="D1104" t="s">
        <v>19</v>
      </c>
      <c r="E1104" t="s">
        <v>20</v>
      </c>
      <c r="F1104" t="str">
        <f>"43614-5660"</f>
        <v>43614-5660</v>
      </c>
      <c r="G1104" t="str">
        <f t="shared" si="33"/>
        <v>402019</v>
      </c>
      <c r="H1104" s="2">
        <f>10</f>
        <v>10</v>
      </c>
      <c r="I1104" t="s">
        <v>27</v>
      </c>
      <c r="J1104" t="s">
        <v>42</v>
      </c>
      <c r="K1104" t="str">
        <f>"113449"</f>
        <v>113449</v>
      </c>
    </row>
    <row r="1105" spans="1:11" x14ac:dyDescent="0.25">
      <c r="A1105">
        <v>2021</v>
      </c>
      <c r="B1105" t="s">
        <v>6555</v>
      </c>
      <c r="C1105" t="s">
        <v>6556</v>
      </c>
      <c r="D1105" t="s">
        <v>19</v>
      </c>
      <c r="E1105" t="s">
        <v>20</v>
      </c>
      <c r="F1105" t="str">
        <f>"43609-3339"</f>
        <v>43609-3339</v>
      </c>
      <c r="G1105" t="str">
        <f t="shared" si="33"/>
        <v>402019</v>
      </c>
      <c r="H1105" s="2">
        <f>20</f>
        <v>20</v>
      </c>
      <c r="I1105" t="s">
        <v>27</v>
      </c>
      <c r="J1105" t="s">
        <v>42</v>
      </c>
      <c r="K1105" t="str">
        <f>"113823"</f>
        <v>113823</v>
      </c>
    </row>
    <row r="1106" spans="1:11" x14ac:dyDescent="0.25">
      <c r="A1106">
        <v>2021</v>
      </c>
      <c r="B1106" t="s">
        <v>6557</v>
      </c>
      <c r="C1106" t="s">
        <v>6558</v>
      </c>
      <c r="D1106" t="s">
        <v>19</v>
      </c>
      <c r="E1106" t="s">
        <v>20</v>
      </c>
      <c r="F1106" t="str">
        <f>"43615-2271"</f>
        <v>43615-2271</v>
      </c>
      <c r="G1106" t="str">
        <f t="shared" si="33"/>
        <v>402019</v>
      </c>
      <c r="H1106" s="2">
        <f>10</f>
        <v>10</v>
      </c>
      <c r="I1106" t="s">
        <v>27</v>
      </c>
      <c r="J1106" t="s">
        <v>42</v>
      </c>
      <c r="K1106" t="str">
        <f>"114595"</f>
        <v>114595</v>
      </c>
    </row>
    <row r="1107" spans="1:11" x14ac:dyDescent="0.25">
      <c r="A1107">
        <v>2021</v>
      </c>
      <c r="B1107" t="s">
        <v>6561</v>
      </c>
      <c r="C1107" t="s">
        <v>6562</v>
      </c>
      <c r="D1107" t="s">
        <v>125</v>
      </c>
      <c r="E1107" t="s">
        <v>20</v>
      </c>
      <c r="F1107" t="str">
        <f>"43537-2126"</f>
        <v>43537-2126</v>
      </c>
      <c r="G1107" t="str">
        <f t="shared" si="33"/>
        <v>402019</v>
      </c>
      <c r="H1107" s="2">
        <f>40</f>
        <v>40</v>
      </c>
      <c r="I1107" t="s">
        <v>27</v>
      </c>
      <c r="J1107" t="s">
        <v>42</v>
      </c>
      <c r="K1107" t="str">
        <f>"114526"</f>
        <v>114526</v>
      </c>
    </row>
    <row r="1108" spans="1:11" x14ac:dyDescent="0.25">
      <c r="A1108">
        <v>2021</v>
      </c>
      <c r="B1108" t="s">
        <v>6571</v>
      </c>
      <c r="C1108" t="s">
        <v>6572</v>
      </c>
      <c r="D1108" t="s">
        <v>19</v>
      </c>
      <c r="E1108" t="s">
        <v>20</v>
      </c>
      <c r="F1108" t="str">
        <f>"43617-2243"</f>
        <v>43617-2243</v>
      </c>
      <c r="G1108" t="str">
        <f>"Swucf4621"</f>
        <v>Swucf4621</v>
      </c>
      <c r="H1108" s="2">
        <f>22.18</f>
        <v>22.18</v>
      </c>
      <c r="I1108" t="s">
        <v>15</v>
      </c>
      <c r="J1108" t="s">
        <v>81</v>
      </c>
      <c r="K1108" t="str">
        <f>"6298503"</f>
        <v>6298503</v>
      </c>
    </row>
    <row r="1109" spans="1:11" x14ac:dyDescent="0.25">
      <c r="A1109">
        <v>2021</v>
      </c>
      <c r="B1109" t="s">
        <v>6575</v>
      </c>
      <c r="C1109" t="s">
        <v>6576</v>
      </c>
      <c r="D1109" t="s">
        <v>19</v>
      </c>
      <c r="E1109" t="s">
        <v>20</v>
      </c>
      <c r="F1109" t="str">
        <f>"43623-1076"</f>
        <v>43623-1076</v>
      </c>
      <c r="G1109" t="str">
        <f>"402019"</f>
        <v>402019</v>
      </c>
      <c r="H1109" s="2">
        <f>10</f>
        <v>10</v>
      </c>
      <c r="I1109" t="s">
        <v>27</v>
      </c>
      <c r="J1109" t="s">
        <v>42</v>
      </c>
      <c r="K1109" t="str">
        <f>"111273"</f>
        <v>111273</v>
      </c>
    </row>
    <row r="1110" spans="1:11" x14ac:dyDescent="0.25">
      <c r="A1110">
        <v>2021</v>
      </c>
      <c r="B1110" t="s">
        <v>6577</v>
      </c>
      <c r="C1110" t="s">
        <v>6578</v>
      </c>
      <c r="D1110" t="s">
        <v>45</v>
      </c>
      <c r="E1110" t="s">
        <v>20</v>
      </c>
      <c r="F1110" t="str">
        <f>"43542-9384"</f>
        <v>43542-9384</v>
      </c>
      <c r="G1110" t="str">
        <f>"402019"</f>
        <v>402019</v>
      </c>
      <c r="H1110" s="2">
        <f>10</f>
        <v>10</v>
      </c>
      <c r="I1110" t="s">
        <v>27</v>
      </c>
      <c r="J1110" t="s">
        <v>42</v>
      </c>
      <c r="K1110" t="str">
        <f>"115128"</f>
        <v>115128</v>
      </c>
    </row>
    <row r="1111" spans="1:11" x14ac:dyDescent="0.25">
      <c r="A1111">
        <v>2021</v>
      </c>
      <c r="B1111" t="s">
        <v>6591</v>
      </c>
      <c r="C1111" t="s">
        <v>6592</v>
      </c>
      <c r="D1111" t="s">
        <v>19</v>
      </c>
      <c r="E1111" t="s">
        <v>20</v>
      </c>
      <c r="F1111" t="str">
        <f>"43614-4954"</f>
        <v>43614-4954</v>
      </c>
      <c r="G1111" t="str">
        <f>"402019"</f>
        <v>402019</v>
      </c>
      <c r="H1111" s="2">
        <f>20</f>
        <v>20</v>
      </c>
      <c r="I1111" t="s">
        <v>27</v>
      </c>
      <c r="J1111" t="s">
        <v>42</v>
      </c>
      <c r="K1111" t="str">
        <f>"112855"</f>
        <v>112855</v>
      </c>
    </row>
    <row r="1112" spans="1:11" x14ac:dyDescent="0.25">
      <c r="A1112">
        <v>2021</v>
      </c>
      <c r="B1112" t="s">
        <v>6595</v>
      </c>
      <c r="C1112" t="s">
        <v>6596</v>
      </c>
      <c r="D1112" t="s">
        <v>19</v>
      </c>
      <c r="E1112" t="s">
        <v>20</v>
      </c>
      <c r="F1112" t="str">
        <f>"43611-2002"</f>
        <v>43611-2002</v>
      </c>
      <c r="G1112" t="str">
        <f>"402019"</f>
        <v>402019</v>
      </c>
      <c r="H1112" s="2">
        <f>10</f>
        <v>10</v>
      </c>
      <c r="I1112" t="s">
        <v>27</v>
      </c>
      <c r="J1112" t="s">
        <v>42</v>
      </c>
      <c r="K1112" t="str">
        <f>"111184"</f>
        <v>111184</v>
      </c>
    </row>
    <row r="1113" spans="1:11" x14ac:dyDescent="0.25">
      <c r="A1113">
        <v>2021</v>
      </c>
      <c r="B1113" t="s">
        <v>6597</v>
      </c>
      <c r="C1113" t="s">
        <v>6598</v>
      </c>
      <c r="D1113" t="s">
        <v>6599</v>
      </c>
      <c r="E1113" t="s">
        <v>20</v>
      </c>
      <c r="F1113" t="str">
        <f>"45833"</f>
        <v>45833</v>
      </c>
      <c r="G1113" t="str">
        <f>"385483"</f>
        <v>385483</v>
      </c>
      <c r="H1113" s="2">
        <f>592.08</f>
        <v>592.08000000000004</v>
      </c>
      <c r="I1113" t="s">
        <v>148</v>
      </c>
      <c r="J1113" t="s">
        <v>896</v>
      </c>
      <c r="K1113" t="str">
        <f>"24855"</f>
        <v>24855</v>
      </c>
    </row>
    <row r="1114" spans="1:11" x14ac:dyDescent="0.25">
      <c r="A1114">
        <v>2021</v>
      </c>
      <c r="B1114" t="s">
        <v>6610</v>
      </c>
      <c r="C1114" t="s">
        <v>4217</v>
      </c>
      <c r="F1114" t="str">
        <f>""</f>
        <v/>
      </c>
      <c r="G1114" t="str">
        <f>"Swucf4621"</f>
        <v>Swucf4621</v>
      </c>
      <c r="H1114" s="2">
        <f>653.08</f>
        <v>653.08000000000004</v>
      </c>
      <c r="I1114" t="s">
        <v>15</v>
      </c>
      <c r="J1114" t="s">
        <v>81</v>
      </c>
      <c r="K1114" t="str">
        <f>"6293042"</f>
        <v>6293042</v>
      </c>
    </row>
    <row r="1115" spans="1:11" x14ac:dyDescent="0.25">
      <c r="A1115">
        <v>2021</v>
      </c>
      <c r="B1115" t="s">
        <v>6626</v>
      </c>
      <c r="C1115" t="s">
        <v>6627</v>
      </c>
      <c r="D1115" t="s">
        <v>19</v>
      </c>
      <c r="E1115" t="s">
        <v>20</v>
      </c>
      <c r="F1115" t="str">
        <f>"43609-2028"</f>
        <v>43609-2028</v>
      </c>
      <c r="G1115" t="str">
        <f>"402018"</f>
        <v>402018</v>
      </c>
      <c r="H1115" s="2">
        <f>6.97</f>
        <v>6.97</v>
      </c>
      <c r="I1115" t="s">
        <v>27</v>
      </c>
      <c r="J1115" t="s">
        <v>171</v>
      </c>
      <c r="K1115" t="str">
        <f>"515616"</f>
        <v>515616</v>
      </c>
    </row>
    <row r="1116" spans="1:11" x14ac:dyDescent="0.25">
      <c r="A1116">
        <v>2021</v>
      </c>
      <c r="B1116" t="s">
        <v>6626</v>
      </c>
      <c r="C1116" t="s">
        <v>6627</v>
      </c>
      <c r="D1116" t="s">
        <v>19</v>
      </c>
      <c r="E1116" t="s">
        <v>20</v>
      </c>
      <c r="F1116" t="str">
        <f>"43609-2028"</f>
        <v>43609-2028</v>
      </c>
      <c r="G1116" t="str">
        <f>"402018"</f>
        <v>402018</v>
      </c>
      <c r="H1116" s="2">
        <f>2.62</f>
        <v>2.62</v>
      </c>
      <c r="I1116" t="s">
        <v>27</v>
      </c>
      <c r="J1116" t="s">
        <v>171</v>
      </c>
      <c r="K1116" t="str">
        <f>"515617"</f>
        <v>515617</v>
      </c>
    </row>
    <row r="1117" spans="1:11" x14ac:dyDescent="0.25">
      <c r="A1117">
        <v>2021</v>
      </c>
      <c r="B1117" t="s">
        <v>6630</v>
      </c>
      <c r="C1117" t="s">
        <v>6631</v>
      </c>
      <c r="D1117" t="s">
        <v>19</v>
      </c>
      <c r="E1117" t="s">
        <v>20</v>
      </c>
      <c r="F1117" t="str">
        <f>"43605-3716"</f>
        <v>43605-3716</v>
      </c>
      <c r="G1117" t="str">
        <f>"402019"</f>
        <v>402019</v>
      </c>
      <c r="H1117" s="2">
        <f>10</f>
        <v>10</v>
      </c>
      <c r="I1117" t="s">
        <v>27</v>
      </c>
      <c r="J1117" t="s">
        <v>42</v>
      </c>
      <c r="K1117" t="str">
        <f>"112522"</f>
        <v>112522</v>
      </c>
    </row>
    <row r="1118" spans="1:11" x14ac:dyDescent="0.25">
      <c r="A1118">
        <v>2021</v>
      </c>
      <c r="B1118" t="s">
        <v>6640</v>
      </c>
      <c r="C1118" t="s">
        <v>6641</v>
      </c>
      <c r="D1118" t="s">
        <v>19</v>
      </c>
      <c r="E1118" t="s">
        <v>20</v>
      </c>
      <c r="F1118" t="str">
        <f>"43604"</f>
        <v>43604</v>
      </c>
      <c r="G1118" t="str">
        <f>"402017"</f>
        <v>402017</v>
      </c>
      <c r="H1118" s="2">
        <f>18.34</f>
        <v>18.34</v>
      </c>
      <c r="I1118" t="s">
        <v>27</v>
      </c>
      <c r="J1118" t="s">
        <v>212</v>
      </c>
      <c r="K1118" t="str">
        <f>"33633"</f>
        <v>33633</v>
      </c>
    </row>
    <row r="1119" spans="1:11" x14ac:dyDescent="0.25">
      <c r="A1119">
        <v>2021</v>
      </c>
      <c r="B1119" t="s">
        <v>6644</v>
      </c>
      <c r="C1119" t="s">
        <v>6645</v>
      </c>
      <c r="D1119" t="s">
        <v>19</v>
      </c>
      <c r="E1119" t="s">
        <v>20</v>
      </c>
      <c r="F1119" t="str">
        <f>"43617-2216"</f>
        <v>43617-2216</v>
      </c>
      <c r="G1119" t="str">
        <f>"402019"</f>
        <v>402019</v>
      </c>
      <c r="H1119" s="2">
        <f>20</f>
        <v>20</v>
      </c>
      <c r="I1119" t="s">
        <v>27</v>
      </c>
      <c r="J1119" t="s">
        <v>42</v>
      </c>
      <c r="K1119" t="str">
        <f>"112135"</f>
        <v>112135</v>
      </c>
    </row>
    <row r="1120" spans="1:11" x14ac:dyDescent="0.25">
      <c r="A1120">
        <v>2021</v>
      </c>
      <c r="B1120" t="s">
        <v>6657</v>
      </c>
      <c r="C1120" t="s">
        <v>6658</v>
      </c>
      <c r="D1120" t="s">
        <v>64</v>
      </c>
      <c r="E1120" t="s">
        <v>20</v>
      </c>
      <c r="F1120" t="str">
        <f>"43566-9615"</f>
        <v>43566-9615</v>
      </c>
      <c r="G1120" t="str">
        <f>"402019"</f>
        <v>402019</v>
      </c>
      <c r="H1120" s="2">
        <f>20</f>
        <v>20</v>
      </c>
      <c r="I1120" t="s">
        <v>27</v>
      </c>
      <c r="J1120" t="s">
        <v>42</v>
      </c>
      <c r="K1120" t="str">
        <f>"113191"</f>
        <v>113191</v>
      </c>
    </row>
    <row r="1121" spans="1:11" x14ac:dyDescent="0.25">
      <c r="A1121">
        <v>2021</v>
      </c>
      <c r="B1121" t="s">
        <v>6671</v>
      </c>
      <c r="C1121" t="s">
        <v>6672</v>
      </c>
      <c r="D1121" t="s">
        <v>50</v>
      </c>
      <c r="E1121" t="s">
        <v>20</v>
      </c>
      <c r="F1121" t="str">
        <f>"43560-3679"</f>
        <v>43560-3679</v>
      </c>
      <c r="G1121" t="str">
        <f>"402019"</f>
        <v>402019</v>
      </c>
      <c r="H1121" s="2">
        <f>20</f>
        <v>20</v>
      </c>
      <c r="I1121" t="s">
        <v>27</v>
      </c>
      <c r="J1121" t="s">
        <v>42</v>
      </c>
      <c r="K1121" t="str">
        <f>"115213"</f>
        <v>115213</v>
      </c>
    </row>
    <row r="1122" spans="1:11" x14ac:dyDescent="0.25">
      <c r="A1122">
        <v>2021</v>
      </c>
      <c r="B1122" t="s">
        <v>6687</v>
      </c>
      <c r="C1122" t="s">
        <v>6688</v>
      </c>
      <c r="D1122" t="s">
        <v>64</v>
      </c>
      <c r="E1122" t="s">
        <v>20</v>
      </c>
      <c r="F1122" t="str">
        <f>"43566"</f>
        <v>43566</v>
      </c>
      <c r="G1122" t="str">
        <f>"Bwucf4621"</f>
        <v>Bwucf4621</v>
      </c>
      <c r="H1122" s="2">
        <f>15.1</f>
        <v>15.1</v>
      </c>
      <c r="I1122" t="s">
        <v>15</v>
      </c>
      <c r="J1122" t="s">
        <v>295</v>
      </c>
      <c r="K1122" t="str">
        <f>"01442151"</f>
        <v>01442151</v>
      </c>
    </row>
    <row r="1123" spans="1:11" x14ac:dyDescent="0.25">
      <c r="A1123">
        <v>2021</v>
      </c>
      <c r="B1123" t="s">
        <v>6687</v>
      </c>
      <c r="C1123" t="s">
        <v>6688</v>
      </c>
      <c r="D1123" t="s">
        <v>64</v>
      </c>
      <c r="E1123" t="s">
        <v>20</v>
      </c>
      <c r="F1123" t="str">
        <f>"43566"</f>
        <v>43566</v>
      </c>
      <c r="G1123" t="str">
        <f>"Bwucf4621"</f>
        <v>Bwucf4621</v>
      </c>
      <c r="H1123" s="2">
        <f>12.82</f>
        <v>12.82</v>
      </c>
      <c r="I1123" t="s">
        <v>15</v>
      </c>
      <c r="J1123" t="s">
        <v>295</v>
      </c>
      <c r="K1123" t="str">
        <f>"01447214"</f>
        <v>01447214</v>
      </c>
    </row>
    <row r="1124" spans="1:11" x14ac:dyDescent="0.25">
      <c r="A1124">
        <v>2021</v>
      </c>
      <c r="B1124" t="s">
        <v>6692</v>
      </c>
      <c r="C1124" t="s">
        <v>6693</v>
      </c>
      <c r="D1124" t="s">
        <v>19</v>
      </c>
      <c r="E1124" t="s">
        <v>20</v>
      </c>
      <c r="F1124" t="str">
        <f>"43620"</f>
        <v>43620</v>
      </c>
      <c r="G1124" t="str">
        <f>"Je110321"</f>
        <v>Je110321</v>
      </c>
      <c r="H1124" s="2">
        <f>277.02</f>
        <v>277.02</v>
      </c>
      <c r="I1124" t="s">
        <v>15</v>
      </c>
      <c r="J1124" t="s">
        <v>596</v>
      </c>
      <c r="K1124" t="str">
        <f>"60023720"</f>
        <v>60023720</v>
      </c>
    </row>
    <row r="1125" spans="1:11" x14ac:dyDescent="0.25">
      <c r="A1125">
        <v>2021</v>
      </c>
      <c r="B1125" t="s">
        <v>6696</v>
      </c>
      <c r="C1125" t="s">
        <v>6697</v>
      </c>
      <c r="D1125" t="s">
        <v>50</v>
      </c>
      <c r="E1125" t="s">
        <v>20</v>
      </c>
      <c r="F1125" t="str">
        <f>"43560"</f>
        <v>43560</v>
      </c>
      <c r="G1125" t="str">
        <f>"402018"</f>
        <v>402018</v>
      </c>
      <c r="H1125" s="2">
        <f>9.08</f>
        <v>9.08</v>
      </c>
      <c r="I1125" t="s">
        <v>27</v>
      </c>
      <c r="J1125" t="s">
        <v>171</v>
      </c>
      <c r="K1125" t="str">
        <f>"517663"</f>
        <v>517663</v>
      </c>
    </row>
    <row r="1126" spans="1:11" x14ac:dyDescent="0.25">
      <c r="A1126">
        <v>2021</v>
      </c>
      <c r="B1126" t="s">
        <v>6700</v>
      </c>
      <c r="C1126" t="s">
        <v>6701</v>
      </c>
      <c r="D1126" t="s">
        <v>6702</v>
      </c>
      <c r="E1126" t="s">
        <v>20</v>
      </c>
      <c r="F1126" t="str">
        <f>"43506"</f>
        <v>43506</v>
      </c>
      <c r="G1126" t="str">
        <f>"Pio448069"</f>
        <v>Pio448069</v>
      </c>
      <c r="H1126" s="2">
        <f>0.07</f>
        <v>7.0000000000000007E-2</v>
      </c>
      <c r="I1126" t="s">
        <v>86</v>
      </c>
      <c r="J1126" t="s">
        <v>87</v>
      </c>
      <c r="K1126" t="str">
        <f>"0"</f>
        <v>0</v>
      </c>
    </row>
    <row r="1127" spans="1:11" x14ac:dyDescent="0.25">
      <c r="A1127">
        <v>2021</v>
      </c>
      <c r="B1127" t="s">
        <v>6712</v>
      </c>
      <c r="C1127" t="s">
        <v>6713</v>
      </c>
      <c r="D1127" t="s">
        <v>19</v>
      </c>
      <c r="E1127" t="s">
        <v>20</v>
      </c>
      <c r="F1127" t="str">
        <f>"43614-3502"</f>
        <v>43614-3502</v>
      </c>
      <c r="G1127" t="str">
        <f>"402019"</f>
        <v>402019</v>
      </c>
      <c r="H1127" s="2">
        <f>40</f>
        <v>40</v>
      </c>
      <c r="I1127" t="s">
        <v>27</v>
      </c>
      <c r="J1127" t="s">
        <v>42</v>
      </c>
      <c r="K1127" t="str">
        <f>"112722"</f>
        <v>112722</v>
      </c>
    </row>
    <row r="1128" spans="1:11" x14ac:dyDescent="0.25">
      <c r="A1128">
        <v>2021</v>
      </c>
      <c r="B1128" t="s">
        <v>6725</v>
      </c>
      <c r="C1128" t="s">
        <v>6726</v>
      </c>
      <c r="D1128" t="s">
        <v>19</v>
      </c>
      <c r="E1128" t="s">
        <v>20</v>
      </c>
      <c r="F1128" t="str">
        <f>"43609-1977"</f>
        <v>43609-1977</v>
      </c>
      <c r="G1128" t="str">
        <f>"402019"</f>
        <v>402019</v>
      </c>
      <c r="H1128" s="2">
        <f>10</f>
        <v>10</v>
      </c>
      <c r="I1128" t="s">
        <v>27</v>
      </c>
      <c r="J1128" t="s">
        <v>42</v>
      </c>
      <c r="K1128" t="str">
        <f>"112943"</f>
        <v>112943</v>
      </c>
    </row>
    <row r="1129" spans="1:11" x14ac:dyDescent="0.25">
      <c r="A1129">
        <v>2021</v>
      </c>
      <c r="B1129" t="s">
        <v>6735</v>
      </c>
      <c r="C1129" t="s">
        <v>6736</v>
      </c>
      <c r="D1129" t="s">
        <v>19</v>
      </c>
      <c r="E1129" t="s">
        <v>20</v>
      </c>
      <c r="F1129" t="str">
        <f>"43606-4849"</f>
        <v>43606-4849</v>
      </c>
      <c r="G1129" t="str">
        <f>"402019"</f>
        <v>402019</v>
      </c>
      <c r="H1129" s="2">
        <f>80</f>
        <v>80</v>
      </c>
      <c r="I1129" t="s">
        <v>27</v>
      </c>
      <c r="J1129" t="s">
        <v>42</v>
      </c>
      <c r="K1129" t="str">
        <f>"113738"</f>
        <v>113738</v>
      </c>
    </row>
    <row r="1130" spans="1:11" x14ac:dyDescent="0.25">
      <c r="A1130">
        <v>2021</v>
      </c>
      <c r="B1130" t="s">
        <v>6741</v>
      </c>
      <c r="C1130" t="s">
        <v>6742</v>
      </c>
      <c r="D1130" t="s">
        <v>19</v>
      </c>
      <c r="E1130" t="s">
        <v>20</v>
      </c>
      <c r="F1130" t="str">
        <f>"43606"</f>
        <v>43606</v>
      </c>
      <c r="G1130" t="str">
        <f>"Pio448069"</f>
        <v>Pio448069</v>
      </c>
      <c r="H1130" s="2">
        <f>4</f>
        <v>4</v>
      </c>
      <c r="I1130" t="s">
        <v>86</v>
      </c>
      <c r="J1130" t="s">
        <v>87</v>
      </c>
      <c r="K1130" t="str">
        <f>"0"</f>
        <v>0</v>
      </c>
    </row>
    <row r="1131" spans="1:11" x14ac:dyDescent="0.25">
      <c r="A1131">
        <v>2021</v>
      </c>
      <c r="B1131" t="s">
        <v>6757</v>
      </c>
      <c r="C1131" t="s">
        <v>6758</v>
      </c>
      <c r="D1131" t="s">
        <v>19</v>
      </c>
      <c r="E1131" t="s">
        <v>20</v>
      </c>
      <c r="F1131" t="str">
        <f>"43614-3921"</f>
        <v>43614-3921</v>
      </c>
      <c r="G1131" t="str">
        <f>"402019"</f>
        <v>402019</v>
      </c>
      <c r="H1131" s="2">
        <f>10</f>
        <v>10</v>
      </c>
      <c r="I1131" t="s">
        <v>27</v>
      </c>
      <c r="J1131" t="s">
        <v>42</v>
      </c>
      <c r="K1131" t="str">
        <f>"112402"</f>
        <v>112402</v>
      </c>
    </row>
    <row r="1132" spans="1:11" x14ac:dyDescent="0.25">
      <c r="A1132">
        <v>2021</v>
      </c>
      <c r="B1132" t="s">
        <v>6769</v>
      </c>
      <c r="C1132" t="s">
        <v>6770</v>
      </c>
      <c r="D1132" t="s">
        <v>19</v>
      </c>
      <c r="E1132" t="s">
        <v>20</v>
      </c>
      <c r="F1132" t="str">
        <f>"43613-3825"</f>
        <v>43613-3825</v>
      </c>
      <c r="G1132" t="str">
        <f>"Swucf4621"</f>
        <v>Swucf4621</v>
      </c>
      <c r="H1132" s="2">
        <f>114.71</f>
        <v>114.71</v>
      </c>
      <c r="I1132" t="s">
        <v>15</v>
      </c>
      <c r="J1132" t="s">
        <v>81</v>
      </c>
      <c r="K1132" t="str">
        <f>"6295983"</f>
        <v>6295983</v>
      </c>
    </row>
    <row r="1133" spans="1:11" x14ac:dyDescent="0.25">
      <c r="A1133">
        <v>2021</v>
      </c>
      <c r="B1133" t="s">
        <v>6779</v>
      </c>
      <c r="C1133" t="s">
        <v>3968</v>
      </c>
      <c r="D1133" t="s">
        <v>3969</v>
      </c>
      <c r="E1133" t="s">
        <v>600</v>
      </c>
      <c r="F1133" t="str">
        <f>"41042"</f>
        <v>41042</v>
      </c>
      <c r="G1133" t="str">
        <f>"402017"</f>
        <v>402017</v>
      </c>
      <c r="H1133" s="2">
        <f>550</f>
        <v>550</v>
      </c>
      <c r="I1133" t="s">
        <v>27</v>
      </c>
      <c r="J1133" t="s">
        <v>212</v>
      </c>
      <c r="K1133" t="str">
        <f>"32825"</f>
        <v>32825</v>
      </c>
    </row>
    <row r="1134" spans="1:11" x14ac:dyDescent="0.25">
      <c r="A1134">
        <v>2021</v>
      </c>
      <c r="B1134" t="s">
        <v>6781</v>
      </c>
      <c r="C1134" t="s">
        <v>6782</v>
      </c>
      <c r="D1134" t="s">
        <v>19</v>
      </c>
      <c r="E1134" t="s">
        <v>20</v>
      </c>
      <c r="F1134" t="str">
        <f>"43609-2911"</f>
        <v>43609-2911</v>
      </c>
      <c r="G1134" t="str">
        <f>"402019"</f>
        <v>402019</v>
      </c>
      <c r="H1134" s="2">
        <f>20</f>
        <v>20</v>
      </c>
      <c r="I1134" t="s">
        <v>27</v>
      </c>
      <c r="J1134" t="s">
        <v>42</v>
      </c>
      <c r="K1134" t="str">
        <f>"112836"</f>
        <v>112836</v>
      </c>
    </row>
    <row r="1135" spans="1:11" x14ac:dyDescent="0.25">
      <c r="A1135">
        <v>2021</v>
      </c>
      <c r="B1135" t="s">
        <v>6793</v>
      </c>
      <c r="C1135" t="s">
        <v>6794</v>
      </c>
      <c r="D1135" t="s">
        <v>19</v>
      </c>
      <c r="E1135" t="s">
        <v>20</v>
      </c>
      <c r="F1135" t="str">
        <f>"43607"</f>
        <v>43607</v>
      </c>
      <c r="G1135" t="str">
        <f>"402019"</f>
        <v>402019</v>
      </c>
      <c r="H1135" s="2">
        <f>10</f>
        <v>10</v>
      </c>
      <c r="I1135" t="s">
        <v>27</v>
      </c>
      <c r="J1135" t="s">
        <v>42</v>
      </c>
      <c r="K1135" t="str">
        <f>"115344"</f>
        <v>115344</v>
      </c>
    </row>
    <row r="1136" spans="1:11" x14ac:dyDescent="0.25">
      <c r="A1136">
        <v>2021</v>
      </c>
      <c r="B1136" t="s">
        <v>6808</v>
      </c>
      <c r="C1136" t="s">
        <v>6809</v>
      </c>
      <c r="D1136" t="s">
        <v>19</v>
      </c>
      <c r="E1136" t="s">
        <v>20</v>
      </c>
      <c r="F1136" t="str">
        <f>"43614-1918"</f>
        <v>43614-1918</v>
      </c>
      <c r="G1136" t="str">
        <f>"402019"</f>
        <v>402019</v>
      </c>
      <c r="H1136" s="2">
        <f>60</f>
        <v>60</v>
      </c>
      <c r="I1136" t="s">
        <v>27</v>
      </c>
      <c r="J1136" t="s">
        <v>42</v>
      </c>
      <c r="K1136" t="str">
        <f>"112999"</f>
        <v>112999</v>
      </c>
    </row>
    <row r="1137" spans="1:11" x14ac:dyDescent="0.25">
      <c r="A1137">
        <v>2021</v>
      </c>
      <c r="B1137" t="s">
        <v>6812</v>
      </c>
      <c r="C1137" t="s">
        <v>6813</v>
      </c>
      <c r="D1137" t="s">
        <v>19</v>
      </c>
      <c r="E1137" t="s">
        <v>20</v>
      </c>
      <c r="F1137" t="str">
        <f>"43604-1227"</f>
        <v>43604-1227</v>
      </c>
      <c r="G1137" t="str">
        <f>"402017"</f>
        <v>402017</v>
      </c>
      <c r="H1137" s="2">
        <f>20</f>
        <v>20</v>
      </c>
      <c r="I1137" t="s">
        <v>27</v>
      </c>
      <c r="J1137" t="s">
        <v>212</v>
      </c>
      <c r="K1137" t="str">
        <f>"34264"</f>
        <v>34264</v>
      </c>
    </row>
    <row r="1138" spans="1:11" x14ac:dyDescent="0.25">
      <c r="A1138">
        <v>2021</v>
      </c>
      <c r="B1138" t="s">
        <v>6818</v>
      </c>
      <c r="C1138" t="s">
        <v>6819</v>
      </c>
      <c r="D1138" t="s">
        <v>6820</v>
      </c>
      <c r="E1138" t="s">
        <v>20</v>
      </c>
      <c r="F1138" t="str">
        <f>"45840"</f>
        <v>45840</v>
      </c>
      <c r="G1138" t="str">
        <f>"Je092221"</f>
        <v>Je092221</v>
      </c>
      <c r="H1138" s="2">
        <f>100</f>
        <v>100</v>
      </c>
      <c r="I1138" t="s">
        <v>15</v>
      </c>
      <c r="J1138" t="s">
        <v>114</v>
      </c>
      <c r="K1138" t="str">
        <f>"60015477"</f>
        <v>60015477</v>
      </c>
    </row>
    <row r="1139" spans="1:11" x14ac:dyDescent="0.25">
      <c r="A1139">
        <v>2021</v>
      </c>
      <c r="B1139" t="s">
        <v>6823</v>
      </c>
      <c r="C1139" t="s">
        <v>6824</v>
      </c>
      <c r="D1139" t="s">
        <v>19</v>
      </c>
      <c r="E1139" t="s">
        <v>20</v>
      </c>
      <c r="F1139" t="str">
        <f>"43604"</f>
        <v>43604</v>
      </c>
      <c r="G1139" t="str">
        <f>"402017"</f>
        <v>402017</v>
      </c>
      <c r="H1139" s="2">
        <f>20</f>
        <v>20</v>
      </c>
      <c r="I1139" t="s">
        <v>27</v>
      </c>
      <c r="J1139" t="s">
        <v>212</v>
      </c>
      <c r="K1139" t="str">
        <f>"34203"</f>
        <v>34203</v>
      </c>
    </row>
    <row r="1140" spans="1:11" x14ac:dyDescent="0.25">
      <c r="A1140">
        <v>2021</v>
      </c>
      <c r="B1140" t="s">
        <v>6841</v>
      </c>
      <c r="C1140" t="s">
        <v>6842</v>
      </c>
      <c r="D1140" t="s">
        <v>19</v>
      </c>
      <c r="E1140" t="s">
        <v>20</v>
      </c>
      <c r="F1140" t="str">
        <f>"43615-5122"</f>
        <v>43615-5122</v>
      </c>
      <c r="G1140" t="str">
        <f>"402019"</f>
        <v>402019</v>
      </c>
      <c r="H1140" s="2">
        <f>10</f>
        <v>10</v>
      </c>
      <c r="I1140" t="s">
        <v>27</v>
      </c>
      <c r="J1140" t="s">
        <v>42</v>
      </c>
      <c r="K1140" t="str">
        <f>"112453"</f>
        <v>112453</v>
      </c>
    </row>
    <row r="1141" spans="1:11" x14ac:dyDescent="0.25">
      <c r="A1141">
        <v>2021</v>
      </c>
      <c r="B1141" t="s">
        <v>6845</v>
      </c>
      <c r="C1141" t="s">
        <v>6846</v>
      </c>
      <c r="D1141" t="s">
        <v>19</v>
      </c>
      <c r="E1141" t="s">
        <v>20</v>
      </c>
      <c r="F1141" t="str">
        <f>"43611"</f>
        <v>43611</v>
      </c>
      <c r="G1141" t="str">
        <f>"Pio448069"</f>
        <v>Pio448069</v>
      </c>
      <c r="H1141" s="2">
        <f>20</f>
        <v>20</v>
      </c>
      <c r="I1141" t="s">
        <v>86</v>
      </c>
      <c r="J1141" t="s">
        <v>87</v>
      </c>
      <c r="K1141" t="str">
        <f>"0"</f>
        <v>0</v>
      </c>
    </row>
    <row r="1142" spans="1:11" x14ac:dyDescent="0.25">
      <c r="A1142">
        <v>2021</v>
      </c>
      <c r="B1142" t="s">
        <v>6847</v>
      </c>
      <c r="C1142" t="s">
        <v>6848</v>
      </c>
      <c r="D1142" t="s">
        <v>58</v>
      </c>
      <c r="E1142" t="s">
        <v>20</v>
      </c>
      <c r="F1142" t="str">
        <f>"43616"</f>
        <v>43616</v>
      </c>
      <c r="G1142" t="str">
        <f>"Pio448069"</f>
        <v>Pio448069</v>
      </c>
      <c r="H1142" s="2">
        <f>1.34</f>
        <v>1.34</v>
      </c>
      <c r="I1142" t="s">
        <v>86</v>
      </c>
      <c r="J1142" t="s">
        <v>87</v>
      </c>
      <c r="K1142" t="str">
        <f>"0"</f>
        <v>0</v>
      </c>
    </row>
    <row r="1143" spans="1:11" x14ac:dyDescent="0.25">
      <c r="A1143">
        <v>2021</v>
      </c>
      <c r="B1143" t="s">
        <v>6852</v>
      </c>
      <c r="C1143" t="s">
        <v>6853</v>
      </c>
      <c r="D1143" t="s">
        <v>19</v>
      </c>
      <c r="E1143" t="s">
        <v>20</v>
      </c>
      <c r="F1143" t="str">
        <f>"43611"</f>
        <v>43611</v>
      </c>
      <c r="G1143" t="str">
        <f>"Pio448069"</f>
        <v>Pio448069</v>
      </c>
      <c r="H1143" s="2">
        <f>20</f>
        <v>20</v>
      </c>
      <c r="I1143" t="s">
        <v>86</v>
      </c>
      <c r="J1143" t="s">
        <v>87</v>
      </c>
      <c r="K1143" t="str">
        <f>"0"</f>
        <v>0</v>
      </c>
    </row>
    <row r="1144" spans="1:11" x14ac:dyDescent="0.25">
      <c r="A1144">
        <v>2021</v>
      </c>
      <c r="B1144" t="s">
        <v>6854</v>
      </c>
      <c r="C1144" t="s">
        <v>6855</v>
      </c>
      <c r="F1144" t="str">
        <f>""</f>
        <v/>
      </c>
      <c r="G1144" t="str">
        <f>"Swucf4621"</f>
        <v>Swucf4621</v>
      </c>
      <c r="H1144" s="2">
        <f>2.08</f>
        <v>2.08</v>
      </c>
      <c r="I1144" t="s">
        <v>15</v>
      </c>
      <c r="J1144" t="s">
        <v>81</v>
      </c>
      <c r="K1144" t="str">
        <f>"6291563"</f>
        <v>6291563</v>
      </c>
    </row>
    <row r="1145" spans="1:11" x14ac:dyDescent="0.25">
      <c r="A1145">
        <v>2021</v>
      </c>
      <c r="B1145" t="s">
        <v>6854</v>
      </c>
      <c r="C1145" t="s">
        <v>6855</v>
      </c>
      <c r="F1145" t="str">
        <f>""</f>
        <v/>
      </c>
      <c r="G1145" t="str">
        <f>"Swucf4621"</f>
        <v>Swucf4621</v>
      </c>
      <c r="H1145" s="2">
        <f>6.24</f>
        <v>6.24</v>
      </c>
      <c r="I1145" t="s">
        <v>15</v>
      </c>
      <c r="J1145" t="s">
        <v>81</v>
      </c>
      <c r="K1145" t="str">
        <f>"6291564"</f>
        <v>6291564</v>
      </c>
    </row>
    <row r="1146" spans="1:11" x14ac:dyDescent="0.25">
      <c r="A1146">
        <v>2021</v>
      </c>
      <c r="B1146" t="s">
        <v>6856</v>
      </c>
      <c r="C1146" t="s">
        <v>6857</v>
      </c>
      <c r="D1146" t="s">
        <v>19</v>
      </c>
      <c r="E1146" t="s">
        <v>20</v>
      </c>
      <c r="F1146" t="str">
        <f>"43604"</f>
        <v>43604</v>
      </c>
      <c r="G1146" t="str">
        <f>"402017"</f>
        <v>402017</v>
      </c>
      <c r="H1146" s="2">
        <f>20</f>
        <v>20</v>
      </c>
      <c r="I1146" t="s">
        <v>27</v>
      </c>
      <c r="J1146" t="s">
        <v>212</v>
      </c>
      <c r="K1146" t="str">
        <f>"33371"</f>
        <v>33371</v>
      </c>
    </row>
    <row r="1147" spans="1:11" x14ac:dyDescent="0.25">
      <c r="A1147">
        <v>2021</v>
      </c>
      <c r="B1147" t="s">
        <v>6860</v>
      </c>
      <c r="C1147" t="s">
        <v>6861</v>
      </c>
      <c r="D1147" t="s">
        <v>50</v>
      </c>
      <c r="E1147" t="s">
        <v>20</v>
      </c>
      <c r="F1147" t="str">
        <f t="shared" ref="F1147:F1152" si="34">"43560-3622"</f>
        <v>43560-3622</v>
      </c>
      <c r="G1147" t="str">
        <f t="shared" ref="G1147:G1152" si="35">"Swucf4621"</f>
        <v>Swucf4621</v>
      </c>
      <c r="H1147" s="2">
        <f>36.91</f>
        <v>36.909999999999997</v>
      </c>
      <c r="I1147" t="s">
        <v>15</v>
      </c>
      <c r="J1147" t="s">
        <v>81</v>
      </c>
      <c r="K1147" t="str">
        <f>"6290604"</f>
        <v>6290604</v>
      </c>
    </row>
    <row r="1148" spans="1:11" x14ac:dyDescent="0.25">
      <c r="A1148">
        <v>2021</v>
      </c>
      <c r="B1148" t="s">
        <v>6860</v>
      </c>
      <c r="C1148" t="s">
        <v>6861</v>
      </c>
      <c r="D1148" t="s">
        <v>50</v>
      </c>
      <c r="E1148" t="s">
        <v>20</v>
      </c>
      <c r="F1148" t="str">
        <f t="shared" si="34"/>
        <v>43560-3622</v>
      </c>
      <c r="G1148" t="str">
        <f t="shared" si="35"/>
        <v>Swucf4621</v>
      </c>
      <c r="H1148" s="2">
        <f>36.91</f>
        <v>36.909999999999997</v>
      </c>
      <c r="I1148" t="s">
        <v>15</v>
      </c>
      <c r="J1148" t="s">
        <v>81</v>
      </c>
      <c r="K1148" t="str">
        <f>"6292165"</f>
        <v>6292165</v>
      </c>
    </row>
    <row r="1149" spans="1:11" x14ac:dyDescent="0.25">
      <c r="A1149">
        <v>2021</v>
      </c>
      <c r="B1149" t="s">
        <v>6860</v>
      </c>
      <c r="C1149" t="s">
        <v>6861</v>
      </c>
      <c r="D1149" t="s">
        <v>50</v>
      </c>
      <c r="E1149" t="s">
        <v>20</v>
      </c>
      <c r="F1149" t="str">
        <f t="shared" si="34"/>
        <v>43560-3622</v>
      </c>
      <c r="G1149" t="str">
        <f t="shared" si="35"/>
        <v>Swucf4621</v>
      </c>
      <c r="H1149" s="2">
        <f>36.91</f>
        <v>36.909999999999997</v>
      </c>
      <c r="I1149" t="s">
        <v>15</v>
      </c>
      <c r="J1149" t="s">
        <v>81</v>
      </c>
      <c r="K1149" t="str">
        <f>"6289005"</f>
        <v>6289005</v>
      </c>
    </row>
    <row r="1150" spans="1:11" x14ac:dyDescent="0.25">
      <c r="A1150">
        <v>2021</v>
      </c>
      <c r="B1150" t="s">
        <v>6860</v>
      </c>
      <c r="C1150" t="s">
        <v>6861</v>
      </c>
      <c r="D1150" t="s">
        <v>50</v>
      </c>
      <c r="E1150" t="s">
        <v>20</v>
      </c>
      <c r="F1150" t="str">
        <f t="shared" si="34"/>
        <v>43560-3622</v>
      </c>
      <c r="G1150" t="str">
        <f t="shared" si="35"/>
        <v>Swucf4621</v>
      </c>
      <c r="H1150" s="2">
        <f>36.98</f>
        <v>36.979999999999997</v>
      </c>
      <c r="I1150" t="s">
        <v>15</v>
      </c>
      <c r="J1150" t="s">
        <v>81</v>
      </c>
      <c r="K1150" t="str">
        <f>"6296000"</f>
        <v>6296000</v>
      </c>
    </row>
    <row r="1151" spans="1:11" x14ac:dyDescent="0.25">
      <c r="A1151">
        <v>2021</v>
      </c>
      <c r="B1151" t="s">
        <v>6860</v>
      </c>
      <c r="C1151" t="s">
        <v>6861</v>
      </c>
      <c r="D1151" t="s">
        <v>50</v>
      </c>
      <c r="E1151" t="s">
        <v>20</v>
      </c>
      <c r="F1151" t="str">
        <f t="shared" si="34"/>
        <v>43560-3622</v>
      </c>
      <c r="G1151" t="str">
        <f t="shared" si="35"/>
        <v>Swucf4621</v>
      </c>
      <c r="H1151" s="2">
        <f>36.98</f>
        <v>36.979999999999997</v>
      </c>
      <c r="I1151" t="s">
        <v>15</v>
      </c>
      <c r="J1151" t="s">
        <v>81</v>
      </c>
      <c r="K1151" t="str">
        <f>"6293747"</f>
        <v>6293747</v>
      </c>
    </row>
    <row r="1152" spans="1:11" x14ac:dyDescent="0.25">
      <c r="A1152">
        <v>2021</v>
      </c>
      <c r="B1152" t="s">
        <v>6860</v>
      </c>
      <c r="C1152" t="s">
        <v>6861</v>
      </c>
      <c r="D1152" t="s">
        <v>50</v>
      </c>
      <c r="E1152" t="s">
        <v>20</v>
      </c>
      <c r="F1152" t="str">
        <f t="shared" si="34"/>
        <v>43560-3622</v>
      </c>
      <c r="G1152" t="str">
        <f t="shared" si="35"/>
        <v>Swucf4621</v>
      </c>
      <c r="H1152" s="2">
        <f>36.98</f>
        <v>36.979999999999997</v>
      </c>
      <c r="I1152" t="s">
        <v>15</v>
      </c>
      <c r="J1152" t="s">
        <v>81</v>
      </c>
      <c r="K1152" t="str">
        <f>"6298548"</f>
        <v>6298548</v>
      </c>
    </row>
    <row r="1153" spans="1:11" x14ac:dyDescent="0.25">
      <c r="A1153">
        <v>2021</v>
      </c>
      <c r="B1153" t="s">
        <v>6862</v>
      </c>
      <c r="C1153" t="s">
        <v>6861</v>
      </c>
      <c r="D1153" t="s">
        <v>50</v>
      </c>
      <c r="E1153" t="s">
        <v>20</v>
      </c>
      <c r="F1153" t="str">
        <f>"43560"</f>
        <v>43560</v>
      </c>
      <c r="G1153" t="str">
        <f>"Je061721"</f>
        <v>Je061721</v>
      </c>
      <c r="H1153" s="2">
        <f>36.98</f>
        <v>36.979999999999997</v>
      </c>
      <c r="I1153" t="s">
        <v>15</v>
      </c>
      <c r="J1153" t="s">
        <v>137</v>
      </c>
      <c r="K1153" t="str">
        <f>"60000657"</f>
        <v>60000657</v>
      </c>
    </row>
    <row r="1154" spans="1:11" x14ac:dyDescent="0.25">
      <c r="A1154">
        <v>2021</v>
      </c>
      <c r="B1154" t="s">
        <v>6863</v>
      </c>
      <c r="C1154" t="s">
        <v>6864</v>
      </c>
      <c r="D1154" t="s">
        <v>64</v>
      </c>
      <c r="E1154" t="s">
        <v>20</v>
      </c>
      <c r="F1154" t="str">
        <f>"43566-9706"</f>
        <v>43566-9706</v>
      </c>
      <c r="G1154" t="str">
        <f>"402019"</f>
        <v>402019</v>
      </c>
      <c r="H1154" s="2">
        <f>10</f>
        <v>10</v>
      </c>
      <c r="I1154" t="s">
        <v>27</v>
      </c>
      <c r="J1154" t="s">
        <v>42</v>
      </c>
      <c r="K1154" t="str">
        <f>"115100"</f>
        <v>115100</v>
      </c>
    </row>
    <row r="1155" spans="1:11" x14ac:dyDescent="0.25">
      <c r="A1155">
        <v>2021</v>
      </c>
      <c r="B1155" t="s">
        <v>6867</v>
      </c>
      <c r="C1155" t="s">
        <v>6868</v>
      </c>
      <c r="D1155" t="s">
        <v>6869</v>
      </c>
      <c r="E1155" t="s">
        <v>20</v>
      </c>
      <c r="F1155" t="str">
        <f>"45066"</f>
        <v>45066</v>
      </c>
      <c r="G1155" t="str">
        <f>"Je110321"</f>
        <v>Je110321</v>
      </c>
      <c r="H1155" s="2">
        <f>184.68</f>
        <v>184.68</v>
      </c>
      <c r="I1155" t="s">
        <v>15</v>
      </c>
      <c r="J1155" t="s">
        <v>596</v>
      </c>
      <c r="K1155" t="str">
        <f>"60017732"</f>
        <v>60017732</v>
      </c>
    </row>
    <row r="1156" spans="1:11" x14ac:dyDescent="0.25">
      <c r="A1156">
        <v>2021</v>
      </c>
      <c r="B1156" t="s">
        <v>6874</v>
      </c>
      <c r="C1156" t="s">
        <v>6875</v>
      </c>
      <c r="D1156" t="s">
        <v>19</v>
      </c>
      <c r="E1156" t="s">
        <v>20</v>
      </c>
      <c r="F1156" t="str">
        <f>"43604"</f>
        <v>43604</v>
      </c>
      <c r="G1156" t="str">
        <f>"Pio448069"</f>
        <v>Pio448069</v>
      </c>
      <c r="H1156" s="2">
        <f>393.03</f>
        <v>393.03</v>
      </c>
      <c r="I1156" t="s">
        <v>86</v>
      </c>
      <c r="J1156" t="s">
        <v>87</v>
      </c>
      <c r="K1156" t="str">
        <f>"0"</f>
        <v>0</v>
      </c>
    </row>
    <row r="1157" spans="1:11" x14ac:dyDescent="0.25">
      <c r="A1157">
        <v>2021</v>
      </c>
      <c r="B1157" t="s">
        <v>6880</v>
      </c>
      <c r="C1157" t="s">
        <v>6879</v>
      </c>
      <c r="D1157" t="s">
        <v>19</v>
      </c>
      <c r="E1157" t="s">
        <v>20</v>
      </c>
      <c r="F1157" t="str">
        <f>"43604"</f>
        <v>43604</v>
      </c>
      <c r="G1157" t="str">
        <f>"402018"</f>
        <v>402018</v>
      </c>
      <c r="H1157" s="2">
        <f>9.08</f>
        <v>9.08</v>
      </c>
      <c r="I1157" t="s">
        <v>27</v>
      </c>
      <c r="J1157" t="s">
        <v>171</v>
      </c>
      <c r="K1157" t="str">
        <f>"517666"</f>
        <v>517666</v>
      </c>
    </row>
    <row r="1158" spans="1:11" x14ac:dyDescent="0.25">
      <c r="A1158">
        <v>2021</v>
      </c>
      <c r="B1158" t="s">
        <v>6882</v>
      </c>
      <c r="C1158" t="s">
        <v>6879</v>
      </c>
      <c r="D1158" t="s">
        <v>19</v>
      </c>
      <c r="E1158" t="s">
        <v>20</v>
      </c>
      <c r="F1158" t="str">
        <f>"43604"</f>
        <v>43604</v>
      </c>
      <c r="G1158" t="str">
        <f>"402018"</f>
        <v>402018</v>
      </c>
      <c r="H1158" s="2">
        <f>9.08</f>
        <v>9.08</v>
      </c>
      <c r="I1158" t="s">
        <v>27</v>
      </c>
      <c r="J1158" t="s">
        <v>171</v>
      </c>
      <c r="K1158" t="str">
        <f>"517667"</f>
        <v>517667</v>
      </c>
    </row>
    <row r="1159" spans="1:11" x14ac:dyDescent="0.25">
      <c r="A1159">
        <v>2021</v>
      </c>
      <c r="B1159" t="s">
        <v>6887</v>
      </c>
      <c r="C1159" t="s">
        <v>6888</v>
      </c>
      <c r="D1159" t="s">
        <v>19</v>
      </c>
      <c r="E1159" t="s">
        <v>20</v>
      </c>
      <c r="F1159" t="str">
        <f>"43615"</f>
        <v>43615</v>
      </c>
      <c r="G1159" t="str">
        <f>"402018"</f>
        <v>402018</v>
      </c>
      <c r="H1159" s="2">
        <f>120.6</f>
        <v>120.6</v>
      </c>
      <c r="I1159" t="s">
        <v>27</v>
      </c>
      <c r="J1159" t="s">
        <v>171</v>
      </c>
      <c r="K1159" t="str">
        <f>"516417"</f>
        <v>516417</v>
      </c>
    </row>
    <row r="1160" spans="1:11" x14ac:dyDescent="0.25">
      <c r="A1160">
        <v>2021</v>
      </c>
      <c r="B1160" t="s">
        <v>6889</v>
      </c>
      <c r="C1160" t="s">
        <v>6890</v>
      </c>
      <c r="D1160" t="s">
        <v>19</v>
      </c>
      <c r="E1160" t="s">
        <v>20</v>
      </c>
      <c r="F1160" t="str">
        <f>"43623"</f>
        <v>43623</v>
      </c>
      <c r="G1160" t="str">
        <f>"Pio448069"</f>
        <v>Pio448069</v>
      </c>
      <c r="H1160" s="2">
        <f>20</f>
        <v>20</v>
      </c>
      <c r="I1160" t="s">
        <v>86</v>
      </c>
      <c r="J1160" t="s">
        <v>87</v>
      </c>
      <c r="K1160" t="str">
        <f>"0"</f>
        <v>0</v>
      </c>
    </row>
    <row r="1161" spans="1:11" x14ac:dyDescent="0.25">
      <c r="A1161">
        <v>2021</v>
      </c>
      <c r="B1161" t="s">
        <v>6891</v>
      </c>
      <c r="C1161" t="s">
        <v>6892</v>
      </c>
      <c r="D1161" t="s">
        <v>120</v>
      </c>
      <c r="E1161" t="s">
        <v>20</v>
      </c>
      <c r="F1161" t="str">
        <f>"43522"</f>
        <v>43522</v>
      </c>
      <c r="G1161" t="str">
        <f>"402063"</f>
        <v>402063</v>
      </c>
      <c r="H1161" s="2">
        <f>2</f>
        <v>2</v>
      </c>
      <c r="I1161" t="s">
        <v>27</v>
      </c>
      <c r="J1161" t="s">
        <v>71</v>
      </c>
      <c r="K1161" t="str">
        <f>"33007572"</f>
        <v>33007572</v>
      </c>
    </row>
    <row r="1162" spans="1:11" x14ac:dyDescent="0.25">
      <c r="A1162">
        <v>2021</v>
      </c>
      <c r="B1162" t="s">
        <v>6895</v>
      </c>
      <c r="C1162" t="s">
        <v>6896</v>
      </c>
      <c r="D1162" t="s">
        <v>6897</v>
      </c>
      <c r="E1162" t="s">
        <v>20</v>
      </c>
      <c r="F1162" t="str">
        <f>"43351"</f>
        <v>43351</v>
      </c>
      <c r="G1162" t="str">
        <f>"Pio448069"</f>
        <v>Pio448069</v>
      </c>
      <c r="H1162" s="2">
        <f>0.01</f>
        <v>0.01</v>
      </c>
      <c r="I1162" t="s">
        <v>86</v>
      </c>
      <c r="J1162" t="s">
        <v>87</v>
      </c>
      <c r="K1162" t="str">
        <f>"0"</f>
        <v>0</v>
      </c>
    </row>
    <row r="1163" spans="1:11" x14ac:dyDescent="0.25">
      <c r="A1163">
        <v>2021</v>
      </c>
      <c r="B1163" t="s">
        <v>6900</v>
      </c>
      <c r="C1163" t="s">
        <v>6901</v>
      </c>
      <c r="D1163" t="s">
        <v>19</v>
      </c>
      <c r="E1163" t="s">
        <v>20</v>
      </c>
      <c r="F1163" t="str">
        <f>"43614"</f>
        <v>43614</v>
      </c>
      <c r="G1163" t="str">
        <f>"Swucf4621"</f>
        <v>Swucf4621</v>
      </c>
      <c r="H1163" s="2">
        <f>28.88</f>
        <v>28.88</v>
      </c>
      <c r="I1163" t="s">
        <v>15</v>
      </c>
      <c r="J1163" t="s">
        <v>81</v>
      </c>
      <c r="K1163" t="str">
        <f>"6297528"</f>
        <v>6297528</v>
      </c>
    </row>
    <row r="1164" spans="1:11" x14ac:dyDescent="0.25">
      <c r="A1164">
        <v>2021</v>
      </c>
      <c r="B1164" t="s">
        <v>6904</v>
      </c>
      <c r="C1164" t="s">
        <v>6905</v>
      </c>
      <c r="D1164" t="s">
        <v>64</v>
      </c>
      <c r="E1164" t="s">
        <v>20</v>
      </c>
      <c r="F1164" t="str">
        <f>"43566"</f>
        <v>43566</v>
      </c>
      <c r="G1164" t="str">
        <f>"402018"</f>
        <v>402018</v>
      </c>
      <c r="H1164" s="2">
        <f>9.08</f>
        <v>9.08</v>
      </c>
      <c r="I1164" t="s">
        <v>27</v>
      </c>
      <c r="J1164" t="s">
        <v>171</v>
      </c>
      <c r="K1164" t="str">
        <f>"517668"</f>
        <v>517668</v>
      </c>
    </row>
    <row r="1165" spans="1:11" x14ac:dyDescent="0.25">
      <c r="A1165">
        <v>2021</v>
      </c>
      <c r="B1165" t="s">
        <v>6908</v>
      </c>
      <c r="C1165" t="s">
        <v>6909</v>
      </c>
      <c r="D1165" t="s">
        <v>19</v>
      </c>
      <c r="E1165" t="s">
        <v>20</v>
      </c>
      <c r="F1165" t="str">
        <f>"43611"</f>
        <v>43611</v>
      </c>
      <c r="G1165" t="str">
        <f>"Pio448069"</f>
        <v>Pio448069</v>
      </c>
      <c r="H1165" s="2">
        <f>0.1</f>
        <v>0.1</v>
      </c>
      <c r="I1165" t="s">
        <v>86</v>
      </c>
      <c r="J1165" t="s">
        <v>87</v>
      </c>
      <c r="K1165" t="str">
        <f>"0"</f>
        <v>0</v>
      </c>
    </row>
    <row r="1166" spans="1:11" x14ac:dyDescent="0.25">
      <c r="A1166">
        <v>2021</v>
      </c>
      <c r="B1166" t="s">
        <v>6912</v>
      </c>
      <c r="C1166" t="s">
        <v>6913</v>
      </c>
      <c r="D1166" t="s">
        <v>323</v>
      </c>
      <c r="E1166" t="s">
        <v>20</v>
      </c>
      <c r="F1166" t="str">
        <f>"43571-9018"</f>
        <v>43571-9018</v>
      </c>
      <c r="G1166" t="str">
        <f>"402019"</f>
        <v>402019</v>
      </c>
      <c r="H1166" s="2">
        <f>10</f>
        <v>10</v>
      </c>
      <c r="I1166" t="s">
        <v>27</v>
      </c>
      <c r="J1166" t="s">
        <v>42</v>
      </c>
      <c r="K1166" t="str">
        <f>"114824"</f>
        <v>114824</v>
      </c>
    </row>
    <row r="1167" spans="1:11" x14ac:dyDescent="0.25">
      <c r="A1167">
        <v>2021</v>
      </c>
      <c r="B1167" t="s">
        <v>6918</v>
      </c>
      <c r="C1167" t="s">
        <v>6919</v>
      </c>
      <c r="D1167" t="s">
        <v>6920</v>
      </c>
      <c r="E1167" t="s">
        <v>14</v>
      </c>
      <c r="F1167" t="str">
        <f>"49270"</f>
        <v>49270</v>
      </c>
      <c r="G1167" t="str">
        <f>"402018"</f>
        <v>402018</v>
      </c>
      <c r="H1167" s="2">
        <f>9.08</f>
        <v>9.08</v>
      </c>
      <c r="I1167" t="s">
        <v>27</v>
      </c>
      <c r="J1167" t="s">
        <v>171</v>
      </c>
      <c r="K1167" t="str">
        <f>"517669"</f>
        <v>517669</v>
      </c>
    </row>
    <row r="1168" spans="1:11" x14ac:dyDescent="0.25">
      <c r="A1168">
        <v>2021</v>
      </c>
      <c r="B1168" t="s">
        <v>6924</v>
      </c>
      <c r="C1168" t="s">
        <v>6080</v>
      </c>
      <c r="D1168" t="s">
        <v>19</v>
      </c>
      <c r="E1168" t="s">
        <v>20</v>
      </c>
      <c r="F1168" t="str">
        <f>"43605"</f>
        <v>43605</v>
      </c>
      <c r="G1168" t="str">
        <f>"Pio448069"</f>
        <v>Pio448069</v>
      </c>
      <c r="H1168" s="2">
        <f>1</f>
        <v>1</v>
      </c>
      <c r="I1168" t="s">
        <v>86</v>
      </c>
      <c r="J1168" t="s">
        <v>87</v>
      </c>
      <c r="K1168" t="str">
        <f>"0"</f>
        <v>0</v>
      </c>
    </row>
    <row r="1169" spans="1:11" x14ac:dyDescent="0.25">
      <c r="A1169">
        <v>2021</v>
      </c>
      <c r="B1169" t="s">
        <v>6925</v>
      </c>
      <c r="C1169" t="s">
        <v>6926</v>
      </c>
      <c r="D1169" t="s">
        <v>19</v>
      </c>
      <c r="E1169" t="s">
        <v>20</v>
      </c>
      <c r="F1169" t="str">
        <f>"43604"</f>
        <v>43604</v>
      </c>
      <c r="G1169" t="str">
        <f>"402017"</f>
        <v>402017</v>
      </c>
      <c r="H1169" s="2">
        <f>14</f>
        <v>14</v>
      </c>
      <c r="I1169" t="s">
        <v>27</v>
      </c>
      <c r="J1169" t="s">
        <v>212</v>
      </c>
      <c r="K1169" t="str">
        <f>"32781"</f>
        <v>32781</v>
      </c>
    </row>
    <row r="1170" spans="1:11" x14ac:dyDescent="0.25">
      <c r="A1170">
        <v>2021</v>
      </c>
      <c r="B1170" t="s">
        <v>6927</v>
      </c>
      <c r="C1170" t="s">
        <v>6928</v>
      </c>
      <c r="D1170" t="s">
        <v>19</v>
      </c>
      <c r="E1170" t="s">
        <v>20</v>
      </c>
      <c r="F1170" t="str">
        <f>"43606"</f>
        <v>43606</v>
      </c>
      <c r="G1170" t="str">
        <f>"Pio448069"</f>
        <v>Pio448069</v>
      </c>
      <c r="H1170" s="2">
        <f>5</f>
        <v>5</v>
      </c>
      <c r="I1170" t="s">
        <v>86</v>
      </c>
      <c r="J1170" t="s">
        <v>87</v>
      </c>
      <c r="K1170" t="str">
        <f>"0"</f>
        <v>0</v>
      </c>
    </row>
    <row r="1171" spans="1:11" x14ac:dyDescent="0.25">
      <c r="A1171">
        <v>2021</v>
      </c>
      <c r="B1171" t="s">
        <v>6933</v>
      </c>
      <c r="C1171" t="s">
        <v>6934</v>
      </c>
      <c r="D1171" t="s">
        <v>64</v>
      </c>
      <c r="E1171" t="s">
        <v>20</v>
      </c>
      <c r="F1171" t="str">
        <f>"43566"</f>
        <v>43566</v>
      </c>
      <c r="G1171" t="str">
        <f>"Je092221"</f>
        <v>Je092221</v>
      </c>
      <c r="H1171" s="2">
        <f>35</f>
        <v>35</v>
      </c>
      <c r="I1171" t="s">
        <v>15</v>
      </c>
      <c r="J1171" t="s">
        <v>114</v>
      </c>
      <c r="K1171" t="str">
        <f>"60011187"</f>
        <v>60011187</v>
      </c>
    </row>
    <row r="1172" spans="1:11" x14ac:dyDescent="0.25">
      <c r="A1172">
        <v>2021</v>
      </c>
      <c r="B1172" t="s">
        <v>6941</v>
      </c>
      <c r="C1172" t="s">
        <v>6942</v>
      </c>
      <c r="D1172" t="s">
        <v>19</v>
      </c>
      <c r="E1172" t="s">
        <v>20</v>
      </c>
      <c r="F1172" t="str">
        <f>"43613-3709"</f>
        <v>43613-3709</v>
      </c>
      <c r="G1172" t="str">
        <f>"402019"</f>
        <v>402019</v>
      </c>
      <c r="H1172" s="2">
        <f>10</f>
        <v>10</v>
      </c>
      <c r="I1172" t="s">
        <v>27</v>
      </c>
      <c r="J1172" t="s">
        <v>42</v>
      </c>
      <c r="K1172" t="str">
        <f>"115858"</f>
        <v>115858</v>
      </c>
    </row>
    <row r="1173" spans="1:11" x14ac:dyDescent="0.25">
      <c r="A1173">
        <v>2021</v>
      </c>
      <c r="B1173" t="s">
        <v>6955</v>
      </c>
      <c r="C1173" t="s">
        <v>6956</v>
      </c>
      <c r="D1173" t="s">
        <v>323</v>
      </c>
      <c r="E1173" t="s">
        <v>20</v>
      </c>
      <c r="F1173" t="str">
        <f>"43571-9102"</f>
        <v>43571-9102</v>
      </c>
      <c r="G1173" t="str">
        <f>"402019"</f>
        <v>402019</v>
      </c>
      <c r="H1173" s="2">
        <f>10</f>
        <v>10</v>
      </c>
      <c r="I1173" t="s">
        <v>27</v>
      </c>
      <c r="J1173" t="s">
        <v>42</v>
      </c>
      <c r="K1173" t="str">
        <f>"115041"</f>
        <v>115041</v>
      </c>
    </row>
    <row r="1174" spans="1:11" x14ac:dyDescent="0.25">
      <c r="A1174">
        <v>2021</v>
      </c>
      <c r="B1174" t="s">
        <v>6963</v>
      </c>
      <c r="C1174" t="s">
        <v>6964</v>
      </c>
      <c r="D1174" t="s">
        <v>6965</v>
      </c>
      <c r="E1174" t="s">
        <v>6966</v>
      </c>
      <c r="F1174" t="str">
        <f>"83323"</f>
        <v>83323</v>
      </c>
      <c r="G1174" t="str">
        <f>"Je110321"</f>
        <v>Je110321</v>
      </c>
      <c r="H1174" s="2">
        <f>307.8</f>
        <v>307.8</v>
      </c>
      <c r="I1174" t="s">
        <v>15</v>
      </c>
      <c r="J1174" t="s">
        <v>596</v>
      </c>
      <c r="K1174" t="str">
        <f>"60017739"</f>
        <v>60017739</v>
      </c>
    </row>
    <row r="1175" spans="1:11" x14ac:dyDescent="0.25">
      <c r="A1175">
        <v>2021</v>
      </c>
      <c r="B1175" t="s">
        <v>6967</v>
      </c>
      <c r="C1175" t="s">
        <v>6968</v>
      </c>
      <c r="D1175" t="s">
        <v>19</v>
      </c>
      <c r="E1175" t="s">
        <v>20</v>
      </c>
      <c r="F1175" t="str">
        <f>"43611"</f>
        <v>43611</v>
      </c>
      <c r="G1175" t="str">
        <f>"Je061721"</f>
        <v>Je061721</v>
      </c>
      <c r="H1175" s="2">
        <f>26</f>
        <v>26</v>
      </c>
      <c r="I1175" t="s">
        <v>15</v>
      </c>
      <c r="J1175" t="s">
        <v>137</v>
      </c>
      <c r="K1175" t="str">
        <f>"60001560"</f>
        <v>60001560</v>
      </c>
    </row>
    <row r="1176" spans="1:11" x14ac:dyDescent="0.25">
      <c r="A1176">
        <v>2021</v>
      </c>
      <c r="B1176" t="s">
        <v>6969</v>
      </c>
      <c r="C1176" t="s">
        <v>6970</v>
      </c>
      <c r="D1176" t="s">
        <v>19</v>
      </c>
      <c r="E1176" t="s">
        <v>20</v>
      </c>
      <c r="F1176" t="str">
        <f>"43614-5248"</f>
        <v>43614-5248</v>
      </c>
      <c r="G1176" t="str">
        <f>"402019"</f>
        <v>402019</v>
      </c>
      <c r="H1176" s="2">
        <f>20</f>
        <v>20</v>
      </c>
      <c r="I1176" t="s">
        <v>27</v>
      </c>
      <c r="J1176" t="s">
        <v>42</v>
      </c>
      <c r="K1176" t="str">
        <f>"113392"</f>
        <v>113392</v>
      </c>
    </row>
    <row r="1177" spans="1:11" x14ac:dyDescent="0.25">
      <c r="A1177">
        <v>2021</v>
      </c>
      <c r="B1177" t="s">
        <v>6974</v>
      </c>
      <c r="C1177" t="s">
        <v>6975</v>
      </c>
      <c r="D1177" t="s">
        <v>19</v>
      </c>
      <c r="E1177" t="s">
        <v>20</v>
      </c>
      <c r="F1177" t="str">
        <f>"43623-1566"</f>
        <v>43623-1566</v>
      </c>
      <c r="G1177" t="str">
        <f>"402019"</f>
        <v>402019</v>
      </c>
      <c r="H1177" s="2">
        <f>10</f>
        <v>10</v>
      </c>
      <c r="I1177" t="s">
        <v>27</v>
      </c>
      <c r="J1177" t="s">
        <v>42</v>
      </c>
      <c r="K1177" t="str">
        <f>"111535"</f>
        <v>111535</v>
      </c>
    </row>
    <row r="1178" spans="1:11" x14ac:dyDescent="0.25">
      <c r="A1178">
        <v>2021</v>
      </c>
      <c r="B1178" t="s">
        <v>6980</v>
      </c>
      <c r="C1178" t="s">
        <v>6981</v>
      </c>
      <c r="D1178" t="s">
        <v>323</v>
      </c>
      <c r="E1178" t="s">
        <v>20</v>
      </c>
      <c r="F1178" t="str">
        <f>"43571"</f>
        <v>43571</v>
      </c>
      <c r="G1178" t="str">
        <f>"Pio448069"</f>
        <v>Pio448069</v>
      </c>
      <c r="H1178" s="2">
        <f>0.63</f>
        <v>0.63</v>
      </c>
      <c r="I1178" t="s">
        <v>86</v>
      </c>
      <c r="J1178" t="s">
        <v>87</v>
      </c>
      <c r="K1178" t="str">
        <f>"0"</f>
        <v>0</v>
      </c>
    </row>
    <row r="1179" spans="1:11" x14ac:dyDescent="0.25">
      <c r="A1179">
        <v>2021</v>
      </c>
      <c r="B1179" t="s">
        <v>6988</v>
      </c>
      <c r="C1179" t="s">
        <v>6989</v>
      </c>
      <c r="D1179" t="s">
        <v>19</v>
      </c>
      <c r="E1179" t="s">
        <v>20</v>
      </c>
      <c r="F1179" t="str">
        <f>"43613-3114"</f>
        <v>43613-3114</v>
      </c>
      <c r="G1179" t="str">
        <f>"402019"</f>
        <v>402019</v>
      </c>
      <c r="H1179" s="2">
        <f>10</f>
        <v>10</v>
      </c>
      <c r="I1179" t="s">
        <v>27</v>
      </c>
      <c r="J1179" t="s">
        <v>42</v>
      </c>
      <c r="K1179" t="str">
        <f>"114787"</f>
        <v>114787</v>
      </c>
    </row>
    <row r="1180" spans="1:11" x14ac:dyDescent="0.25">
      <c r="A1180">
        <v>2021</v>
      </c>
      <c r="B1180" t="s">
        <v>6997</v>
      </c>
      <c r="C1180" t="s">
        <v>6998</v>
      </c>
      <c r="D1180" t="s">
        <v>58</v>
      </c>
      <c r="E1180" t="s">
        <v>20</v>
      </c>
      <c r="F1180" t="str">
        <f>"43616-3411"</f>
        <v>43616-3411</v>
      </c>
      <c r="G1180" t="str">
        <f>"402019"</f>
        <v>402019</v>
      </c>
      <c r="H1180" s="2">
        <f>40</f>
        <v>40</v>
      </c>
      <c r="I1180" t="s">
        <v>27</v>
      </c>
      <c r="J1180" t="s">
        <v>42</v>
      </c>
      <c r="K1180" t="str">
        <f>"115400"</f>
        <v>115400</v>
      </c>
    </row>
    <row r="1181" spans="1:11" x14ac:dyDescent="0.25">
      <c r="A1181">
        <v>2021</v>
      </c>
      <c r="B1181" t="s">
        <v>7008</v>
      </c>
      <c r="C1181" t="s">
        <v>7009</v>
      </c>
      <c r="D1181" t="s">
        <v>125</v>
      </c>
      <c r="E1181" t="s">
        <v>20</v>
      </c>
      <c r="F1181" t="str">
        <f>"43537"</f>
        <v>43537</v>
      </c>
      <c r="G1181" t="str">
        <f>"Pio448069"</f>
        <v>Pio448069</v>
      </c>
      <c r="H1181" s="2">
        <f>2.44</f>
        <v>2.44</v>
      </c>
      <c r="I1181" t="s">
        <v>86</v>
      </c>
      <c r="J1181" t="s">
        <v>87</v>
      </c>
      <c r="K1181" t="str">
        <f>"0"</f>
        <v>0</v>
      </c>
    </row>
    <row r="1182" spans="1:11" x14ac:dyDescent="0.25">
      <c r="A1182">
        <v>2021</v>
      </c>
      <c r="B1182" t="s">
        <v>7030</v>
      </c>
      <c r="C1182" t="s">
        <v>7031</v>
      </c>
      <c r="D1182" t="s">
        <v>125</v>
      </c>
      <c r="E1182" t="s">
        <v>20</v>
      </c>
      <c r="F1182" t="str">
        <f>"43537-9724"</f>
        <v>43537-9724</v>
      </c>
      <c r="G1182" t="str">
        <f>"402019"</f>
        <v>402019</v>
      </c>
      <c r="H1182" s="2">
        <f>10</f>
        <v>10</v>
      </c>
      <c r="I1182" t="s">
        <v>27</v>
      </c>
      <c r="J1182" t="s">
        <v>42</v>
      </c>
      <c r="K1182" t="str">
        <f>"113908"</f>
        <v>113908</v>
      </c>
    </row>
    <row r="1183" spans="1:11" x14ac:dyDescent="0.25">
      <c r="A1183">
        <v>2021</v>
      </c>
      <c r="B1183" t="s">
        <v>7034</v>
      </c>
      <c r="C1183" t="s">
        <v>7035</v>
      </c>
      <c r="D1183" t="s">
        <v>19</v>
      </c>
      <c r="E1183" t="s">
        <v>20</v>
      </c>
      <c r="F1183" t="str">
        <f>"43614-5318"</f>
        <v>43614-5318</v>
      </c>
      <c r="G1183" t="str">
        <f>"402019"</f>
        <v>402019</v>
      </c>
      <c r="H1183" s="2">
        <f>10</f>
        <v>10</v>
      </c>
      <c r="I1183" t="s">
        <v>27</v>
      </c>
      <c r="J1183" t="s">
        <v>42</v>
      </c>
      <c r="K1183" t="str">
        <f>"112109"</f>
        <v>112109</v>
      </c>
    </row>
    <row r="1184" spans="1:11" x14ac:dyDescent="0.25">
      <c r="A1184">
        <v>2021</v>
      </c>
      <c r="B1184" t="s">
        <v>7036</v>
      </c>
      <c r="C1184" t="s">
        <v>7037</v>
      </c>
      <c r="D1184" t="s">
        <v>19</v>
      </c>
      <c r="E1184" t="s">
        <v>20</v>
      </c>
      <c r="F1184" t="str">
        <f>"43623-3551"</f>
        <v>43623-3551</v>
      </c>
      <c r="G1184" t="str">
        <f>"402019"</f>
        <v>402019</v>
      </c>
      <c r="H1184" s="2">
        <f>10</f>
        <v>10</v>
      </c>
      <c r="I1184" t="s">
        <v>27</v>
      </c>
      <c r="J1184" t="s">
        <v>42</v>
      </c>
      <c r="K1184" t="str">
        <f>"115190"</f>
        <v>115190</v>
      </c>
    </row>
    <row r="1185" spans="1:11" x14ac:dyDescent="0.25">
      <c r="A1185">
        <v>2021</v>
      </c>
      <c r="B1185" t="s">
        <v>7052</v>
      </c>
      <c r="C1185" t="s">
        <v>7053</v>
      </c>
      <c r="D1185" t="s">
        <v>19</v>
      </c>
      <c r="E1185" t="s">
        <v>20</v>
      </c>
      <c r="F1185" t="str">
        <f>"43615-1159"</f>
        <v>43615-1159</v>
      </c>
      <c r="G1185" t="str">
        <f>"402019"</f>
        <v>402019</v>
      </c>
      <c r="H1185" s="2">
        <f>10</f>
        <v>10</v>
      </c>
      <c r="I1185" t="s">
        <v>27</v>
      </c>
      <c r="J1185" t="s">
        <v>42</v>
      </c>
      <c r="K1185" t="str">
        <f>"112781"</f>
        <v>112781</v>
      </c>
    </row>
    <row r="1186" spans="1:11" x14ac:dyDescent="0.25">
      <c r="A1186">
        <v>2021</v>
      </c>
      <c r="B1186" t="s">
        <v>7054</v>
      </c>
      <c r="C1186" t="s">
        <v>7055</v>
      </c>
      <c r="D1186" t="s">
        <v>19</v>
      </c>
      <c r="E1186" t="s">
        <v>20</v>
      </c>
      <c r="F1186" t="str">
        <f>"43610"</f>
        <v>43610</v>
      </c>
      <c r="G1186" t="str">
        <f>"Pio448069"</f>
        <v>Pio448069</v>
      </c>
      <c r="H1186" s="2">
        <f>20.51</f>
        <v>20.51</v>
      </c>
      <c r="I1186" t="s">
        <v>86</v>
      </c>
      <c r="J1186" t="s">
        <v>87</v>
      </c>
      <c r="K1186" t="str">
        <f>"0"</f>
        <v>0</v>
      </c>
    </row>
    <row r="1187" spans="1:11" x14ac:dyDescent="0.25">
      <c r="A1187">
        <v>2021</v>
      </c>
      <c r="B1187" t="s">
        <v>7060</v>
      </c>
      <c r="C1187" t="s">
        <v>7061</v>
      </c>
      <c r="D1187" t="s">
        <v>19</v>
      </c>
      <c r="E1187" t="s">
        <v>20</v>
      </c>
      <c r="F1187" t="str">
        <f>"43607"</f>
        <v>43607</v>
      </c>
      <c r="G1187" t="str">
        <f>"Swucf4621"</f>
        <v>Swucf4621</v>
      </c>
      <c r="H1187" s="2">
        <f>31.42</f>
        <v>31.42</v>
      </c>
      <c r="I1187" t="s">
        <v>15</v>
      </c>
      <c r="J1187" t="s">
        <v>81</v>
      </c>
      <c r="K1187" t="str">
        <f>"6291638"</f>
        <v>6291638</v>
      </c>
    </row>
    <row r="1188" spans="1:11" x14ac:dyDescent="0.25">
      <c r="A1188">
        <v>2021</v>
      </c>
      <c r="B1188" t="s">
        <v>7062</v>
      </c>
      <c r="C1188" t="s">
        <v>7063</v>
      </c>
      <c r="D1188" t="s">
        <v>19</v>
      </c>
      <c r="E1188" t="s">
        <v>20</v>
      </c>
      <c r="F1188" t="str">
        <f>"43613"</f>
        <v>43613</v>
      </c>
      <c r="G1188" t="str">
        <f>"Pio448069"</f>
        <v>Pio448069</v>
      </c>
      <c r="H1188" s="2">
        <f>1</f>
        <v>1</v>
      </c>
      <c r="I1188" t="s">
        <v>86</v>
      </c>
      <c r="J1188" t="s">
        <v>87</v>
      </c>
      <c r="K1188" t="str">
        <f>"0"</f>
        <v>0</v>
      </c>
    </row>
    <row r="1189" spans="1:11" x14ac:dyDescent="0.25">
      <c r="A1189">
        <v>2021</v>
      </c>
      <c r="B1189" t="s">
        <v>7082</v>
      </c>
      <c r="C1189" t="s">
        <v>7083</v>
      </c>
      <c r="D1189" t="s">
        <v>19</v>
      </c>
      <c r="E1189" t="s">
        <v>20</v>
      </c>
      <c r="F1189" t="str">
        <f>"43614"</f>
        <v>43614</v>
      </c>
      <c r="G1189" t="str">
        <f>"Je092221"</f>
        <v>Je092221</v>
      </c>
      <c r="H1189" s="2">
        <f>35</f>
        <v>35</v>
      </c>
      <c r="I1189" t="s">
        <v>15</v>
      </c>
      <c r="J1189" t="s">
        <v>114</v>
      </c>
      <c r="K1189" t="str">
        <f>"60011188"</f>
        <v>60011188</v>
      </c>
    </row>
    <row r="1190" spans="1:11" x14ac:dyDescent="0.25">
      <c r="A1190">
        <v>2021</v>
      </c>
      <c r="B1190" t="s">
        <v>7092</v>
      </c>
      <c r="C1190" t="s">
        <v>7093</v>
      </c>
      <c r="F1190" t="str">
        <f>""</f>
        <v/>
      </c>
      <c r="G1190" t="str">
        <f>"Swucf4621"</f>
        <v>Swucf4621</v>
      </c>
      <c r="H1190" s="2">
        <f>156.83</f>
        <v>156.83000000000001</v>
      </c>
      <c r="I1190" t="s">
        <v>15</v>
      </c>
      <c r="J1190" t="s">
        <v>81</v>
      </c>
      <c r="K1190" t="str">
        <f>"6288447"</f>
        <v>6288447</v>
      </c>
    </row>
    <row r="1191" spans="1:11" x14ac:dyDescent="0.25">
      <c r="A1191">
        <v>2021</v>
      </c>
      <c r="B1191" t="s">
        <v>7118</v>
      </c>
      <c r="C1191" t="s">
        <v>7119</v>
      </c>
      <c r="D1191" t="s">
        <v>105</v>
      </c>
      <c r="E1191" t="s">
        <v>20</v>
      </c>
      <c r="F1191" t="str">
        <f>"43528-9458"</f>
        <v>43528-9458</v>
      </c>
      <c r="G1191" t="str">
        <f t="shared" ref="G1191:G1197" si="36">"402019"</f>
        <v>402019</v>
      </c>
      <c r="H1191" s="2">
        <f>10</f>
        <v>10</v>
      </c>
      <c r="I1191" t="s">
        <v>27</v>
      </c>
      <c r="J1191" t="s">
        <v>42</v>
      </c>
      <c r="K1191" t="str">
        <f>"114338"</f>
        <v>114338</v>
      </c>
    </row>
    <row r="1192" spans="1:11" x14ac:dyDescent="0.25">
      <c r="A1192">
        <v>2021</v>
      </c>
      <c r="B1192" t="s">
        <v>7132</v>
      </c>
      <c r="C1192" t="s">
        <v>7133</v>
      </c>
      <c r="D1192" t="s">
        <v>19</v>
      </c>
      <c r="E1192" t="s">
        <v>20</v>
      </c>
      <c r="F1192" t="str">
        <f>"43607-2243"</f>
        <v>43607-2243</v>
      </c>
      <c r="G1192" t="str">
        <f t="shared" si="36"/>
        <v>402019</v>
      </c>
      <c r="H1192" s="2">
        <f>20</f>
        <v>20</v>
      </c>
      <c r="I1192" t="s">
        <v>27</v>
      </c>
      <c r="J1192" t="s">
        <v>42</v>
      </c>
      <c r="K1192" t="str">
        <f>"111841"</f>
        <v>111841</v>
      </c>
    </row>
    <row r="1193" spans="1:11" x14ac:dyDescent="0.25">
      <c r="A1193">
        <v>2021</v>
      </c>
      <c r="B1193" t="s">
        <v>7154</v>
      </c>
      <c r="C1193" t="s">
        <v>7155</v>
      </c>
      <c r="D1193" t="s">
        <v>19</v>
      </c>
      <c r="E1193" t="s">
        <v>20</v>
      </c>
      <c r="F1193" t="str">
        <f>"43604-5910"</f>
        <v>43604-5910</v>
      </c>
      <c r="G1193" t="str">
        <f t="shared" si="36"/>
        <v>402019</v>
      </c>
      <c r="H1193" s="2">
        <f>10</f>
        <v>10</v>
      </c>
      <c r="I1193" t="s">
        <v>27</v>
      </c>
      <c r="J1193" t="s">
        <v>42</v>
      </c>
      <c r="K1193" t="str">
        <f>"112553"</f>
        <v>112553</v>
      </c>
    </row>
    <row r="1194" spans="1:11" x14ac:dyDescent="0.25">
      <c r="A1194">
        <v>2021</v>
      </c>
      <c r="B1194" t="s">
        <v>7156</v>
      </c>
      <c r="C1194" t="s">
        <v>7157</v>
      </c>
      <c r="D1194" t="s">
        <v>19</v>
      </c>
      <c r="E1194" t="s">
        <v>20</v>
      </c>
      <c r="F1194" t="str">
        <f>"43612-2034"</f>
        <v>43612-2034</v>
      </c>
      <c r="G1194" t="str">
        <f t="shared" si="36"/>
        <v>402019</v>
      </c>
      <c r="H1194" s="2">
        <f>20</f>
        <v>20</v>
      </c>
      <c r="I1194" t="s">
        <v>27</v>
      </c>
      <c r="J1194" t="s">
        <v>42</v>
      </c>
      <c r="K1194" t="str">
        <f>"115204"</f>
        <v>115204</v>
      </c>
    </row>
    <row r="1195" spans="1:11" x14ac:dyDescent="0.25">
      <c r="A1195">
        <v>2021</v>
      </c>
      <c r="B1195" t="s">
        <v>7158</v>
      </c>
      <c r="C1195" t="s">
        <v>7159</v>
      </c>
      <c r="D1195" t="s">
        <v>125</v>
      </c>
      <c r="E1195" t="s">
        <v>20</v>
      </c>
      <c r="F1195" t="str">
        <f>"43537-9424"</f>
        <v>43537-9424</v>
      </c>
      <c r="G1195" t="str">
        <f t="shared" si="36"/>
        <v>402019</v>
      </c>
      <c r="H1195" s="2">
        <f>10</f>
        <v>10</v>
      </c>
      <c r="I1195" t="s">
        <v>27</v>
      </c>
      <c r="J1195" t="s">
        <v>42</v>
      </c>
      <c r="K1195" t="str">
        <f>"111221"</f>
        <v>111221</v>
      </c>
    </row>
    <row r="1196" spans="1:11" x14ac:dyDescent="0.25">
      <c r="A1196">
        <v>2021</v>
      </c>
      <c r="B1196" t="s">
        <v>7164</v>
      </c>
      <c r="C1196" t="s">
        <v>7165</v>
      </c>
      <c r="D1196" t="s">
        <v>19</v>
      </c>
      <c r="E1196" t="s">
        <v>20</v>
      </c>
      <c r="F1196" t="str">
        <f>"43613-5429"</f>
        <v>43613-5429</v>
      </c>
      <c r="G1196" t="str">
        <f t="shared" si="36"/>
        <v>402019</v>
      </c>
      <c r="H1196" s="2">
        <f>10</f>
        <v>10</v>
      </c>
      <c r="I1196" t="s">
        <v>27</v>
      </c>
      <c r="J1196" t="s">
        <v>42</v>
      </c>
      <c r="K1196" t="str">
        <f>"114606"</f>
        <v>114606</v>
      </c>
    </row>
    <row r="1197" spans="1:11" x14ac:dyDescent="0.25">
      <c r="A1197">
        <v>2021</v>
      </c>
      <c r="B1197" t="s">
        <v>7175</v>
      </c>
      <c r="C1197" t="s">
        <v>7176</v>
      </c>
      <c r="D1197" t="s">
        <v>19</v>
      </c>
      <c r="E1197" t="s">
        <v>20</v>
      </c>
      <c r="F1197" t="str">
        <f>"43612-3617"</f>
        <v>43612-3617</v>
      </c>
      <c r="G1197" t="str">
        <f t="shared" si="36"/>
        <v>402019</v>
      </c>
      <c r="H1197" s="2">
        <f>20</f>
        <v>20</v>
      </c>
      <c r="I1197" t="s">
        <v>27</v>
      </c>
      <c r="J1197" t="s">
        <v>42</v>
      </c>
      <c r="K1197" t="str">
        <f>"113838"</f>
        <v>113838</v>
      </c>
    </row>
    <row r="1198" spans="1:11" x14ac:dyDescent="0.25">
      <c r="A1198">
        <v>2021</v>
      </c>
      <c r="B1198" t="s">
        <v>7186</v>
      </c>
      <c r="C1198" t="s">
        <v>7187</v>
      </c>
      <c r="D1198" t="s">
        <v>19</v>
      </c>
      <c r="E1198" t="s">
        <v>20</v>
      </c>
      <c r="F1198" t="str">
        <f>"43606-3130"</f>
        <v>43606-3130</v>
      </c>
      <c r="G1198" t="str">
        <f>"Swucf4621"</f>
        <v>Swucf4621</v>
      </c>
      <c r="H1198" s="2">
        <f>55.47</f>
        <v>55.47</v>
      </c>
      <c r="I1198" t="s">
        <v>15</v>
      </c>
      <c r="J1198" t="s">
        <v>81</v>
      </c>
      <c r="K1198" t="str">
        <f>"6296031"</f>
        <v>6296031</v>
      </c>
    </row>
    <row r="1199" spans="1:11" x14ac:dyDescent="0.25">
      <c r="A1199">
        <v>2021</v>
      </c>
      <c r="B1199" t="s">
        <v>7186</v>
      </c>
      <c r="C1199" t="s">
        <v>7187</v>
      </c>
      <c r="D1199" t="s">
        <v>19</v>
      </c>
      <c r="E1199" t="s">
        <v>20</v>
      </c>
      <c r="F1199" t="str">
        <f>"43606-3130"</f>
        <v>43606-3130</v>
      </c>
      <c r="G1199" t="str">
        <f>"Swucf4621"</f>
        <v>Swucf4621</v>
      </c>
      <c r="H1199" s="2">
        <f>55.47</f>
        <v>55.47</v>
      </c>
      <c r="I1199" t="s">
        <v>15</v>
      </c>
      <c r="J1199" t="s">
        <v>81</v>
      </c>
      <c r="K1199" t="str">
        <f>"6298577"</f>
        <v>6298577</v>
      </c>
    </row>
    <row r="1200" spans="1:11" x14ac:dyDescent="0.25">
      <c r="A1200">
        <v>2021</v>
      </c>
      <c r="B1200" t="s">
        <v>7183</v>
      </c>
      <c r="C1200" t="s">
        <v>7187</v>
      </c>
      <c r="D1200" t="s">
        <v>19</v>
      </c>
      <c r="E1200" t="s">
        <v>20</v>
      </c>
      <c r="F1200" t="str">
        <f>"43606"</f>
        <v>43606</v>
      </c>
      <c r="G1200" t="str">
        <f>"Je092221"</f>
        <v>Je092221</v>
      </c>
      <c r="H1200" s="2">
        <f>46.17</f>
        <v>46.17</v>
      </c>
      <c r="I1200" t="s">
        <v>15</v>
      </c>
      <c r="J1200" t="s">
        <v>114</v>
      </c>
      <c r="K1200" t="str">
        <f>"60015509"</f>
        <v>60015509</v>
      </c>
    </row>
    <row r="1201" spans="1:11" x14ac:dyDescent="0.25">
      <c r="A1201">
        <v>2021</v>
      </c>
      <c r="B1201" t="s">
        <v>7183</v>
      </c>
      <c r="C1201" t="s">
        <v>7187</v>
      </c>
      <c r="D1201" t="s">
        <v>19</v>
      </c>
      <c r="E1201" t="s">
        <v>20</v>
      </c>
      <c r="F1201" t="str">
        <f>"43606"</f>
        <v>43606</v>
      </c>
      <c r="G1201" t="str">
        <f>"Je110321"</f>
        <v>Je110321</v>
      </c>
      <c r="H1201" s="2">
        <f>46.17</f>
        <v>46.17</v>
      </c>
      <c r="I1201" t="s">
        <v>15</v>
      </c>
      <c r="J1201" t="s">
        <v>596</v>
      </c>
      <c r="K1201" t="str">
        <f>"60017757"</f>
        <v>60017757</v>
      </c>
    </row>
    <row r="1202" spans="1:11" x14ac:dyDescent="0.25">
      <c r="A1202">
        <v>2021</v>
      </c>
      <c r="B1202" t="s">
        <v>7196</v>
      </c>
      <c r="C1202" t="s">
        <v>7197</v>
      </c>
      <c r="D1202" t="s">
        <v>19</v>
      </c>
      <c r="E1202" t="s">
        <v>20</v>
      </c>
      <c r="F1202" t="str">
        <f>"43615-1174"</f>
        <v>43615-1174</v>
      </c>
      <c r="G1202" t="str">
        <f>"402019"</f>
        <v>402019</v>
      </c>
      <c r="H1202" s="2">
        <f>10</f>
        <v>10</v>
      </c>
      <c r="I1202" t="s">
        <v>27</v>
      </c>
      <c r="J1202" t="s">
        <v>42</v>
      </c>
      <c r="K1202" t="str">
        <f>"114179"</f>
        <v>114179</v>
      </c>
    </row>
    <row r="1203" spans="1:11" x14ac:dyDescent="0.25">
      <c r="A1203">
        <v>2021</v>
      </c>
      <c r="B1203" t="s">
        <v>7206</v>
      </c>
      <c r="C1203" t="s">
        <v>7207</v>
      </c>
      <c r="D1203" t="s">
        <v>19</v>
      </c>
      <c r="E1203" t="s">
        <v>20</v>
      </c>
      <c r="F1203" t="str">
        <f>"43614-4016"</f>
        <v>43614-4016</v>
      </c>
      <c r="G1203" t="str">
        <f>"402019"</f>
        <v>402019</v>
      </c>
      <c r="H1203" s="2">
        <f>10</f>
        <v>10</v>
      </c>
      <c r="I1203" t="s">
        <v>27</v>
      </c>
      <c r="J1203" t="s">
        <v>42</v>
      </c>
      <c r="K1203" t="str">
        <f>"111478"</f>
        <v>111478</v>
      </c>
    </row>
    <row r="1204" spans="1:11" x14ac:dyDescent="0.25">
      <c r="A1204">
        <v>2021</v>
      </c>
      <c r="B1204" t="s">
        <v>7216</v>
      </c>
      <c r="C1204" t="s">
        <v>7217</v>
      </c>
      <c r="D1204" t="s">
        <v>50</v>
      </c>
      <c r="E1204" t="s">
        <v>20</v>
      </c>
      <c r="F1204" t="str">
        <f>"43560-1074"</f>
        <v>43560-1074</v>
      </c>
      <c r="G1204" t="str">
        <f>"402019"</f>
        <v>402019</v>
      </c>
      <c r="H1204" s="2">
        <f>10</f>
        <v>10</v>
      </c>
      <c r="I1204" t="s">
        <v>27</v>
      </c>
      <c r="J1204" t="s">
        <v>42</v>
      </c>
      <c r="K1204" t="str">
        <f>"114968"</f>
        <v>114968</v>
      </c>
    </row>
    <row r="1205" spans="1:11" x14ac:dyDescent="0.25">
      <c r="A1205">
        <v>2021</v>
      </c>
      <c r="B1205" t="s">
        <v>7220</v>
      </c>
      <c r="C1205" t="s">
        <v>7221</v>
      </c>
      <c r="D1205" t="s">
        <v>58</v>
      </c>
      <c r="E1205" t="s">
        <v>20</v>
      </c>
      <c r="F1205" t="str">
        <f>"43616-4014"</f>
        <v>43616-4014</v>
      </c>
      <c r="G1205" t="str">
        <f>"Swucf4621"</f>
        <v>Swucf4621</v>
      </c>
      <c r="H1205" s="2">
        <f>60</f>
        <v>60</v>
      </c>
      <c r="I1205" t="s">
        <v>15</v>
      </c>
      <c r="J1205" t="s">
        <v>81</v>
      </c>
      <c r="K1205" t="str">
        <f>"6292200"</f>
        <v>6292200</v>
      </c>
    </row>
    <row r="1206" spans="1:11" x14ac:dyDescent="0.25">
      <c r="A1206">
        <v>2021</v>
      </c>
      <c r="B1206" t="s">
        <v>7222</v>
      </c>
      <c r="C1206" t="s">
        <v>7223</v>
      </c>
      <c r="D1206" t="s">
        <v>19</v>
      </c>
      <c r="E1206" t="s">
        <v>20</v>
      </c>
      <c r="F1206" t="str">
        <f>"43623-2659"</f>
        <v>43623-2659</v>
      </c>
      <c r="G1206" t="str">
        <f>"402019"</f>
        <v>402019</v>
      </c>
      <c r="H1206" s="2">
        <f>20</f>
        <v>20</v>
      </c>
      <c r="I1206" t="s">
        <v>27</v>
      </c>
      <c r="J1206" t="s">
        <v>42</v>
      </c>
      <c r="K1206" t="str">
        <f>"111739"</f>
        <v>111739</v>
      </c>
    </row>
    <row r="1207" spans="1:11" x14ac:dyDescent="0.25">
      <c r="A1207">
        <v>2021</v>
      </c>
      <c r="B1207" t="s">
        <v>7228</v>
      </c>
      <c r="C1207" t="s">
        <v>7229</v>
      </c>
      <c r="D1207" t="s">
        <v>111</v>
      </c>
      <c r="E1207" t="s">
        <v>20</v>
      </c>
      <c r="F1207" t="str">
        <f>"43214-2827"</f>
        <v>43214-2827</v>
      </c>
      <c r="G1207" t="str">
        <f>"Swucf4621"</f>
        <v>Swucf4621</v>
      </c>
      <c r="H1207" s="2">
        <f>73.82</f>
        <v>73.819999999999993</v>
      </c>
      <c r="I1207" t="s">
        <v>15</v>
      </c>
      <c r="J1207" t="s">
        <v>81</v>
      </c>
      <c r="K1207" t="str">
        <f>"6289045"</f>
        <v>6289045</v>
      </c>
    </row>
    <row r="1208" spans="1:11" x14ac:dyDescent="0.25">
      <c r="A1208">
        <v>2021</v>
      </c>
      <c r="B1208" t="s">
        <v>7236</v>
      </c>
      <c r="C1208" t="s">
        <v>7237</v>
      </c>
      <c r="D1208" t="s">
        <v>19</v>
      </c>
      <c r="E1208" t="s">
        <v>20</v>
      </c>
      <c r="F1208" t="str">
        <f>"43615-6038"</f>
        <v>43615-6038</v>
      </c>
      <c r="G1208" t="str">
        <f>"402019"</f>
        <v>402019</v>
      </c>
      <c r="H1208" s="2">
        <f>20</f>
        <v>20</v>
      </c>
      <c r="I1208" t="s">
        <v>27</v>
      </c>
      <c r="J1208" t="s">
        <v>42</v>
      </c>
      <c r="K1208" t="str">
        <f>"112524"</f>
        <v>112524</v>
      </c>
    </row>
    <row r="1209" spans="1:11" x14ac:dyDescent="0.25">
      <c r="A1209">
        <v>2021</v>
      </c>
      <c r="B1209" t="s">
        <v>7247</v>
      </c>
      <c r="C1209" t="s">
        <v>7248</v>
      </c>
      <c r="D1209" t="s">
        <v>19</v>
      </c>
      <c r="E1209" t="s">
        <v>20</v>
      </c>
      <c r="F1209" t="str">
        <f>"43612"</f>
        <v>43612</v>
      </c>
      <c r="G1209" t="str">
        <f>"Pio448069"</f>
        <v>Pio448069</v>
      </c>
      <c r="H1209" s="2">
        <f>1.86</f>
        <v>1.86</v>
      </c>
      <c r="I1209" t="s">
        <v>86</v>
      </c>
      <c r="J1209" t="s">
        <v>87</v>
      </c>
      <c r="K1209" t="str">
        <f>"0"</f>
        <v>0</v>
      </c>
    </row>
    <row r="1210" spans="1:11" x14ac:dyDescent="0.25">
      <c r="A1210">
        <v>2021</v>
      </c>
      <c r="B1210" t="s">
        <v>7249</v>
      </c>
      <c r="C1210" t="s">
        <v>153</v>
      </c>
      <c r="D1210" t="s">
        <v>895</v>
      </c>
      <c r="E1210" t="s">
        <v>20</v>
      </c>
      <c r="F1210" t="str">
        <f>"11111"</f>
        <v>11111</v>
      </c>
      <c r="G1210" t="str">
        <f>"Pio448069"</f>
        <v>Pio448069</v>
      </c>
      <c r="H1210" s="2">
        <f>39.55</f>
        <v>39.549999999999997</v>
      </c>
      <c r="I1210" t="s">
        <v>86</v>
      </c>
      <c r="J1210" t="s">
        <v>87</v>
      </c>
      <c r="K1210" t="str">
        <f>"0"</f>
        <v>0</v>
      </c>
    </row>
    <row r="1211" spans="1:11" x14ac:dyDescent="0.25">
      <c r="A1211">
        <v>2021</v>
      </c>
      <c r="B1211" t="s">
        <v>7250</v>
      </c>
      <c r="C1211" t="s">
        <v>7251</v>
      </c>
      <c r="D1211" t="s">
        <v>111</v>
      </c>
      <c r="E1211" t="s">
        <v>20</v>
      </c>
      <c r="F1211" t="str">
        <f>"43215"</f>
        <v>43215</v>
      </c>
      <c r="G1211" t="str">
        <f>"402017"</f>
        <v>402017</v>
      </c>
      <c r="H1211" s="2">
        <f>31213</f>
        <v>31213</v>
      </c>
      <c r="I1211" t="s">
        <v>27</v>
      </c>
      <c r="J1211" t="s">
        <v>212</v>
      </c>
      <c r="K1211" t="str">
        <f>"34216"</f>
        <v>34216</v>
      </c>
    </row>
    <row r="1212" spans="1:11" x14ac:dyDescent="0.25">
      <c r="A1212">
        <v>2021</v>
      </c>
      <c r="B1212" t="s">
        <v>7266</v>
      </c>
      <c r="C1212" t="s">
        <v>7267</v>
      </c>
      <c r="D1212" t="s">
        <v>19</v>
      </c>
      <c r="E1212" t="s">
        <v>20</v>
      </c>
      <c r="F1212" t="str">
        <f>"43607"</f>
        <v>43607</v>
      </c>
      <c r="G1212" t="str">
        <f>"Pio448069"</f>
        <v>Pio448069</v>
      </c>
      <c r="H1212" s="2">
        <f>1.87</f>
        <v>1.87</v>
      </c>
      <c r="I1212" t="s">
        <v>86</v>
      </c>
      <c r="J1212" t="s">
        <v>87</v>
      </c>
      <c r="K1212" t="str">
        <f>"0"</f>
        <v>0</v>
      </c>
    </row>
    <row r="1213" spans="1:11" x14ac:dyDescent="0.25">
      <c r="A1213">
        <v>2021</v>
      </c>
      <c r="B1213" t="s">
        <v>7272</v>
      </c>
      <c r="C1213" t="s">
        <v>7273</v>
      </c>
      <c r="D1213" t="s">
        <v>19</v>
      </c>
      <c r="E1213" t="s">
        <v>20</v>
      </c>
      <c r="F1213" t="str">
        <f>"43614"</f>
        <v>43614</v>
      </c>
      <c r="G1213" t="str">
        <f>"Je110321"</f>
        <v>Je110321</v>
      </c>
      <c r="H1213" s="2">
        <f>76.95</f>
        <v>76.95</v>
      </c>
      <c r="I1213" t="s">
        <v>15</v>
      </c>
      <c r="J1213" t="s">
        <v>596</v>
      </c>
      <c r="K1213" t="str">
        <f>"60023781"</f>
        <v>60023781</v>
      </c>
    </row>
    <row r="1214" spans="1:11" x14ac:dyDescent="0.25">
      <c r="A1214">
        <v>2021</v>
      </c>
      <c r="B1214" t="s">
        <v>7274</v>
      </c>
      <c r="C1214" t="s">
        <v>7275</v>
      </c>
      <c r="D1214" t="s">
        <v>19</v>
      </c>
      <c r="E1214" t="s">
        <v>20</v>
      </c>
      <c r="F1214" t="str">
        <f>"43606-1833"</f>
        <v>43606-1833</v>
      </c>
      <c r="G1214" t="str">
        <f>"Swucf4621"</f>
        <v>Swucf4621</v>
      </c>
      <c r="H1214" s="2">
        <f>92.45</f>
        <v>92.45</v>
      </c>
      <c r="I1214" t="s">
        <v>15</v>
      </c>
      <c r="J1214" t="s">
        <v>81</v>
      </c>
      <c r="K1214" t="str">
        <f>"6293795"</f>
        <v>6293795</v>
      </c>
    </row>
    <row r="1215" spans="1:11" x14ac:dyDescent="0.25">
      <c r="A1215">
        <v>2021</v>
      </c>
      <c r="B1215" t="s">
        <v>7282</v>
      </c>
      <c r="C1215" t="s">
        <v>7283</v>
      </c>
      <c r="D1215" t="s">
        <v>19</v>
      </c>
      <c r="E1215" t="s">
        <v>20</v>
      </c>
      <c r="F1215" t="str">
        <f>"43606"</f>
        <v>43606</v>
      </c>
      <c r="G1215" t="str">
        <f>"402018"</f>
        <v>402018</v>
      </c>
      <c r="H1215" s="2">
        <f>5</f>
        <v>5</v>
      </c>
      <c r="I1215" t="s">
        <v>27</v>
      </c>
      <c r="J1215" t="s">
        <v>171</v>
      </c>
      <c r="K1215" t="str">
        <f>"515928"</f>
        <v>515928</v>
      </c>
    </row>
    <row r="1216" spans="1:11" x14ac:dyDescent="0.25">
      <c r="A1216">
        <v>2021</v>
      </c>
      <c r="B1216" t="s">
        <v>7288</v>
      </c>
      <c r="C1216" t="s">
        <v>7289</v>
      </c>
      <c r="D1216" t="s">
        <v>19</v>
      </c>
      <c r="E1216" t="s">
        <v>20</v>
      </c>
      <c r="F1216" t="str">
        <f>"43607"</f>
        <v>43607</v>
      </c>
      <c r="G1216" t="str">
        <f>"Je110321"</f>
        <v>Je110321</v>
      </c>
      <c r="H1216" s="2">
        <f>38.47</f>
        <v>38.47</v>
      </c>
      <c r="I1216" t="s">
        <v>15</v>
      </c>
      <c r="J1216" t="s">
        <v>596</v>
      </c>
      <c r="K1216" t="str">
        <f>"60020296"</f>
        <v>60020296</v>
      </c>
    </row>
    <row r="1217" spans="1:11" x14ac:dyDescent="0.25">
      <c r="A1217">
        <v>2021</v>
      </c>
      <c r="B1217" t="s">
        <v>7288</v>
      </c>
      <c r="C1217" t="s">
        <v>7289</v>
      </c>
      <c r="D1217" t="s">
        <v>19</v>
      </c>
      <c r="E1217" t="s">
        <v>20</v>
      </c>
      <c r="F1217" t="str">
        <f>"43607"</f>
        <v>43607</v>
      </c>
      <c r="G1217" t="str">
        <f>"Je061721"</f>
        <v>Je061721</v>
      </c>
      <c r="H1217" s="2">
        <f>46.22</f>
        <v>46.22</v>
      </c>
      <c r="I1217" t="s">
        <v>15</v>
      </c>
      <c r="J1217" t="s">
        <v>137</v>
      </c>
      <c r="K1217" t="str">
        <f>"60003687"</f>
        <v>60003687</v>
      </c>
    </row>
    <row r="1218" spans="1:11" x14ac:dyDescent="0.25">
      <c r="A1218">
        <v>2021</v>
      </c>
      <c r="B1218" t="s">
        <v>7298</v>
      </c>
      <c r="C1218" t="s">
        <v>7299</v>
      </c>
      <c r="D1218" t="s">
        <v>771</v>
      </c>
      <c r="E1218" t="s">
        <v>20</v>
      </c>
      <c r="F1218" t="str">
        <f>"43460"</f>
        <v>43460</v>
      </c>
      <c r="G1218" t="str">
        <f>"402018"</f>
        <v>402018</v>
      </c>
      <c r="H1218" s="2">
        <f>9.08</f>
        <v>9.08</v>
      </c>
      <c r="I1218" t="s">
        <v>27</v>
      </c>
      <c r="J1218" t="s">
        <v>171</v>
      </c>
      <c r="K1218" t="str">
        <f>"517673"</f>
        <v>517673</v>
      </c>
    </row>
    <row r="1219" spans="1:11" x14ac:dyDescent="0.25">
      <c r="A1219">
        <v>2021</v>
      </c>
      <c r="B1219" t="s">
        <v>7300</v>
      </c>
      <c r="C1219" t="s">
        <v>7301</v>
      </c>
      <c r="D1219" t="s">
        <v>19</v>
      </c>
      <c r="E1219" t="s">
        <v>20</v>
      </c>
      <c r="F1219" t="str">
        <f>"43610"</f>
        <v>43610</v>
      </c>
      <c r="G1219" t="str">
        <f>"Pio448069"</f>
        <v>Pio448069</v>
      </c>
      <c r="H1219" s="2">
        <f>5.47</f>
        <v>5.47</v>
      </c>
      <c r="I1219" t="s">
        <v>86</v>
      </c>
      <c r="J1219" t="s">
        <v>87</v>
      </c>
      <c r="K1219" t="str">
        <f>"0"</f>
        <v>0</v>
      </c>
    </row>
    <row r="1220" spans="1:11" x14ac:dyDescent="0.25">
      <c r="A1220">
        <v>2021</v>
      </c>
      <c r="B1220" t="s">
        <v>7322</v>
      </c>
      <c r="C1220" t="s">
        <v>7323</v>
      </c>
      <c r="D1220" t="s">
        <v>19</v>
      </c>
      <c r="E1220" t="s">
        <v>20</v>
      </c>
      <c r="F1220" t="str">
        <f>"43606-3129"</f>
        <v>43606-3129</v>
      </c>
      <c r="G1220" t="str">
        <f>"Swucf4621"</f>
        <v>Swucf4621</v>
      </c>
      <c r="H1220" s="2">
        <f>27.68</f>
        <v>27.68</v>
      </c>
      <c r="I1220" t="s">
        <v>15</v>
      </c>
      <c r="J1220" t="s">
        <v>81</v>
      </c>
      <c r="K1220" t="str">
        <f>"6289058"</f>
        <v>6289058</v>
      </c>
    </row>
    <row r="1221" spans="1:11" x14ac:dyDescent="0.25">
      <c r="A1221">
        <v>2021</v>
      </c>
      <c r="B1221" t="s">
        <v>7329</v>
      </c>
      <c r="C1221" t="s">
        <v>7330</v>
      </c>
      <c r="D1221" t="s">
        <v>19</v>
      </c>
      <c r="E1221" t="s">
        <v>20</v>
      </c>
      <c r="F1221" t="str">
        <f>"43607"</f>
        <v>43607</v>
      </c>
      <c r="G1221" t="str">
        <f>"Pio448069"</f>
        <v>Pio448069</v>
      </c>
      <c r="H1221" s="2">
        <f>0.95</f>
        <v>0.95</v>
      </c>
      <c r="I1221" t="s">
        <v>86</v>
      </c>
      <c r="J1221" t="s">
        <v>87</v>
      </c>
      <c r="K1221" t="str">
        <f>"0"</f>
        <v>0</v>
      </c>
    </row>
    <row r="1222" spans="1:11" x14ac:dyDescent="0.25">
      <c r="A1222">
        <v>2021</v>
      </c>
      <c r="B1222" t="s">
        <v>7331</v>
      </c>
      <c r="C1222" t="s">
        <v>7332</v>
      </c>
      <c r="D1222" t="s">
        <v>19</v>
      </c>
      <c r="E1222" t="s">
        <v>20</v>
      </c>
      <c r="F1222" t="str">
        <f>"43604"</f>
        <v>43604</v>
      </c>
      <c r="G1222" t="str">
        <f>"402017"</f>
        <v>402017</v>
      </c>
      <c r="H1222" s="2">
        <f>200</f>
        <v>200</v>
      </c>
      <c r="I1222" t="s">
        <v>27</v>
      </c>
      <c r="J1222" t="s">
        <v>212</v>
      </c>
      <c r="K1222" t="str">
        <f>"33791"</f>
        <v>33791</v>
      </c>
    </row>
    <row r="1223" spans="1:11" x14ac:dyDescent="0.25">
      <c r="A1223">
        <v>2021</v>
      </c>
      <c r="B1223" t="s">
        <v>7333</v>
      </c>
      <c r="C1223" t="s">
        <v>153</v>
      </c>
      <c r="D1223" t="s">
        <v>19</v>
      </c>
      <c r="E1223" t="s">
        <v>20</v>
      </c>
      <c r="F1223" t="str">
        <f>"43604"</f>
        <v>43604</v>
      </c>
      <c r="G1223" t="str">
        <f>"Pio448069"</f>
        <v>Pio448069</v>
      </c>
      <c r="H1223" s="2">
        <f>164.83</f>
        <v>164.83</v>
      </c>
      <c r="I1223" t="s">
        <v>86</v>
      </c>
      <c r="J1223" t="s">
        <v>87</v>
      </c>
      <c r="K1223" t="str">
        <f>"0"</f>
        <v>0</v>
      </c>
    </row>
    <row r="1224" spans="1:11" x14ac:dyDescent="0.25">
      <c r="A1224">
        <v>2021</v>
      </c>
      <c r="B1224" t="s">
        <v>7336</v>
      </c>
      <c r="C1224" t="s">
        <v>7337</v>
      </c>
      <c r="D1224" t="s">
        <v>19</v>
      </c>
      <c r="E1224" t="s">
        <v>20</v>
      </c>
      <c r="F1224" t="str">
        <f>"43605"</f>
        <v>43605</v>
      </c>
      <c r="G1224" t="str">
        <f>"Pio448069"</f>
        <v>Pio448069</v>
      </c>
      <c r="H1224" s="2">
        <f>7.93</f>
        <v>7.93</v>
      </c>
      <c r="I1224" t="s">
        <v>86</v>
      </c>
      <c r="J1224" t="s">
        <v>87</v>
      </c>
      <c r="K1224" t="str">
        <f>"0"</f>
        <v>0</v>
      </c>
    </row>
    <row r="1225" spans="1:11" x14ac:dyDescent="0.25">
      <c r="A1225">
        <v>2021</v>
      </c>
      <c r="B1225" t="s">
        <v>7338</v>
      </c>
      <c r="C1225" t="s">
        <v>7339</v>
      </c>
      <c r="D1225" t="s">
        <v>19</v>
      </c>
      <c r="E1225" t="s">
        <v>20</v>
      </c>
      <c r="F1225" t="str">
        <f>"43612"</f>
        <v>43612</v>
      </c>
      <c r="G1225" t="str">
        <f>"402018"</f>
        <v>402018</v>
      </c>
      <c r="H1225" s="2">
        <f>1.82</f>
        <v>1.82</v>
      </c>
      <c r="I1225" t="s">
        <v>27</v>
      </c>
      <c r="J1225" t="s">
        <v>171</v>
      </c>
      <c r="K1225" t="str">
        <f>"517926"</f>
        <v>517926</v>
      </c>
    </row>
    <row r="1226" spans="1:11" x14ac:dyDescent="0.25">
      <c r="A1226">
        <v>2021</v>
      </c>
      <c r="B1226" t="s">
        <v>7338</v>
      </c>
      <c r="C1226" t="s">
        <v>7339</v>
      </c>
      <c r="D1226" t="s">
        <v>19</v>
      </c>
      <c r="E1226" t="s">
        <v>20</v>
      </c>
      <c r="F1226" t="str">
        <f>"43612"</f>
        <v>43612</v>
      </c>
      <c r="G1226" t="str">
        <f>"402018"</f>
        <v>402018</v>
      </c>
      <c r="H1226" s="2">
        <f>1.82</f>
        <v>1.82</v>
      </c>
      <c r="I1226" t="s">
        <v>27</v>
      </c>
      <c r="J1226" t="s">
        <v>171</v>
      </c>
      <c r="K1226" t="str">
        <f>"517784"</f>
        <v>517784</v>
      </c>
    </row>
    <row r="1227" spans="1:11" x14ac:dyDescent="0.25">
      <c r="A1227">
        <v>2021</v>
      </c>
      <c r="B1227" t="s">
        <v>7338</v>
      </c>
      <c r="C1227" t="s">
        <v>7339</v>
      </c>
      <c r="D1227" t="s">
        <v>19</v>
      </c>
      <c r="E1227" t="s">
        <v>20</v>
      </c>
      <c r="F1227" t="str">
        <f>"43612"</f>
        <v>43612</v>
      </c>
      <c r="G1227" t="str">
        <f>"402018"</f>
        <v>402018</v>
      </c>
      <c r="H1227" s="2">
        <f>2.08</f>
        <v>2.08</v>
      </c>
      <c r="I1227" t="s">
        <v>27</v>
      </c>
      <c r="J1227" t="s">
        <v>171</v>
      </c>
      <c r="K1227" t="str">
        <f>"516552"</f>
        <v>516552</v>
      </c>
    </row>
    <row r="1228" spans="1:11" x14ac:dyDescent="0.25">
      <c r="A1228">
        <v>2021</v>
      </c>
      <c r="B1228" t="s">
        <v>7338</v>
      </c>
      <c r="C1228" t="s">
        <v>7339</v>
      </c>
      <c r="D1228" t="s">
        <v>19</v>
      </c>
      <c r="E1228" t="s">
        <v>20</v>
      </c>
      <c r="F1228" t="str">
        <f>"43612"</f>
        <v>43612</v>
      </c>
      <c r="G1228" t="str">
        <f>"402018"</f>
        <v>402018</v>
      </c>
      <c r="H1228" s="2">
        <f>1.82</f>
        <v>1.82</v>
      </c>
      <c r="I1228" t="s">
        <v>27</v>
      </c>
      <c r="J1228" t="s">
        <v>171</v>
      </c>
      <c r="K1228" t="str">
        <f>"516989"</f>
        <v>516989</v>
      </c>
    </row>
    <row r="1229" spans="1:11" x14ac:dyDescent="0.25">
      <c r="A1229">
        <v>2021</v>
      </c>
      <c r="B1229" t="s">
        <v>7340</v>
      </c>
      <c r="C1229" t="s">
        <v>7341</v>
      </c>
      <c r="F1229" t="str">
        <f>""</f>
        <v/>
      </c>
      <c r="G1229" t="str">
        <f>"Swucf4621"</f>
        <v>Swucf4621</v>
      </c>
      <c r="H1229" s="2">
        <f>33.06</f>
        <v>33.06</v>
      </c>
      <c r="I1229" t="s">
        <v>15</v>
      </c>
      <c r="J1229" t="s">
        <v>81</v>
      </c>
      <c r="K1229" t="str">
        <f>"6289906"</f>
        <v>6289906</v>
      </c>
    </row>
    <row r="1230" spans="1:11" x14ac:dyDescent="0.25">
      <c r="A1230">
        <v>2021</v>
      </c>
      <c r="B1230" t="s">
        <v>7348</v>
      </c>
      <c r="C1230" t="s">
        <v>7349</v>
      </c>
      <c r="D1230" t="s">
        <v>64</v>
      </c>
      <c r="E1230" t="s">
        <v>20</v>
      </c>
      <c r="F1230" t="str">
        <f>"43566-1152"</f>
        <v>43566-1152</v>
      </c>
      <c r="G1230" t="str">
        <f>"402019"</f>
        <v>402019</v>
      </c>
      <c r="H1230" s="2">
        <f>10</f>
        <v>10</v>
      </c>
      <c r="I1230" t="s">
        <v>27</v>
      </c>
      <c r="J1230" t="s">
        <v>42</v>
      </c>
      <c r="K1230" t="str">
        <f>"114630"</f>
        <v>114630</v>
      </c>
    </row>
    <row r="1231" spans="1:11" x14ac:dyDescent="0.25">
      <c r="A1231">
        <v>2021</v>
      </c>
      <c r="B1231" t="s">
        <v>7362</v>
      </c>
      <c r="C1231" t="s">
        <v>7363</v>
      </c>
      <c r="D1231" t="s">
        <v>4762</v>
      </c>
      <c r="E1231" t="s">
        <v>14</v>
      </c>
      <c r="F1231" t="str">
        <f>"48503"</f>
        <v>48503</v>
      </c>
      <c r="G1231" t="str">
        <f>"402018"</f>
        <v>402018</v>
      </c>
      <c r="H1231" s="2">
        <f>25</f>
        <v>25</v>
      </c>
      <c r="I1231" t="s">
        <v>27</v>
      </c>
      <c r="J1231" t="s">
        <v>171</v>
      </c>
      <c r="K1231" t="str">
        <f>"518016"</f>
        <v>518016</v>
      </c>
    </row>
    <row r="1232" spans="1:11" x14ac:dyDescent="0.25">
      <c r="A1232">
        <v>2021</v>
      </c>
      <c r="B1232" t="s">
        <v>7364</v>
      </c>
      <c r="C1232" t="s">
        <v>7365</v>
      </c>
      <c r="D1232" t="s">
        <v>105</v>
      </c>
      <c r="E1232" t="s">
        <v>20</v>
      </c>
      <c r="F1232" t="str">
        <f>"43528"</f>
        <v>43528</v>
      </c>
      <c r="G1232" t="str">
        <f>"Pio448069"</f>
        <v>Pio448069</v>
      </c>
      <c r="H1232" s="2">
        <f>1</f>
        <v>1</v>
      </c>
      <c r="I1232" t="s">
        <v>86</v>
      </c>
      <c r="J1232" t="s">
        <v>87</v>
      </c>
      <c r="K1232" t="str">
        <f>"0"</f>
        <v>0</v>
      </c>
    </row>
    <row r="1233" spans="1:11" x14ac:dyDescent="0.25">
      <c r="A1233">
        <v>2021</v>
      </c>
      <c r="B1233" t="s">
        <v>7370</v>
      </c>
      <c r="C1233" t="s">
        <v>7371</v>
      </c>
      <c r="D1233" t="s">
        <v>19</v>
      </c>
      <c r="E1233" t="s">
        <v>20</v>
      </c>
      <c r="F1233" t="str">
        <f>"43606-1809"</f>
        <v>43606-1809</v>
      </c>
      <c r="G1233" t="str">
        <f>"402019"</f>
        <v>402019</v>
      </c>
      <c r="H1233" s="2">
        <f>10</f>
        <v>10</v>
      </c>
      <c r="I1233" t="s">
        <v>27</v>
      </c>
      <c r="J1233" t="s">
        <v>42</v>
      </c>
      <c r="K1233" t="str">
        <f>"115542"</f>
        <v>115542</v>
      </c>
    </row>
    <row r="1234" spans="1:11" x14ac:dyDescent="0.25">
      <c r="A1234">
        <v>2021</v>
      </c>
      <c r="B1234" t="s">
        <v>7372</v>
      </c>
      <c r="C1234" t="s">
        <v>7373</v>
      </c>
      <c r="D1234" t="s">
        <v>19</v>
      </c>
      <c r="E1234" t="s">
        <v>20</v>
      </c>
      <c r="F1234" t="str">
        <f>"43613"</f>
        <v>43613</v>
      </c>
      <c r="G1234" t="str">
        <f>"Je061721"</f>
        <v>Je061721</v>
      </c>
      <c r="H1234" s="2">
        <f>269.73</f>
        <v>269.73</v>
      </c>
      <c r="I1234" t="s">
        <v>15</v>
      </c>
      <c r="J1234" t="s">
        <v>137</v>
      </c>
      <c r="K1234" t="str">
        <f>"60005237"</f>
        <v>60005237</v>
      </c>
    </row>
    <row r="1235" spans="1:11" x14ac:dyDescent="0.25">
      <c r="A1235">
        <v>2021</v>
      </c>
      <c r="B1235" t="s">
        <v>7382</v>
      </c>
      <c r="C1235" t="s">
        <v>7383</v>
      </c>
      <c r="D1235" t="s">
        <v>19</v>
      </c>
      <c r="E1235" t="s">
        <v>20</v>
      </c>
      <c r="F1235" t="str">
        <f>"43608-2181"</f>
        <v>43608-2181</v>
      </c>
      <c r="G1235" t="str">
        <f>"Swucf4621"</f>
        <v>Swucf4621</v>
      </c>
      <c r="H1235" s="2">
        <f>76.18</f>
        <v>76.180000000000007</v>
      </c>
      <c r="I1235" t="s">
        <v>15</v>
      </c>
      <c r="J1235" t="s">
        <v>81</v>
      </c>
      <c r="K1235" t="str">
        <f>"6298606"</f>
        <v>6298606</v>
      </c>
    </row>
    <row r="1236" spans="1:11" x14ac:dyDescent="0.25">
      <c r="A1236">
        <v>2021</v>
      </c>
      <c r="B1236" t="s">
        <v>7385</v>
      </c>
      <c r="C1236" t="s">
        <v>7386</v>
      </c>
      <c r="D1236" t="s">
        <v>19</v>
      </c>
      <c r="E1236" t="s">
        <v>20</v>
      </c>
      <c r="F1236" t="str">
        <f>"43614-4163"</f>
        <v>43614-4163</v>
      </c>
      <c r="G1236" t="str">
        <f>"402019"</f>
        <v>402019</v>
      </c>
      <c r="H1236" s="2">
        <f>10</f>
        <v>10</v>
      </c>
      <c r="I1236" t="s">
        <v>27</v>
      </c>
      <c r="J1236" t="s">
        <v>42</v>
      </c>
      <c r="K1236" t="str">
        <f>"113882"</f>
        <v>113882</v>
      </c>
    </row>
    <row r="1237" spans="1:11" x14ac:dyDescent="0.25">
      <c r="A1237">
        <v>2021</v>
      </c>
      <c r="B1237" t="s">
        <v>7395</v>
      </c>
      <c r="C1237" t="s">
        <v>7396</v>
      </c>
      <c r="D1237" t="s">
        <v>323</v>
      </c>
      <c r="E1237" t="s">
        <v>20</v>
      </c>
      <c r="F1237" t="str">
        <f>"43571-9539"</f>
        <v>43571-9539</v>
      </c>
      <c r="G1237" t="str">
        <f>"Swucf4621"</f>
        <v>Swucf4621</v>
      </c>
      <c r="H1237" s="2">
        <f>60</f>
        <v>60</v>
      </c>
      <c r="I1237" t="s">
        <v>15</v>
      </c>
      <c r="J1237" t="s">
        <v>81</v>
      </c>
      <c r="K1237" t="str">
        <f>"6289066"</f>
        <v>6289066</v>
      </c>
    </row>
    <row r="1238" spans="1:11" x14ac:dyDescent="0.25">
      <c r="A1238">
        <v>2021</v>
      </c>
      <c r="B1238" t="s">
        <v>7397</v>
      </c>
      <c r="C1238" t="s">
        <v>7398</v>
      </c>
      <c r="D1238" t="s">
        <v>125</v>
      </c>
      <c r="E1238" t="s">
        <v>20</v>
      </c>
      <c r="F1238" t="str">
        <f>"43537-3336"</f>
        <v>43537-3336</v>
      </c>
      <c r="G1238" t="str">
        <f>"402019"</f>
        <v>402019</v>
      </c>
      <c r="H1238" s="2">
        <f>10</f>
        <v>10</v>
      </c>
      <c r="I1238" t="s">
        <v>27</v>
      </c>
      <c r="J1238" t="s">
        <v>42</v>
      </c>
      <c r="K1238" t="str">
        <f>"111229"</f>
        <v>111229</v>
      </c>
    </row>
    <row r="1239" spans="1:11" x14ac:dyDescent="0.25">
      <c r="A1239">
        <v>2021</v>
      </c>
      <c r="B1239" t="s">
        <v>7418</v>
      </c>
      <c r="C1239" t="s">
        <v>7419</v>
      </c>
      <c r="D1239" t="s">
        <v>6702</v>
      </c>
      <c r="E1239" t="s">
        <v>20</v>
      </c>
      <c r="F1239" t="str">
        <f>"43506"</f>
        <v>43506</v>
      </c>
      <c r="G1239" t="str">
        <f>"Pio448069"</f>
        <v>Pio448069</v>
      </c>
      <c r="H1239" s="2">
        <f>26.36</f>
        <v>26.36</v>
      </c>
      <c r="I1239" t="s">
        <v>86</v>
      </c>
      <c r="J1239" t="s">
        <v>87</v>
      </c>
      <c r="K1239" t="str">
        <f>"0"</f>
        <v>0</v>
      </c>
    </row>
    <row r="1240" spans="1:11" x14ac:dyDescent="0.25">
      <c r="A1240">
        <v>2021</v>
      </c>
      <c r="B1240" t="s">
        <v>7426</v>
      </c>
      <c r="C1240" t="s">
        <v>7427</v>
      </c>
      <c r="D1240" t="s">
        <v>19</v>
      </c>
      <c r="E1240" t="s">
        <v>20</v>
      </c>
      <c r="F1240" t="str">
        <f>"43612-2224"</f>
        <v>43612-2224</v>
      </c>
      <c r="G1240" t="str">
        <f>"402019"</f>
        <v>402019</v>
      </c>
      <c r="H1240" s="2">
        <f>20</f>
        <v>20</v>
      </c>
      <c r="I1240" t="s">
        <v>27</v>
      </c>
      <c r="J1240" t="s">
        <v>42</v>
      </c>
      <c r="K1240" t="str">
        <f>"113235"</f>
        <v>113235</v>
      </c>
    </row>
    <row r="1241" spans="1:11" x14ac:dyDescent="0.25">
      <c r="A1241">
        <v>2021</v>
      </c>
      <c r="B1241" t="s">
        <v>7434</v>
      </c>
      <c r="C1241" t="s">
        <v>7435</v>
      </c>
      <c r="D1241" t="s">
        <v>19</v>
      </c>
      <c r="E1241" t="s">
        <v>20</v>
      </c>
      <c r="F1241" t="str">
        <f>"43615-6369"</f>
        <v>43615-6369</v>
      </c>
      <c r="G1241" t="str">
        <f>"402019"</f>
        <v>402019</v>
      </c>
      <c r="H1241" s="2">
        <f>10</f>
        <v>10</v>
      </c>
      <c r="I1241" t="s">
        <v>27</v>
      </c>
      <c r="J1241" t="s">
        <v>42</v>
      </c>
      <c r="K1241" t="str">
        <f>"113052"</f>
        <v>113052</v>
      </c>
    </row>
    <row r="1242" spans="1:11" x14ac:dyDescent="0.25">
      <c r="A1242">
        <v>2021</v>
      </c>
      <c r="B1242" t="s">
        <v>7436</v>
      </c>
      <c r="C1242" t="s">
        <v>7437</v>
      </c>
      <c r="D1242" t="s">
        <v>19</v>
      </c>
      <c r="E1242" t="s">
        <v>20</v>
      </c>
      <c r="F1242" t="str">
        <f>"43615"</f>
        <v>43615</v>
      </c>
      <c r="G1242" t="str">
        <f>"Swucf4621"</f>
        <v>Swucf4621</v>
      </c>
      <c r="H1242" s="2">
        <f>12.11</f>
        <v>12.11</v>
      </c>
      <c r="I1242" t="s">
        <v>15</v>
      </c>
      <c r="J1242" t="s">
        <v>81</v>
      </c>
      <c r="K1242" t="str">
        <f>"6291593"</f>
        <v>6291593</v>
      </c>
    </row>
    <row r="1243" spans="1:11" x14ac:dyDescent="0.25">
      <c r="A1243">
        <v>2021</v>
      </c>
      <c r="B1243" t="s">
        <v>7436</v>
      </c>
      <c r="C1243" t="s">
        <v>7437</v>
      </c>
      <c r="D1243" t="s">
        <v>19</v>
      </c>
      <c r="E1243" t="s">
        <v>20</v>
      </c>
      <c r="F1243" t="str">
        <f>"43615"</f>
        <v>43615</v>
      </c>
      <c r="G1243" t="str">
        <f>"Swucf4621"</f>
        <v>Swucf4621</v>
      </c>
      <c r="H1243" s="2">
        <f>226.82</f>
        <v>226.82</v>
      </c>
      <c r="I1243" t="s">
        <v>15</v>
      </c>
      <c r="J1243" t="s">
        <v>81</v>
      </c>
      <c r="K1243" t="str">
        <f>"6291595"</f>
        <v>6291595</v>
      </c>
    </row>
    <row r="1244" spans="1:11" x14ac:dyDescent="0.25">
      <c r="A1244">
        <v>2021</v>
      </c>
      <c r="B1244" t="s">
        <v>7436</v>
      </c>
      <c r="C1244" t="s">
        <v>7437</v>
      </c>
      <c r="D1244" t="s">
        <v>19</v>
      </c>
      <c r="E1244" t="s">
        <v>20</v>
      </c>
      <c r="F1244" t="str">
        <f>"43615"</f>
        <v>43615</v>
      </c>
      <c r="G1244" t="str">
        <f>"Swucf4621"</f>
        <v>Swucf4621</v>
      </c>
      <c r="H1244" s="2">
        <f>101.26</f>
        <v>101.26</v>
      </c>
      <c r="I1244" t="s">
        <v>15</v>
      </c>
      <c r="J1244" t="s">
        <v>81</v>
      </c>
      <c r="K1244" t="str">
        <f>"6291596"</f>
        <v>6291596</v>
      </c>
    </row>
    <row r="1245" spans="1:11" x14ac:dyDescent="0.25">
      <c r="A1245">
        <v>2021</v>
      </c>
      <c r="B1245" t="s">
        <v>7448</v>
      </c>
      <c r="C1245" t="s">
        <v>7449</v>
      </c>
      <c r="D1245" t="s">
        <v>125</v>
      </c>
      <c r="E1245" t="s">
        <v>20</v>
      </c>
      <c r="F1245" t="str">
        <f>"43537-1544"</f>
        <v>43537-1544</v>
      </c>
      <c r="G1245" t="str">
        <f>"402019"</f>
        <v>402019</v>
      </c>
      <c r="H1245" s="2">
        <f>10</f>
        <v>10</v>
      </c>
      <c r="I1245" t="s">
        <v>27</v>
      </c>
      <c r="J1245" t="s">
        <v>42</v>
      </c>
      <c r="K1245" t="str">
        <f>"115064"</f>
        <v>115064</v>
      </c>
    </row>
    <row r="1246" spans="1:11" x14ac:dyDescent="0.25">
      <c r="A1246">
        <v>2021</v>
      </c>
      <c r="B1246" t="s">
        <v>7454</v>
      </c>
      <c r="C1246" t="s">
        <v>7455</v>
      </c>
      <c r="D1246" t="s">
        <v>50</v>
      </c>
      <c r="E1246" t="s">
        <v>20</v>
      </c>
      <c r="F1246" t="str">
        <f>"43560-8948"</f>
        <v>43560-8948</v>
      </c>
      <c r="G1246" t="str">
        <f>"402019"</f>
        <v>402019</v>
      </c>
      <c r="H1246" s="2">
        <f>10</f>
        <v>10</v>
      </c>
      <c r="I1246" t="s">
        <v>27</v>
      </c>
      <c r="J1246" t="s">
        <v>42</v>
      </c>
      <c r="K1246" t="str">
        <f>"112214"</f>
        <v>112214</v>
      </c>
    </row>
    <row r="1247" spans="1:11" x14ac:dyDescent="0.25">
      <c r="A1247">
        <v>2021</v>
      </c>
      <c r="B1247" t="s">
        <v>7456</v>
      </c>
      <c r="C1247" t="s">
        <v>7457</v>
      </c>
      <c r="D1247" t="s">
        <v>19</v>
      </c>
      <c r="E1247" t="s">
        <v>20</v>
      </c>
      <c r="F1247" t="str">
        <f>"43606-1225"</f>
        <v>43606-1225</v>
      </c>
      <c r="G1247" t="str">
        <f>"Swucf4621"</f>
        <v>Swucf4621</v>
      </c>
      <c r="H1247" s="2">
        <f>131.39</f>
        <v>131.38999999999999</v>
      </c>
      <c r="I1247" t="s">
        <v>15</v>
      </c>
      <c r="J1247" t="s">
        <v>81</v>
      </c>
      <c r="K1247" t="str">
        <f>"6292238"</f>
        <v>6292238</v>
      </c>
    </row>
    <row r="1248" spans="1:11" x14ac:dyDescent="0.25">
      <c r="A1248">
        <v>2021</v>
      </c>
      <c r="B1248" t="s">
        <v>7456</v>
      </c>
      <c r="C1248" t="s">
        <v>7457</v>
      </c>
      <c r="D1248" t="s">
        <v>19</v>
      </c>
      <c r="E1248" t="s">
        <v>20</v>
      </c>
      <c r="F1248" t="str">
        <f>"43606-1225"</f>
        <v>43606-1225</v>
      </c>
      <c r="G1248" t="str">
        <f>"Swucf4621"</f>
        <v>Swucf4621</v>
      </c>
      <c r="H1248" s="2">
        <f>131.65</f>
        <v>131.65</v>
      </c>
      <c r="I1248" t="s">
        <v>15</v>
      </c>
      <c r="J1248" t="s">
        <v>81</v>
      </c>
      <c r="K1248" t="str">
        <f>"6296075"</f>
        <v>6296075</v>
      </c>
    </row>
    <row r="1249" spans="1:11" x14ac:dyDescent="0.25">
      <c r="A1249">
        <v>2021</v>
      </c>
      <c r="B1249" t="s">
        <v>7458</v>
      </c>
      <c r="C1249" t="s">
        <v>7457</v>
      </c>
      <c r="D1249" t="s">
        <v>19</v>
      </c>
      <c r="E1249" t="s">
        <v>20</v>
      </c>
      <c r="F1249" t="str">
        <f>"43606"</f>
        <v>43606</v>
      </c>
      <c r="G1249" t="str">
        <f>"Je110321"</f>
        <v>Je110321</v>
      </c>
      <c r="H1249" s="2">
        <f>172.99</f>
        <v>172.99</v>
      </c>
      <c r="I1249" t="s">
        <v>15</v>
      </c>
      <c r="J1249" t="s">
        <v>596</v>
      </c>
      <c r="K1249" t="str">
        <f>"60023801"</f>
        <v>60023801</v>
      </c>
    </row>
    <row r="1250" spans="1:11" x14ac:dyDescent="0.25">
      <c r="A1250">
        <v>2021</v>
      </c>
      <c r="B1250" t="s">
        <v>7472</v>
      </c>
      <c r="C1250" t="s">
        <v>7473</v>
      </c>
      <c r="D1250" t="s">
        <v>1302</v>
      </c>
      <c r="E1250" t="s">
        <v>462</v>
      </c>
      <c r="F1250" t="str">
        <f>"32801"</f>
        <v>32801</v>
      </c>
      <c r="G1250" t="str">
        <f>"Pio448069"</f>
        <v>Pio448069</v>
      </c>
      <c r="H1250" s="2">
        <f>20</f>
        <v>20</v>
      </c>
      <c r="I1250" t="s">
        <v>86</v>
      </c>
      <c r="J1250" t="s">
        <v>87</v>
      </c>
      <c r="K1250" t="str">
        <f>"0"</f>
        <v>0</v>
      </c>
    </row>
    <row r="1251" spans="1:11" x14ac:dyDescent="0.25">
      <c r="A1251">
        <v>2021</v>
      </c>
      <c r="B1251" t="s">
        <v>7478</v>
      </c>
      <c r="C1251" t="s">
        <v>7479</v>
      </c>
      <c r="D1251" t="s">
        <v>792</v>
      </c>
      <c r="E1251" t="s">
        <v>600</v>
      </c>
      <c r="F1251" t="str">
        <f>"40223-0200"</f>
        <v>40223-0200</v>
      </c>
      <c r="G1251" t="str">
        <f>"402017"</f>
        <v>402017</v>
      </c>
      <c r="H1251" s="2">
        <f>5</f>
        <v>5</v>
      </c>
      <c r="I1251" t="s">
        <v>27</v>
      </c>
      <c r="J1251" t="s">
        <v>212</v>
      </c>
      <c r="K1251" t="str">
        <f>"33163"</f>
        <v>33163</v>
      </c>
    </row>
    <row r="1252" spans="1:11" x14ac:dyDescent="0.25">
      <c r="A1252">
        <v>2021</v>
      </c>
      <c r="B1252" t="s">
        <v>7478</v>
      </c>
      <c r="C1252" t="s">
        <v>7479</v>
      </c>
      <c r="D1252" t="s">
        <v>792</v>
      </c>
      <c r="E1252" t="s">
        <v>600</v>
      </c>
      <c r="F1252" t="str">
        <f>"40223-0200"</f>
        <v>40223-0200</v>
      </c>
      <c r="G1252" t="str">
        <f>"402017"</f>
        <v>402017</v>
      </c>
      <c r="H1252" s="2">
        <f>5</f>
        <v>5</v>
      </c>
      <c r="I1252" t="s">
        <v>27</v>
      </c>
      <c r="J1252" t="s">
        <v>212</v>
      </c>
      <c r="K1252" t="str">
        <f>"33203"</f>
        <v>33203</v>
      </c>
    </row>
    <row r="1253" spans="1:11" x14ac:dyDescent="0.25">
      <c r="A1253">
        <v>2021</v>
      </c>
      <c r="B1253" t="s">
        <v>7480</v>
      </c>
      <c r="C1253" t="s">
        <v>7481</v>
      </c>
      <c r="D1253" t="s">
        <v>19</v>
      </c>
      <c r="E1253" t="s">
        <v>20</v>
      </c>
      <c r="F1253" t="str">
        <f>"43605"</f>
        <v>43605</v>
      </c>
      <c r="G1253" t="str">
        <f>"Pio448069"</f>
        <v>Pio448069</v>
      </c>
      <c r="H1253" s="2">
        <f>20</f>
        <v>20</v>
      </c>
      <c r="I1253" t="s">
        <v>86</v>
      </c>
      <c r="J1253" t="s">
        <v>87</v>
      </c>
      <c r="K1253" t="str">
        <f>"0"</f>
        <v>0</v>
      </c>
    </row>
    <row r="1254" spans="1:11" x14ac:dyDescent="0.25">
      <c r="A1254">
        <v>2021</v>
      </c>
      <c r="B1254" t="s">
        <v>7487</v>
      </c>
      <c r="C1254" t="s">
        <v>7488</v>
      </c>
      <c r="D1254" t="s">
        <v>19</v>
      </c>
      <c r="E1254" t="s">
        <v>20</v>
      </c>
      <c r="F1254" t="str">
        <f>"43605"</f>
        <v>43605</v>
      </c>
      <c r="G1254" t="str">
        <f>"Pio448069"</f>
        <v>Pio448069</v>
      </c>
      <c r="H1254" s="2">
        <f>1</f>
        <v>1</v>
      </c>
      <c r="I1254" t="s">
        <v>86</v>
      </c>
      <c r="J1254" t="s">
        <v>87</v>
      </c>
      <c r="K1254" t="str">
        <f>"0"</f>
        <v>0</v>
      </c>
    </row>
    <row r="1255" spans="1:11" x14ac:dyDescent="0.25">
      <c r="A1255">
        <v>2021</v>
      </c>
      <c r="B1255" t="s">
        <v>7501</v>
      </c>
      <c r="C1255" t="s">
        <v>7502</v>
      </c>
      <c r="D1255" t="s">
        <v>19</v>
      </c>
      <c r="E1255" t="s">
        <v>20</v>
      </c>
      <c r="F1255" t="str">
        <f>"43607"</f>
        <v>43607</v>
      </c>
      <c r="G1255" t="str">
        <f>"Pio448069"</f>
        <v>Pio448069</v>
      </c>
      <c r="H1255" s="2">
        <f>11</f>
        <v>11</v>
      </c>
      <c r="I1255" t="s">
        <v>86</v>
      </c>
      <c r="J1255" t="s">
        <v>87</v>
      </c>
      <c r="K1255" t="str">
        <f>"0"</f>
        <v>0</v>
      </c>
    </row>
    <row r="1256" spans="1:11" x14ac:dyDescent="0.25">
      <c r="A1256">
        <v>2021</v>
      </c>
      <c r="B1256" t="s">
        <v>7503</v>
      </c>
      <c r="C1256" t="s">
        <v>7504</v>
      </c>
      <c r="D1256" t="s">
        <v>19</v>
      </c>
      <c r="E1256" t="s">
        <v>20</v>
      </c>
      <c r="F1256" t="str">
        <f>"43615"</f>
        <v>43615</v>
      </c>
      <c r="G1256" t="str">
        <f>"Je061721"</f>
        <v>Je061721</v>
      </c>
      <c r="H1256" s="2">
        <f>686.34</f>
        <v>686.34</v>
      </c>
      <c r="I1256" t="s">
        <v>15</v>
      </c>
      <c r="J1256" t="s">
        <v>137</v>
      </c>
      <c r="K1256" t="str">
        <f>"60001891"</f>
        <v>60001891</v>
      </c>
    </row>
    <row r="1257" spans="1:11" x14ac:dyDescent="0.25">
      <c r="A1257">
        <v>2021</v>
      </c>
      <c r="B1257" t="s">
        <v>7503</v>
      </c>
      <c r="C1257" t="s">
        <v>7504</v>
      </c>
      <c r="D1257" t="s">
        <v>19</v>
      </c>
      <c r="E1257" t="s">
        <v>20</v>
      </c>
      <c r="F1257" t="str">
        <f>"43615"</f>
        <v>43615</v>
      </c>
      <c r="G1257" t="str">
        <f>"Je061721"</f>
        <v>Je061721</v>
      </c>
      <c r="H1257" s="2">
        <f>15.42</f>
        <v>15.42</v>
      </c>
      <c r="I1257" t="s">
        <v>15</v>
      </c>
      <c r="J1257" t="s">
        <v>137</v>
      </c>
      <c r="K1257" t="str">
        <f>"60001892"</f>
        <v>60001892</v>
      </c>
    </row>
    <row r="1258" spans="1:11" x14ac:dyDescent="0.25">
      <c r="A1258">
        <v>2021</v>
      </c>
      <c r="B1258" t="s">
        <v>7535</v>
      </c>
      <c r="C1258" t="s">
        <v>7536</v>
      </c>
      <c r="D1258" t="s">
        <v>7537</v>
      </c>
      <c r="E1258" t="s">
        <v>20</v>
      </c>
      <c r="F1258" t="str">
        <f>"43463"</f>
        <v>43463</v>
      </c>
      <c r="G1258" t="str">
        <f>"Pio448069"</f>
        <v>Pio448069</v>
      </c>
      <c r="H1258" s="2">
        <f>28.28</f>
        <v>28.28</v>
      </c>
      <c r="I1258" t="s">
        <v>86</v>
      </c>
      <c r="J1258" t="s">
        <v>87</v>
      </c>
      <c r="K1258" t="str">
        <f>"0"</f>
        <v>0</v>
      </c>
    </row>
    <row r="1259" spans="1:11" x14ac:dyDescent="0.25">
      <c r="A1259">
        <v>2021</v>
      </c>
      <c r="B1259" t="s">
        <v>7538</v>
      </c>
      <c r="C1259" t="s">
        <v>7539</v>
      </c>
      <c r="D1259" t="s">
        <v>125</v>
      </c>
      <c r="E1259" t="s">
        <v>20</v>
      </c>
      <c r="F1259" t="str">
        <f>"43537-1549"</f>
        <v>43537-1549</v>
      </c>
      <c r="G1259" t="str">
        <f>"402019"</f>
        <v>402019</v>
      </c>
      <c r="H1259" s="2">
        <f>20</f>
        <v>20</v>
      </c>
      <c r="I1259" t="s">
        <v>27</v>
      </c>
      <c r="J1259" t="s">
        <v>42</v>
      </c>
      <c r="K1259" t="str">
        <f>"115979"</f>
        <v>115979</v>
      </c>
    </row>
    <row r="1260" spans="1:11" x14ac:dyDescent="0.25">
      <c r="A1260">
        <v>2021</v>
      </c>
      <c r="B1260" t="s">
        <v>7542</v>
      </c>
      <c r="C1260" t="s">
        <v>7543</v>
      </c>
      <c r="D1260" t="s">
        <v>19</v>
      </c>
      <c r="E1260" t="s">
        <v>20</v>
      </c>
      <c r="F1260" t="str">
        <f>"43608"</f>
        <v>43608</v>
      </c>
      <c r="G1260" t="str">
        <f>"402063"</f>
        <v>402063</v>
      </c>
      <c r="H1260" s="2">
        <f>3</f>
        <v>3</v>
      </c>
      <c r="I1260" t="s">
        <v>27</v>
      </c>
      <c r="J1260" t="s">
        <v>71</v>
      </c>
      <c r="K1260" t="str">
        <f>"11003535"</f>
        <v>11003535</v>
      </c>
    </row>
    <row r="1261" spans="1:11" x14ac:dyDescent="0.25">
      <c r="A1261">
        <v>2021</v>
      </c>
      <c r="B1261" t="s">
        <v>7547</v>
      </c>
      <c r="C1261" t="s">
        <v>7548</v>
      </c>
      <c r="D1261" t="s">
        <v>19</v>
      </c>
      <c r="E1261" t="s">
        <v>20</v>
      </c>
      <c r="F1261" t="str">
        <f>"43604"</f>
        <v>43604</v>
      </c>
      <c r="G1261" t="str">
        <f>"Pio448069"</f>
        <v>Pio448069</v>
      </c>
      <c r="H1261" s="2">
        <f>1</f>
        <v>1</v>
      </c>
      <c r="I1261" t="s">
        <v>86</v>
      </c>
      <c r="J1261" t="s">
        <v>87</v>
      </c>
      <c r="K1261" t="str">
        <f>"0"</f>
        <v>0</v>
      </c>
    </row>
    <row r="1262" spans="1:11" x14ac:dyDescent="0.25">
      <c r="A1262">
        <v>2021</v>
      </c>
      <c r="B1262" t="s">
        <v>7549</v>
      </c>
      <c r="C1262" t="s">
        <v>7550</v>
      </c>
      <c r="D1262" t="s">
        <v>7551</v>
      </c>
      <c r="E1262" t="s">
        <v>20</v>
      </c>
      <c r="F1262" t="str">
        <f>"43447"</f>
        <v>43447</v>
      </c>
      <c r="G1262" t="str">
        <f>"402018"</f>
        <v>402018</v>
      </c>
      <c r="H1262" s="2">
        <f>2.26</f>
        <v>2.2599999999999998</v>
      </c>
      <c r="I1262" t="s">
        <v>27</v>
      </c>
      <c r="J1262" t="s">
        <v>171</v>
      </c>
      <c r="K1262" t="str">
        <f>"515901"</f>
        <v>515901</v>
      </c>
    </row>
    <row r="1263" spans="1:11" x14ac:dyDescent="0.25">
      <c r="A1263">
        <v>2021</v>
      </c>
      <c r="B1263" t="s">
        <v>7561</v>
      </c>
      <c r="C1263" t="s">
        <v>7562</v>
      </c>
      <c r="D1263" t="s">
        <v>19</v>
      </c>
      <c r="E1263" t="s">
        <v>20</v>
      </c>
      <c r="F1263" t="str">
        <f>"43615"</f>
        <v>43615</v>
      </c>
      <c r="G1263" t="str">
        <f>"Pio448069"</f>
        <v>Pio448069</v>
      </c>
      <c r="H1263" s="2">
        <f>3</f>
        <v>3</v>
      </c>
      <c r="I1263" t="s">
        <v>86</v>
      </c>
      <c r="J1263" t="s">
        <v>87</v>
      </c>
      <c r="K1263" t="str">
        <f>"0"</f>
        <v>0</v>
      </c>
    </row>
    <row r="1264" spans="1:11" x14ac:dyDescent="0.25">
      <c r="A1264">
        <v>2021</v>
      </c>
      <c r="B1264" t="s">
        <v>7567</v>
      </c>
      <c r="C1264" t="s">
        <v>7568</v>
      </c>
      <c r="D1264" t="s">
        <v>19</v>
      </c>
      <c r="E1264" t="s">
        <v>20</v>
      </c>
      <c r="F1264" t="str">
        <f>"43604"</f>
        <v>43604</v>
      </c>
      <c r="G1264" t="str">
        <f>"402017"</f>
        <v>402017</v>
      </c>
      <c r="H1264" s="2">
        <f>2</f>
        <v>2</v>
      </c>
      <c r="I1264" t="s">
        <v>27</v>
      </c>
      <c r="J1264" t="s">
        <v>212</v>
      </c>
      <c r="K1264" t="str">
        <f>"33631"</f>
        <v>33631</v>
      </c>
    </row>
    <row r="1265" spans="1:11" x14ac:dyDescent="0.25">
      <c r="A1265">
        <v>2021</v>
      </c>
      <c r="B1265" t="s">
        <v>7577</v>
      </c>
      <c r="C1265" t="s">
        <v>7578</v>
      </c>
      <c r="D1265" t="s">
        <v>323</v>
      </c>
      <c r="E1265" t="s">
        <v>20</v>
      </c>
      <c r="F1265" t="str">
        <f>"43571-9798"</f>
        <v>43571-9798</v>
      </c>
      <c r="G1265" t="str">
        <f>"402019"</f>
        <v>402019</v>
      </c>
      <c r="H1265" s="2">
        <f>10</f>
        <v>10</v>
      </c>
      <c r="I1265" t="s">
        <v>27</v>
      </c>
      <c r="J1265" t="s">
        <v>42</v>
      </c>
      <c r="K1265" t="str">
        <f>"112417"</f>
        <v>112417</v>
      </c>
    </row>
    <row r="1266" spans="1:11" x14ac:dyDescent="0.25">
      <c r="A1266">
        <v>2021</v>
      </c>
      <c r="B1266" t="s">
        <v>7585</v>
      </c>
      <c r="C1266" t="s">
        <v>7586</v>
      </c>
      <c r="D1266" t="s">
        <v>19</v>
      </c>
      <c r="E1266" t="s">
        <v>20</v>
      </c>
      <c r="F1266" t="str">
        <f>"43608"</f>
        <v>43608</v>
      </c>
      <c r="G1266" t="str">
        <f>"Pio448069"</f>
        <v>Pio448069</v>
      </c>
      <c r="H1266" s="2">
        <f>3</f>
        <v>3</v>
      </c>
      <c r="I1266" t="s">
        <v>86</v>
      </c>
      <c r="J1266" t="s">
        <v>87</v>
      </c>
      <c r="K1266" t="str">
        <f>"0"</f>
        <v>0</v>
      </c>
    </row>
    <row r="1267" spans="1:11" x14ac:dyDescent="0.25">
      <c r="A1267">
        <v>2021</v>
      </c>
      <c r="B1267" t="s">
        <v>7595</v>
      </c>
      <c r="C1267" t="s">
        <v>7596</v>
      </c>
      <c r="D1267" t="s">
        <v>19</v>
      </c>
      <c r="E1267" t="s">
        <v>20</v>
      </c>
      <c r="F1267" t="str">
        <f>"43615"</f>
        <v>43615</v>
      </c>
      <c r="G1267" t="str">
        <f>"Pio448069"</f>
        <v>Pio448069</v>
      </c>
      <c r="H1267" s="2">
        <f>0.5</f>
        <v>0.5</v>
      </c>
      <c r="I1267" t="s">
        <v>86</v>
      </c>
      <c r="J1267" t="s">
        <v>87</v>
      </c>
      <c r="K1267" t="str">
        <f>"0"</f>
        <v>0</v>
      </c>
    </row>
    <row r="1268" spans="1:11" x14ac:dyDescent="0.25">
      <c r="A1268">
        <v>2021</v>
      </c>
      <c r="B1268" t="s">
        <v>7618</v>
      </c>
      <c r="C1268" t="s">
        <v>7619</v>
      </c>
      <c r="D1268" t="s">
        <v>19</v>
      </c>
      <c r="E1268" t="s">
        <v>20</v>
      </c>
      <c r="F1268" t="str">
        <f>"43604"</f>
        <v>43604</v>
      </c>
      <c r="G1268" t="str">
        <f>"Pio448069"</f>
        <v>Pio448069</v>
      </c>
      <c r="H1268" s="2">
        <f>11</f>
        <v>11</v>
      </c>
      <c r="I1268" t="s">
        <v>86</v>
      </c>
      <c r="J1268" t="s">
        <v>87</v>
      </c>
      <c r="K1268" t="str">
        <f>"0"</f>
        <v>0</v>
      </c>
    </row>
    <row r="1269" spans="1:11" x14ac:dyDescent="0.25">
      <c r="A1269">
        <v>2021</v>
      </c>
      <c r="B1269" t="s">
        <v>7634</v>
      </c>
      <c r="C1269" t="s">
        <v>7635</v>
      </c>
      <c r="D1269" t="s">
        <v>19</v>
      </c>
      <c r="E1269" t="s">
        <v>20</v>
      </c>
      <c r="F1269" t="str">
        <f>"43607"</f>
        <v>43607</v>
      </c>
      <c r="G1269" t="str">
        <f>"Pio448069"</f>
        <v>Pio448069</v>
      </c>
      <c r="H1269" s="2">
        <f>29.25</f>
        <v>29.25</v>
      </c>
      <c r="I1269" t="s">
        <v>86</v>
      </c>
      <c r="J1269" t="s">
        <v>87</v>
      </c>
      <c r="K1269" t="str">
        <f>"0"</f>
        <v>0</v>
      </c>
    </row>
    <row r="1270" spans="1:11" x14ac:dyDescent="0.25">
      <c r="A1270">
        <v>2021</v>
      </c>
      <c r="B1270" t="s">
        <v>7644</v>
      </c>
      <c r="C1270" t="s">
        <v>3245</v>
      </c>
      <c r="D1270" t="s">
        <v>19</v>
      </c>
      <c r="E1270" t="s">
        <v>20</v>
      </c>
      <c r="F1270" t="str">
        <f>"43606-3226"</f>
        <v>43606-3226</v>
      </c>
      <c r="G1270" t="str">
        <f>"Swucf4621"</f>
        <v>Swucf4621</v>
      </c>
      <c r="H1270" s="2">
        <f>47.98</f>
        <v>47.98</v>
      </c>
      <c r="I1270" t="s">
        <v>15</v>
      </c>
      <c r="J1270" t="s">
        <v>81</v>
      </c>
      <c r="K1270" t="str">
        <f>"6292252"</f>
        <v>6292252</v>
      </c>
    </row>
    <row r="1271" spans="1:11" x14ac:dyDescent="0.25">
      <c r="A1271">
        <v>2021</v>
      </c>
      <c r="B1271" t="s">
        <v>7673</v>
      </c>
      <c r="C1271" t="s">
        <v>7674</v>
      </c>
      <c r="D1271" t="s">
        <v>19</v>
      </c>
      <c r="E1271" t="s">
        <v>20</v>
      </c>
      <c r="F1271" t="str">
        <f>"43612"</f>
        <v>43612</v>
      </c>
      <c r="G1271" t="str">
        <f>"Pio448069"</f>
        <v>Pio448069</v>
      </c>
      <c r="H1271" s="2">
        <f>0.25</f>
        <v>0.25</v>
      </c>
      <c r="I1271" t="s">
        <v>86</v>
      </c>
      <c r="J1271" t="s">
        <v>87</v>
      </c>
      <c r="K1271" t="str">
        <f>"0"</f>
        <v>0</v>
      </c>
    </row>
    <row r="1272" spans="1:11" x14ac:dyDescent="0.25">
      <c r="A1272">
        <v>2021</v>
      </c>
      <c r="B1272" t="s">
        <v>7675</v>
      </c>
      <c r="C1272" t="s">
        <v>7676</v>
      </c>
      <c r="D1272" t="s">
        <v>19</v>
      </c>
      <c r="E1272" t="s">
        <v>20</v>
      </c>
      <c r="F1272" t="str">
        <f>"43609"</f>
        <v>43609</v>
      </c>
      <c r="G1272" t="str">
        <f>"402018"</f>
        <v>402018</v>
      </c>
      <c r="H1272" s="2">
        <f>20</f>
        <v>20</v>
      </c>
      <c r="I1272" t="s">
        <v>27</v>
      </c>
      <c r="J1272" t="s">
        <v>171</v>
      </c>
      <c r="K1272" t="str">
        <f>"516410"</f>
        <v>516410</v>
      </c>
    </row>
    <row r="1273" spans="1:11" x14ac:dyDescent="0.25">
      <c r="A1273">
        <v>2021</v>
      </c>
      <c r="B1273" t="s">
        <v>7680</v>
      </c>
      <c r="C1273" t="s">
        <v>7681</v>
      </c>
      <c r="D1273" t="s">
        <v>7682</v>
      </c>
      <c r="E1273" t="s">
        <v>14</v>
      </c>
      <c r="F1273" t="str">
        <f>"49707"</f>
        <v>49707</v>
      </c>
      <c r="G1273" t="str">
        <f>"Je110321"</f>
        <v>Je110321</v>
      </c>
      <c r="H1273" s="2">
        <f>23.08</f>
        <v>23.08</v>
      </c>
      <c r="I1273" t="s">
        <v>15</v>
      </c>
      <c r="J1273" t="s">
        <v>596</v>
      </c>
      <c r="K1273" t="str">
        <f>"60023817"</f>
        <v>60023817</v>
      </c>
    </row>
    <row r="1274" spans="1:11" x14ac:dyDescent="0.25">
      <c r="A1274">
        <v>2021</v>
      </c>
      <c r="B1274" t="s">
        <v>7683</v>
      </c>
      <c r="C1274" t="s">
        <v>7684</v>
      </c>
      <c r="D1274" t="s">
        <v>125</v>
      </c>
      <c r="E1274" t="s">
        <v>20</v>
      </c>
      <c r="F1274" t="str">
        <f>"43537-2322"</f>
        <v>43537-2322</v>
      </c>
      <c r="G1274" t="str">
        <f>"402019"</f>
        <v>402019</v>
      </c>
      <c r="H1274" s="2">
        <f>60</f>
        <v>60</v>
      </c>
      <c r="I1274" t="s">
        <v>27</v>
      </c>
      <c r="J1274" t="s">
        <v>42</v>
      </c>
      <c r="K1274" t="str">
        <f>"114423"</f>
        <v>114423</v>
      </c>
    </row>
    <row r="1275" spans="1:11" x14ac:dyDescent="0.25">
      <c r="A1275">
        <v>2021</v>
      </c>
      <c r="B1275" t="s">
        <v>7685</v>
      </c>
      <c r="C1275" t="s">
        <v>7686</v>
      </c>
      <c r="D1275" t="s">
        <v>19</v>
      </c>
      <c r="E1275" t="s">
        <v>20</v>
      </c>
      <c r="F1275" t="str">
        <f>"43606"</f>
        <v>43606</v>
      </c>
      <c r="G1275" t="str">
        <f>"Je092221"</f>
        <v>Je092221</v>
      </c>
      <c r="H1275" s="2">
        <f>35</f>
        <v>35</v>
      </c>
      <c r="I1275" t="s">
        <v>15</v>
      </c>
      <c r="J1275" t="s">
        <v>114</v>
      </c>
      <c r="K1275" t="str">
        <f>"60011271"</f>
        <v>60011271</v>
      </c>
    </row>
    <row r="1276" spans="1:11" x14ac:dyDescent="0.25">
      <c r="A1276">
        <v>2021</v>
      </c>
      <c r="B1276" t="s">
        <v>7703</v>
      </c>
      <c r="C1276" t="s">
        <v>7704</v>
      </c>
      <c r="D1276" t="s">
        <v>50</v>
      </c>
      <c r="E1276" t="s">
        <v>20</v>
      </c>
      <c r="F1276" t="str">
        <f>"43560"</f>
        <v>43560</v>
      </c>
      <c r="G1276" t="str">
        <f>"402018"</f>
        <v>402018</v>
      </c>
      <c r="H1276" s="2">
        <f>20</f>
        <v>20</v>
      </c>
      <c r="I1276" t="s">
        <v>27</v>
      </c>
      <c r="J1276" t="s">
        <v>171</v>
      </c>
      <c r="K1276" t="str">
        <f>"516676"</f>
        <v>516676</v>
      </c>
    </row>
    <row r="1277" spans="1:11" x14ac:dyDescent="0.25">
      <c r="A1277">
        <v>2021</v>
      </c>
      <c r="B1277" t="s">
        <v>7703</v>
      </c>
      <c r="C1277" t="s">
        <v>7704</v>
      </c>
      <c r="D1277" t="s">
        <v>50</v>
      </c>
      <c r="E1277" t="s">
        <v>20</v>
      </c>
      <c r="F1277" t="str">
        <f>"43560"</f>
        <v>43560</v>
      </c>
      <c r="G1277" t="str">
        <f>"402018"</f>
        <v>402018</v>
      </c>
      <c r="H1277" s="2">
        <f>5</f>
        <v>5</v>
      </c>
      <c r="I1277" t="s">
        <v>27</v>
      </c>
      <c r="J1277" t="s">
        <v>171</v>
      </c>
      <c r="K1277" t="str">
        <f>"518189"</f>
        <v>518189</v>
      </c>
    </row>
    <row r="1278" spans="1:11" x14ac:dyDescent="0.25">
      <c r="A1278">
        <v>2021</v>
      </c>
      <c r="B1278" t="s">
        <v>7703</v>
      </c>
      <c r="C1278" t="s">
        <v>7704</v>
      </c>
      <c r="D1278" t="s">
        <v>50</v>
      </c>
      <c r="E1278" t="s">
        <v>20</v>
      </c>
      <c r="F1278" t="str">
        <f>"43560"</f>
        <v>43560</v>
      </c>
      <c r="G1278" t="str">
        <f>"402018"</f>
        <v>402018</v>
      </c>
      <c r="H1278" s="2">
        <f>10</f>
        <v>10</v>
      </c>
      <c r="I1278" t="s">
        <v>27</v>
      </c>
      <c r="J1278" t="s">
        <v>171</v>
      </c>
      <c r="K1278" t="str">
        <f>"518293"</f>
        <v>518293</v>
      </c>
    </row>
    <row r="1279" spans="1:11" x14ac:dyDescent="0.25">
      <c r="A1279">
        <v>2021</v>
      </c>
      <c r="B1279" t="s">
        <v>7705</v>
      </c>
      <c r="C1279" t="s">
        <v>7706</v>
      </c>
      <c r="D1279" t="s">
        <v>19</v>
      </c>
      <c r="E1279" t="s">
        <v>20</v>
      </c>
      <c r="F1279" t="str">
        <f>"43606"</f>
        <v>43606</v>
      </c>
      <c r="G1279" t="str">
        <f>"402017"</f>
        <v>402017</v>
      </c>
      <c r="H1279" s="2">
        <f>20</f>
        <v>20</v>
      </c>
      <c r="I1279" t="s">
        <v>27</v>
      </c>
      <c r="J1279" t="s">
        <v>212</v>
      </c>
      <c r="K1279" t="str">
        <f>"35498"</f>
        <v>35498</v>
      </c>
    </row>
    <row r="1280" spans="1:11" x14ac:dyDescent="0.25">
      <c r="A1280">
        <v>2021</v>
      </c>
      <c r="B1280" t="s">
        <v>7709</v>
      </c>
      <c r="C1280" t="s">
        <v>6096</v>
      </c>
      <c r="D1280" t="s">
        <v>19</v>
      </c>
      <c r="E1280" t="s">
        <v>20</v>
      </c>
      <c r="F1280" t="str">
        <f>"43607"</f>
        <v>43607</v>
      </c>
      <c r="G1280" t="str">
        <f>"Je110321"</f>
        <v>Je110321</v>
      </c>
      <c r="H1280" s="2">
        <f>5.29</f>
        <v>5.29</v>
      </c>
      <c r="I1280" t="s">
        <v>15</v>
      </c>
      <c r="J1280" t="s">
        <v>596</v>
      </c>
      <c r="K1280" t="str">
        <f>"60024829"</f>
        <v>60024829</v>
      </c>
    </row>
    <row r="1281" spans="1:11" x14ac:dyDescent="0.25">
      <c r="A1281">
        <v>2021</v>
      </c>
      <c r="B1281" t="s">
        <v>7714</v>
      </c>
      <c r="C1281" t="s">
        <v>7715</v>
      </c>
      <c r="D1281" t="s">
        <v>19</v>
      </c>
      <c r="E1281" t="s">
        <v>20</v>
      </c>
      <c r="F1281" t="str">
        <f>"43615"</f>
        <v>43615</v>
      </c>
      <c r="G1281" t="str">
        <f>"Pio448069"</f>
        <v>Pio448069</v>
      </c>
      <c r="H1281" s="2">
        <f>80</f>
        <v>80</v>
      </c>
      <c r="I1281" t="s">
        <v>86</v>
      </c>
      <c r="J1281" t="s">
        <v>87</v>
      </c>
      <c r="K1281" t="str">
        <f>"0"</f>
        <v>0</v>
      </c>
    </row>
    <row r="1282" spans="1:11" x14ac:dyDescent="0.25">
      <c r="A1282">
        <v>2021</v>
      </c>
      <c r="B1282" t="s">
        <v>7716</v>
      </c>
      <c r="C1282" t="s">
        <v>7717</v>
      </c>
      <c r="D1282" t="s">
        <v>19</v>
      </c>
      <c r="E1282" t="s">
        <v>20</v>
      </c>
      <c r="F1282" t="str">
        <f>"43609-1437"</f>
        <v>43609-1437</v>
      </c>
      <c r="G1282" t="str">
        <f>"402019"</f>
        <v>402019</v>
      </c>
      <c r="H1282" s="2">
        <f>10</f>
        <v>10</v>
      </c>
      <c r="I1282" t="s">
        <v>27</v>
      </c>
      <c r="J1282" t="s">
        <v>42</v>
      </c>
      <c r="K1282" t="str">
        <f>"111339"</f>
        <v>111339</v>
      </c>
    </row>
    <row r="1283" spans="1:11" x14ac:dyDescent="0.25">
      <c r="A1283">
        <v>2021</v>
      </c>
      <c r="B1283" t="s">
        <v>7718</v>
      </c>
      <c r="C1283" t="s">
        <v>7719</v>
      </c>
      <c r="D1283" t="s">
        <v>125</v>
      </c>
      <c r="E1283" t="s">
        <v>20</v>
      </c>
      <c r="F1283" t="str">
        <f>"43537-1025"</f>
        <v>43537-1025</v>
      </c>
      <c r="G1283" t="str">
        <f>"402019"</f>
        <v>402019</v>
      </c>
      <c r="H1283" s="2">
        <f>30</f>
        <v>30</v>
      </c>
      <c r="I1283" t="s">
        <v>27</v>
      </c>
      <c r="J1283" t="s">
        <v>42</v>
      </c>
      <c r="K1283" t="str">
        <f>"114345"</f>
        <v>114345</v>
      </c>
    </row>
    <row r="1284" spans="1:11" x14ac:dyDescent="0.25">
      <c r="A1284">
        <v>2021</v>
      </c>
      <c r="B1284" t="s">
        <v>7718</v>
      </c>
      <c r="C1284" t="s">
        <v>7719</v>
      </c>
      <c r="D1284" t="s">
        <v>125</v>
      </c>
      <c r="E1284" t="s">
        <v>20</v>
      </c>
      <c r="F1284" t="str">
        <f>"43537-1025"</f>
        <v>43537-1025</v>
      </c>
      <c r="G1284" t="str">
        <f>"402019"</f>
        <v>402019</v>
      </c>
      <c r="H1284" s="2">
        <f>40</f>
        <v>40</v>
      </c>
      <c r="I1284" t="s">
        <v>27</v>
      </c>
      <c r="J1284" t="s">
        <v>42</v>
      </c>
      <c r="K1284" t="str">
        <f>"114294"</f>
        <v>114294</v>
      </c>
    </row>
    <row r="1285" spans="1:11" x14ac:dyDescent="0.25">
      <c r="A1285">
        <v>2021</v>
      </c>
      <c r="B1285" t="s">
        <v>7722</v>
      </c>
      <c r="C1285" t="s">
        <v>7723</v>
      </c>
      <c r="D1285" t="s">
        <v>899</v>
      </c>
      <c r="E1285" t="s">
        <v>20</v>
      </c>
      <c r="F1285" t="str">
        <f>"43412-9738"</f>
        <v>43412-9738</v>
      </c>
      <c r="G1285" t="str">
        <f>"Swucf4621"</f>
        <v>Swucf4621</v>
      </c>
      <c r="H1285" s="2">
        <f>83.04</f>
        <v>83.04</v>
      </c>
      <c r="I1285" t="s">
        <v>15</v>
      </c>
      <c r="J1285" t="s">
        <v>81</v>
      </c>
      <c r="K1285" t="str">
        <f>"6289101"</f>
        <v>6289101</v>
      </c>
    </row>
    <row r="1286" spans="1:11" x14ac:dyDescent="0.25">
      <c r="A1286">
        <v>2021</v>
      </c>
      <c r="B1286" t="s">
        <v>7728</v>
      </c>
      <c r="C1286" t="s">
        <v>7729</v>
      </c>
      <c r="D1286" t="s">
        <v>64</v>
      </c>
      <c r="E1286" t="s">
        <v>20</v>
      </c>
      <c r="F1286" t="str">
        <f>"43566"</f>
        <v>43566</v>
      </c>
      <c r="G1286" t="str">
        <f>"Pio448069"</f>
        <v>Pio448069</v>
      </c>
      <c r="H1286" s="2">
        <f>1</f>
        <v>1</v>
      </c>
      <c r="I1286" t="s">
        <v>86</v>
      </c>
      <c r="J1286" t="s">
        <v>87</v>
      </c>
      <c r="K1286" t="str">
        <f>"0"</f>
        <v>0</v>
      </c>
    </row>
    <row r="1287" spans="1:11" x14ac:dyDescent="0.25">
      <c r="A1287">
        <v>2021</v>
      </c>
      <c r="B1287" t="s">
        <v>7734</v>
      </c>
      <c r="C1287" t="s">
        <v>7735</v>
      </c>
      <c r="D1287" t="s">
        <v>19</v>
      </c>
      <c r="E1287" t="s">
        <v>20</v>
      </c>
      <c r="F1287" t="str">
        <f>"43606"</f>
        <v>43606</v>
      </c>
      <c r="G1287" t="str">
        <f>"Je092221"</f>
        <v>Je092221</v>
      </c>
      <c r="H1287" s="2">
        <f>35</f>
        <v>35</v>
      </c>
      <c r="I1287" t="s">
        <v>15</v>
      </c>
      <c r="J1287" t="s">
        <v>114</v>
      </c>
      <c r="K1287" t="str">
        <f>"60011274"</f>
        <v>60011274</v>
      </c>
    </row>
    <row r="1288" spans="1:11" x14ac:dyDescent="0.25">
      <c r="A1288">
        <v>2021</v>
      </c>
      <c r="B1288" t="s">
        <v>7742</v>
      </c>
      <c r="C1288" t="s">
        <v>6266</v>
      </c>
      <c r="D1288" t="s">
        <v>19</v>
      </c>
      <c r="E1288" t="s">
        <v>20</v>
      </c>
      <c r="F1288" t="str">
        <f>"43605-3126"</f>
        <v>43605-3126</v>
      </c>
      <c r="G1288" t="str">
        <f>"402019"</f>
        <v>402019</v>
      </c>
      <c r="H1288" s="2">
        <f>20</f>
        <v>20</v>
      </c>
      <c r="I1288" t="s">
        <v>27</v>
      </c>
      <c r="J1288" t="s">
        <v>42</v>
      </c>
      <c r="K1288" t="str">
        <f>"115457"</f>
        <v>115457</v>
      </c>
    </row>
    <row r="1289" spans="1:11" x14ac:dyDescent="0.25">
      <c r="A1289">
        <v>2021</v>
      </c>
      <c r="B1289" t="s">
        <v>7745</v>
      </c>
      <c r="C1289" t="s">
        <v>7746</v>
      </c>
      <c r="D1289" t="s">
        <v>19</v>
      </c>
      <c r="E1289" t="s">
        <v>20</v>
      </c>
      <c r="F1289" t="str">
        <f>"43605"</f>
        <v>43605</v>
      </c>
      <c r="G1289" t="str">
        <f>"Pio448069"</f>
        <v>Pio448069</v>
      </c>
      <c r="H1289" s="2">
        <f>1</f>
        <v>1</v>
      </c>
      <c r="I1289" t="s">
        <v>86</v>
      </c>
      <c r="J1289" t="s">
        <v>87</v>
      </c>
      <c r="K1289" t="str">
        <f>"0"</f>
        <v>0</v>
      </c>
    </row>
    <row r="1290" spans="1:11" x14ac:dyDescent="0.25">
      <c r="A1290">
        <v>2021</v>
      </c>
      <c r="B1290" t="s">
        <v>7753</v>
      </c>
      <c r="C1290" t="s">
        <v>7754</v>
      </c>
      <c r="D1290" t="s">
        <v>19</v>
      </c>
      <c r="E1290" t="s">
        <v>20</v>
      </c>
      <c r="F1290" t="str">
        <f>"43610-1323"</f>
        <v>43610-1323</v>
      </c>
      <c r="G1290" t="str">
        <f>"402019"</f>
        <v>402019</v>
      </c>
      <c r="H1290" s="2">
        <f>10</f>
        <v>10</v>
      </c>
      <c r="I1290" t="s">
        <v>27</v>
      </c>
      <c r="J1290" t="s">
        <v>42</v>
      </c>
      <c r="K1290" t="str">
        <f>"112222"</f>
        <v>112222</v>
      </c>
    </row>
    <row r="1291" spans="1:11" x14ac:dyDescent="0.25">
      <c r="A1291">
        <v>2021</v>
      </c>
      <c r="B1291" t="s">
        <v>7755</v>
      </c>
      <c r="C1291" t="s">
        <v>7756</v>
      </c>
      <c r="D1291" t="s">
        <v>19</v>
      </c>
      <c r="E1291" t="s">
        <v>20</v>
      </c>
      <c r="F1291" t="str">
        <f>"43614-2679"</f>
        <v>43614-2679</v>
      </c>
      <c r="G1291" t="str">
        <f>"402019"</f>
        <v>402019</v>
      </c>
      <c r="H1291" s="2">
        <f>10</f>
        <v>10</v>
      </c>
      <c r="I1291" t="s">
        <v>27</v>
      </c>
      <c r="J1291" t="s">
        <v>42</v>
      </c>
      <c r="K1291" t="str">
        <f>"111245"</f>
        <v>111245</v>
      </c>
    </row>
    <row r="1292" spans="1:11" x14ac:dyDescent="0.25">
      <c r="A1292">
        <v>2021</v>
      </c>
      <c r="B1292" t="s">
        <v>7761</v>
      </c>
      <c r="C1292" t="s">
        <v>7762</v>
      </c>
      <c r="D1292" t="s">
        <v>19</v>
      </c>
      <c r="E1292" t="s">
        <v>20</v>
      </c>
      <c r="F1292" t="str">
        <f>"43606-4503"</f>
        <v>43606-4503</v>
      </c>
      <c r="G1292" t="str">
        <f>"402019"</f>
        <v>402019</v>
      </c>
      <c r="H1292" s="2">
        <f>10</f>
        <v>10</v>
      </c>
      <c r="I1292" t="s">
        <v>27</v>
      </c>
      <c r="J1292" t="s">
        <v>42</v>
      </c>
      <c r="K1292" t="str">
        <f>"113048"</f>
        <v>113048</v>
      </c>
    </row>
    <row r="1293" spans="1:11" x14ac:dyDescent="0.25">
      <c r="A1293">
        <v>2021</v>
      </c>
      <c r="B1293" t="s">
        <v>7771</v>
      </c>
      <c r="C1293" t="s">
        <v>7772</v>
      </c>
      <c r="D1293" t="s">
        <v>50</v>
      </c>
      <c r="E1293" t="s">
        <v>20</v>
      </c>
      <c r="F1293" t="str">
        <f>"43560-3401"</f>
        <v>43560-3401</v>
      </c>
      <c r="G1293" t="str">
        <f>"402019"</f>
        <v>402019</v>
      </c>
      <c r="H1293" s="2">
        <f>40</f>
        <v>40</v>
      </c>
      <c r="I1293" t="s">
        <v>27</v>
      </c>
      <c r="J1293" t="s">
        <v>42</v>
      </c>
      <c r="K1293" t="str">
        <f>"115948"</f>
        <v>115948</v>
      </c>
    </row>
    <row r="1294" spans="1:11" x14ac:dyDescent="0.25">
      <c r="A1294">
        <v>2021</v>
      </c>
      <c r="B1294" t="s">
        <v>7779</v>
      </c>
      <c r="C1294" t="s">
        <v>7780</v>
      </c>
      <c r="D1294" t="s">
        <v>19</v>
      </c>
      <c r="E1294" t="s">
        <v>20</v>
      </c>
      <c r="F1294" t="str">
        <f>"43612-2235"</f>
        <v>43612-2235</v>
      </c>
      <c r="G1294" t="str">
        <f>"402019"</f>
        <v>402019</v>
      </c>
      <c r="H1294" s="2">
        <f>10</f>
        <v>10</v>
      </c>
      <c r="I1294" t="s">
        <v>27</v>
      </c>
      <c r="J1294" t="s">
        <v>42</v>
      </c>
      <c r="K1294" t="str">
        <f>"115943"</f>
        <v>115943</v>
      </c>
    </row>
    <row r="1295" spans="1:11" x14ac:dyDescent="0.25">
      <c r="A1295">
        <v>2021</v>
      </c>
      <c r="B1295" t="s">
        <v>7791</v>
      </c>
      <c r="C1295" t="s">
        <v>7792</v>
      </c>
      <c r="D1295" t="s">
        <v>125</v>
      </c>
      <c r="E1295" t="s">
        <v>20</v>
      </c>
      <c r="F1295" t="str">
        <f>"43537"</f>
        <v>43537</v>
      </c>
      <c r="G1295" t="str">
        <f>"Je061721"</f>
        <v>Je061721</v>
      </c>
      <c r="H1295" s="2">
        <f>103.54</f>
        <v>103.54</v>
      </c>
      <c r="I1295" t="s">
        <v>15</v>
      </c>
      <c r="J1295" t="s">
        <v>137</v>
      </c>
      <c r="K1295" t="str">
        <f>"60006882"</f>
        <v>60006882</v>
      </c>
    </row>
    <row r="1296" spans="1:11" x14ac:dyDescent="0.25">
      <c r="A1296">
        <v>2021</v>
      </c>
      <c r="B1296" t="s">
        <v>7811</v>
      </c>
      <c r="C1296" t="s">
        <v>7812</v>
      </c>
      <c r="D1296" t="s">
        <v>19</v>
      </c>
      <c r="E1296" t="s">
        <v>20</v>
      </c>
      <c r="F1296" t="str">
        <f>"43623-2634"</f>
        <v>43623-2634</v>
      </c>
      <c r="G1296" t="str">
        <f>"402019"</f>
        <v>402019</v>
      </c>
      <c r="H1296" s="2">
        <f>20</f>
        <v>20</v>
      </c>
      <c r="I1296" t="s">
        <v>27</v>
      </c>
      <c r="J1296" t="s">
        <v>42</v>
      </c>
      <c r="K1296" t="str">
        <f>"114207"</f>
        <v>114207</v>
      </c>
    </row>
    <row r="1297" spans="1:11" x14ac:dyDescent="0.25">
      <c r="A1297">
        <v>2021</v>
      </c>
      <c r="B1297" t="s">
        <v>7815</v>
      </c>
      <c r="C1297" t="s">
        <v>7816</v>
      </c>
      <c r="D1297" t="s">
        <v>19</v>
      </c>
      <c r="E1297" t="s">
        <v>20</v>
      </c>
      <c r="F1297" t="str">
        <f>"43611-3740"</f>
        <v>43611-3740</v>
      </c>
      <c r="G1297" t="str">
        <f>"402019"</f>
        <v>402019</v>
      </c>
      <c r="H1297" s="2">
        <f>10</f>
        <v>10</v>
      </c>
      <c r="I1297" t="s">
        <v>27</v>
      </c>
      <c r="J1297" t="s">
        <v>42</v>
      </c>
      <c r="K1297" t="str">
        <f>"114788"</f>
        <v>114788</v>
      </c>
    </row>
    <row r="1298" spans="1:11" x14ac:dyDescent="0.25">
      <c r="A1298">
        <v>2021</v>
      </c>
      <c r="B1298" t="s">
        <v>7817</v>
      </c>
      <c r="C1298" t="s">
        <v>7818</v>
      </c>
      <c r="D1298" t="s">
        <v>19</v>
      </c>
      <c r="E1298" t="s">
        <v>20</v>
      </c>
      <c r="F1298" t="str">
        <f>"43613-5134"</f>
        <v>43613-5134</v>
      </c>
      <c r="G1298" t="str">
        <f>"402019"</f>
        <v>402019</v>
      </c>
      <c r="H1298" s="2">
        <f>10</f>
        <v>10</v>
      </c>
      <c r="I1298" t="s">
        <v>27</v>
      </c>
      <c r="J1298" t="s">
        <v>42</v>
      </c>
      <c r="K1298" t="str">
        <f>"114066"</f>
        <v>114066</v>
      </c>
    </row>
    <row r="1299" spans="1:11" x14ac:dyDescent="0.25">
      <c r="A1299">
        <v>2021</v>
      </c>
      <c r="B1299" t="s">
        <v>7833</v>
      </c>
      <c r="C1299" t="s">
        <v>7834</v>
      </c>
      <c r="D1299" t="s">
        <v>125</v>
      </c>
      <c r="E1299" t="s">
        <v>20</v>
      </c>
      <c r="F1299" t="str">
        <f>"43537-4132"</f>
        <v>43537-4132</v>
      </c>
      <c r="G1299" t="str">
        <f>"402019"</f>
        <v>402019</v>
      </c>
      <c r="H1299" s="2">
        <f>10</f>
        <v>10</v>
      </c>
      <c r="I1299" t="s">
        <v>27</v>
      </c>
      <c r="J1299" t="s">
        <v>42</v>
      </c>
      <c r="K1299" t="str">
        <f>"115110"</f>
        <v>115110</v>
      </c>
    </row>
    <row r="1300" spans="1:11" x14ac:dyDescent="0.25">
      <c r="A1300">
        <v>2021</v>
      </c>
      <c r="B1300" t="s">
        <v>7860</v>
      </c>
      <c r="C1300" t="s">
        <v>7861</v>
      </c>
      <c r="D1300" t="s">
        <v>19</v>
      </c>
      <c r="E1300" t="s">
        <v>20</v>
      </c>
      <c r="F1300" t="str">
        <f>"43604"</f>
        <v>43604</v>
      </c>
      <c r="G1300" t="str">
        <f>"Je061721"</f>
        <v>Je061721</v>
      </c>
      <c r="H1300" s="2">
        <f>241.47</f>
        <v>241.47</v>
      </c>
      <c r="I1300" t="s">
        <v>15</v>
      </c>
      <c r="J1300" t="s">
        <v>137</v>
      </c>
      <c r="K1300" t="str">
        <f>"60005819"</f>
        <v>60005819</v>
      </c>
    </row>
    <row r="1301" spans="1:11" x14ac:dyDescent="0.25">
      <c r="A1301">
        <v>2021</v>
      </c>
      <c r="B1301" t="s">
        <v>7886</v>
      </c>
      <c r="C1301" t="s">
        <v>7887</v>
      </c>
      <c r="D1301" t="s">
        <v>19</v>
      </c>
      <c r="E1301" t="s">
        <v>20</v>
      </c>
      <c r="F1301" t="str">
        <f>"43614-2224"</f>
        <v>43614-2224</v>
      </c>
      <c r="G1301" t="str">
        <f>"402019"</f>
        <v>402019</v>
      </c>
      <c r="H1301" s="2">
        <f>10</f>
        <v>10</v>
      </c>
      <c r="I1301" t="s">
        <v>27</v>
      </c>
      <c r="J1301" t="s">
        <v>42</v>
      </c>
      <c r="K1301" t="str">
        <f>"115038"</f>
        <v>115038</v>
      </c>
    </row>
    <row r="1302" spans="1:11" x14ac:dyDescent="0.25">
      <c r="A1302">
        <v>2021</v>
      </c>
      <c r="B1302" t="s">
        <v>7892</v>
      </c>
      <c r="C1302" t="s">
        <v>7893</v>
      </c>
      <c r="D1302" t="s">
        <v>19</v>
      </c>
      <c r="E1302" t="s">
        <v>20</v>
      </c>
      <c r="F1302" t="str">
        <f>"43609"</f>
        <v>43609</v>
      </c>
      <c r="G1302" t="str">
        <f>"397019"</f>
        <v>397019</v>
      </c>
      <c r="H1302" s="2">
        <f>96</f>
        <v>96</v>
      </c>
      <c r="I1302" t="s">
        <v>519</v>
      </c>
      <c r="J1302" t="s">
        <v>519</v>
      </c>
      <c r="K1302" t="str">
        <f>"10222"</f>
        <v>10222</v>
      </c>
    </row>
    <row r="1303" spans="1:11" x14ac:dyDescent="0.25">
      <c r="A1303">
        <v>2021</v>
      </c>
      <c r="B1303" t="s">
        <v>7898</v>
      </c>
      <c r="C1303" t="s">
        <v>7899</v>
      </c>
      <c r="D1303" t="s">
        <v>19</v>
      </c>
      <c r="E1303" t="s">
        <v>20</v>
      </c>
      <c r="F1303" t="str">
        <f>"43607"</f>
        <v>43607</v>
      </c>
      <c r="G1303" t="str">
        <f>"Pio448069"</f>
        <v>Pio448069</v>
      </c>
      <c r="H1303" s="2">
        <f>4</f>
        <v>4</v>
      </c>
      <c r="I1303" t="s">
        <v>86</v>
      </c>
      <c r="J1303" t="s">
        <v>87</v>
      </c>
      <c r="K1303" t="str">
        <f>"0"</f>
        <v>0</v>
      </c>
    </row>
    <row r="1304" spans="1:11" x14ac:dyDescent="0.25">
      <c r="A1304">
        <v>2021</v>
      </c>
      <c r="B1304" t="s">
        <v>7911</v>
      </c>
      <c r="C1304" t="s">
        <v>7912</v>
      </c>
      <c r="D1304" t="s">
        <v>7913</v>
      </c>
      <c r="E1304" t="s">
        <v>216</v>
      </c>
      <c r="F1304" t="str">
        <f>"46737"</f>
        <v>46737</v>
      </c>
      <c r="G1304" t="str">
        <f>"Pio448069"</f>
        <v>Pio448069</v>
      </c>
      <c r="H1304" s="2">
        <f>20</f>
        <v>20</v>
      </c>
      <c r="I1304" t="s">
        <v>86</v>
      </c>
      <c r="J1304" t="s">
        <v>87</v>
      </c>
      <c r="K1304" t="str">
        <f>"0"</f>
        <v>0</v>
      </c>
    </row>
    <row r="1305" spans="1:11" x14ac:dyDescent="0.25">
      <c r="A1305">
        <v>2021</v>
      </c>
      <c r="B1305" t="s">
        <v>7914</v>
      </c>
      <c r="C1305" t="s">
        <v>7915</v>
      </c>
      <c r="D1305" t="s">
        <v>7916</v>
      </c>
      <c r="E1305" t="s">
        <v>20</v>
      </c>
      <c r="F1305" t="str">
        <f>"43465"</f>
        <v>43465</v>
      </c>
      <c r="G1305" t="str">
        <f>"402018"</f>
        <v>402018</v>
      </c>
      <c r="H1305" s="2">
        <f>11.93</f>
        <v>11.93</v>
      </c>
      <c r="I1305" t="s">
        <v>27</v>
      </c>
      <c r="J1305" t="s">
        <v>171</v>
      </c>
      <c r="K1305" t="str">
        <f>"515898"</f>
        <v>515898</v>
      </c>
    </row>
    <row r="1306" spans="1:11" x14ac:dyDescent="0.25">
      <c r="A1306">
        <v>2021</v>
      </c>
      <c r="B1306" t="s">
        <v>7917</v>
      </c>
      <c r="C1306" t="s">
        <v>7918</v>
      </c>
      <c r="D1306" t="s">
        <v>19</v>
      </c>
      <c r="E1306" t="s">
        <v>20</v>
      </c>
      <c r="F1306" t="str">
        <f>"43612"</f>
        <v>43612</v>
      </c>
      <c r="G1306" t="str">
        <f>"Je110321"</f>
        <v>Je110321</v>
      </c>
      <c r="H1306" s="2">
        <f>598.36</f>
        <v>598.36</v>
      </c>
      <c r="I1306" t="s">
        <v>15</v>
      </c>
      <c r="J1306" t="s">
        <v>596</v>
      </c>
      <c r="K1306" t="str">
        <f>"60019789"</f>
        <v>60019789</v>
      </c>
    </row>
    <row r="1307" spans="1:11" x14ac:dyDescent="0.25">
      <c r="A1307">
        <v>2021</v>
      </c>
      <c r="B1307" t="s">
        <v>7925</v>
      </c>
      <c r="C1307" t="s">
        <v>7926</v>
      </c>
      <c r="D1307" t="s">
        <v>19</v>
      </c>
      <c r="E1307" t="s">
        <v>20</v>
      </c>
      <c r="F1307" t="str">
        <f>"43607"</f>
        <v>43607</v>
      </c>
      <c r="G1307" t="str">
        <f>"Je092221"</f>
        <v>Je092221</v>
      </c>
      <c r="H1307" s="2">
        <f>7.48</f>
        <v>7.48</v>
      </c>
      <c r="I1307" t="s">
        <v>15</v>
      </c>
      <c r="J1307" t="s">
        <v>114</v>
      </c>
      <c r="K1307" t="str">
        <f>"60008831"</f>
        <v>60008831</v>
      </c>
    </row>
    <row r="1308" spans="1:11" x14ac:dyDescent="0.25">
      <c r="A1308">
        <v>2021</v>
      </c>
      <c r="B1308" t="s">
        <v>7929</v>
      </c>
      <c r="C1308" t="s">
        <v>7930</v>
      </c>
      <c r="D1308" t="s">
        <v>19</v>
      </c>
      <c r="E1308" t="s">
        <v>20</v>
      </c>
      <c r="F1308" t="str">
        <f>"43613-3336"</f>
        <v>43613-3336</v>
      </c>
      <c r="G1308" t="str">
        <f>"402019"</f>
        <v>402019</v>
      </c>
      <c r="H1308" s="2">
        <f>10</f>
        <v>10</v>
      </c>
      <c r="I1308" t="s">
        <v>27</v>
      </c>
      <c r="J1308" t="s">
        <v>42</v>
      </c>
      <c r="K1308" t="str">
        <f>"112019"</f>
        <v>112019</v>
      </c>
    </row>
    <row r="1309" spans="1:11" x14ac:dyDescent="0.25">
      <c r="A1309">
        <v>2021</v>
      </c>
      <c r="B1309" t="s">
        <v>7940</v>
      </c>
      <c r="C1309" t="s">
        <v>7941</v>
      </c>
      <c r="D1309" t="s">
        <v>19</v>
      </c>
      <c r="E1309" t="s">
        <v>20</v>
      </c>
      <c r="F1309" t="str">
        <f>"43607"</f>
        <v>43607</v>
      </c>
      <c r="G1309" t="str">
        <f>"Bwucf4621"</f>
        <v>Bwucf4621</v>
      </c>
      <c r="H1309" s="2">
        <f>32</f>
        <v>32</v>
      </c>
      <c r="I1309" t="s">
        <v>15</v>
      </c>
      <c r="J1309" t="s">
        <v>295</v>
      </c>
      <c r="K1309" t="str">
        <f>"01447986"</f>
        <v>01447986</v>
      </c>
    </row>
    <row r="1310" spans="1:11" x14ac:dyDescent="0.25">
      <c r="A1310">
        <v>2021</v>
      </c>
      <c r="B1310" t="s">
        <v>7949</v>
      </c>
      <c r="C1310" t="s">
        <v>7950</v>
      </c>
      <c r="D1310" t="s">
        <v>19</v>
      </c>
      <c r="E1310" t="s">
        <v>20</v>
      </c>
      <c r="F1310" t="str">
        <f>"43615"</f>
        <v>43615</v>
      </c>
      <c r="G1310" t="str">
        <f>"Swucf4621"</f>
        <v>Swucf4621</v>
      </c>
      <c r="H1310" s="2">
        <f>170</f>
        <v>170</v>
      </c>
      <c r="I1310" t="s">
        <v>15</v>
      </c>
      <c r="J1310" t="s">
        <v>81</v>
      </c>
      <c r="K1310" t="str">
        <f>"6294665"</f>
        <v>6294665</v>
      </c>
    </row>
    <row r="1311" spans="1:11" x14ac:dyDescent="0.25">
      <c r="A1311">
        <v>2021</v>
      </c>
      <c r="B1311" t="s">
        <v>7957</v>
      </c>
      <c r="C1311" t="s">
        <v>7958</v>
      </c>
      <c r="D1311" t="s">
        <v>1944</v>
      </c>
      <c r="E1311" t="s">
        <v>1945</v>
      </c>
      <c r="F1311" t="str">
        <f>"85040-2384"</f>
        <v>85040-2384</v>
      </c>
      <c r="G1311" t="str">
        <f>"Swucf4621"</f>
        <v>Swucf4621</v>
      </c>
      <c r="H1311" s="2">
        <f>64.59</f>
        <v>64.59</v>
      </c>
      <c r="I1311" t="s">
        <v>15</v>
      </c>
      <c r="J1311" t="s">
        <v>81</v>
      </c>
      <c r="K1311" t="str">
        <f>"6292290"</f>
        <v>6292290</v>
      </c>
    </row>
    <row r="1312" spans="1:11" x14ac:dyDescent="0.25">
      <c r="A1312">
        <v>2021</v>
      </c>
      <c r="B1312" t="s">
        <v>7969</v>
      </c>
      <c r="C1312" t="s">
        <v>7970</v>
      </c>
      <c r="D1312" t="s">
        <v>19</v>
      </c>
      <c r="E1312" t="s">
        <v>20</v>
      </c>
      <c r="F1312" t="str">
        <f>"43615-4155"</f>
        <v>43615-4155</v>
      </c>
      <c r="G1312" t="str">
        <f>"Swucf4621"</f>
        <v>Swucf4621</v>
      </c>
      <c r="H1312" s="2">
        <f>46.14</f>
        <v>46.14</v>
      </c>
      <c r="I1312" t="s">
        <v>15</v>
      </c>
      <c r="J1312" t="s">
        <v>81</v>
      </c>
      <c r="K1312" t="str">
        <f>"6289134"</f>
        <v>6289134</v>
      </c>
    </row>
    <row r="1313" spans="1:11" x14ac:dyDescent="0.25">
      <c r="A1313">
        <v>2021</v>
      </c>
      <c r="B1313" t="s">
        <v>7971</v>
      </c>
      <c r="C1313" t="s">
        <v>7970</v>
      </c>
      <c r="D1313" t="s">
        <v>19</v>
      </c>
      <c r="E1313" t="s">
        <v>20</v>
      </c>
      <c r="F1313" t="str">
        <f>"43615"</f>
        <v>43615</v>
      </c>
      <c r="G1313" t="str">
        <f>"Je061721"</f>
        <v>Je061721</v>
      </c>
      <c r="H1313" s="2">
        <f>46.22</f>
        <v>46.22</v>
      </c>
      <c r="I1313" t="s">
        <v>15</v>
      </c>
      <c r="J1313" t="s">
        <v>137</v>
      </c>
      <c r="K1313" t="str">
        <f>"60006901"</f>
        <v>60006901</v>
      </c>
    </row>
    <row r="1314" spans="1:11" x14ac:dyDescent="0.25">
      <c r="A1314">
        <v>2021</v>
      </c>
      <c r="B1314" t="s">
        <v>7984</v>
      </c>
      <c r="C1314" t="s">
        <v>7985</v>
      </c>
      <c r="D1314" t="s">
        <v>125</v>
      </c>
      <c r="E1314" t="s">
        <v>20</v>
      </c>
      <c r="F1314" t="str">
        <f>"43537"</f>
        <v>43537</v>
      </c>
      <c r="G1314" t="str">
        <f>"Je092221"</f>
        <v>Je092221</v>
      </c>
      <c r="H1314" s="2">
        <f>35</f>
        <v>35</v>
      </c>
      <c r="I1314" t="s">
        <v>15</v>
      </c>
      <c r="J1314" t="s">
        <v>114</v>
      </c>
      <c r="K1314" t="str">
        <f>"60011333"</f>
        <v>60011333</v>
      </c>
    </row>
    <row r="1315" spans="1:11" x14ac:dyDescent="0.25">
      <c r="A1315">
        <v>2021</v>
      </c>
      <c r="B1315" t="s">
        <v>7989</v>
      </c>
      <c r="C1315" t="s">
        <v>7990</v>
      </c>
      <c r="D1315" t="s">
        <v>105</v>
      </c>
      <c r="E1315" t="s">
        <v>20</v>
      </c>
      <c r="F1315" t="str">
        <f>"43528"</f>
        <v>43528</v>
      </c>
      <c r="G1315" t="str">
        <f>"Je092221"</f>
        <v>Je092221</v>
      </c>
      <c r="H1315" s="2">
        <f>35</f>
        <v>35</v>
      </c>
      <c r="I1315" t="s">
        <v>15</v>
      </c>
      <c r="J1315" t="s">
        <v>114</v>
      </c>
      <c r="K1315" t="str">
        <f>"60011334"</f>
        <v>60011334</v>
      </c>
    </row>
    <row r="1316" spans="1:11" x14ac:dyDescent="0.25">
      <c r="A1316">
        <v>2021</v>
      </c>
      <c r="B1316" t="s">
        <v>7997</v>
      </c>
      <c r="C1316" t="s">
        <v>7998</v>
      </c>
      <c r="D1316" t="s">
        <v>7916</v>
      </c>
      <c r="E1316" t="s">
        <v>20</v>
      </c>
      <c r="F1316" t="str">
        <f>"43465"</f>
        <v>43465</v>
      </c>
      <c r="G1316" t="str">
        <f>"Bwucf4621"</f>
        <v>Bwucf4621</v>
      </c>
      <c r="H1316" s="2">
        <f>10.07</f>
        <v>10.07</v>
      </c>
      <c r="I1316" t="s">
        <v>15</v>
      </c>
      <c r="J1316" t="s">
        <v>295</v>
      </c>
      <c r="K1316" t="str">
        <f>"01436489"</f>
        <v>01436489</v>
      </c>
    </row>
    <row r="1317" spans="1:11" x14ac:dyDescent="0.25">
      <c r="A1317">
        <v>2021</v>
      </c>
      <c r="B1317" t="s">
        <v>8004</v>
      </c>
      <c r="C1317" t="s">
        <v>8005</v>
      </c>
      <c r="D1317" t="s">
        <v>19</v>
      </c>
      <c r="E1317" t="s">
        <v>20</v>
      </c>
      <c r="F1317" t="str">
        <f>"43623"</f>
        <v>43623</v>
      </c>
      <c r="G1317" t="str">
        <f>"402018"</f>
        <v>402018</v>
      </c>
      <c r="H1317" s="2">
        <f>2.55</f>
        <v>2.5499999999999998</v>
      </c>
      <c r="I1317" t="s">
        <v>27</v>
      </c>
      <c r="J1317" t="s">
        <v>171</v>
      </c>
      <c r="K1317" t="str">
        <f>"515900"</f>
        <v>515900</v>
      </c>
    </row>
    <row r="1318" spans="1:11" x14ac:dyDescent="0.25">
      <c r="A1318">
        <v>2021</v>
      </c>
      <c r="B1318" t="s">
        <v>8006</v>
      </c>
      <c r="C1318" t="s">
        <v>8007</v>
      </c>
      <c r="D1318" t="s">
        <v>7976</v>
      </c>
      <c r="E1318" t="s">
        <v>20</v>
      </c>
      <c r="F1318" t="str">
        <f>"44647"</f>
        <v>44647</v>
      </c>
      <c r="G1318" t="str">
        <f>"Pio448069"</f>
        <v>Pio448069</v>
      </c>
      <c r="H1318" s="2">
        <f>7</f>
        <v>7</v>
      </c>
      <c r="I1318" t="s">
        <v>86</v>
      </c>
      <c r="J1318" t="s">
        <v>87</v>
      </c>
      <c r="K1318" t="str">
        <f>"0"</f>
        <v>0</v>
      </c>
    </row>
    <row r="1319" spans="1:11" x14ac:dyDescent="0.25">
      <c r="A1319">
        <v>2021</v>
      </c>
      <c r="B1319" t="s">
        <v>8010</v>
      </c>
      <c r="C1319" t="s">
        <v>8011</v>
      </c>
      <c r="D1319" t="s">
        <v>19</v>
      </c>
      <c r="E1319" t="s">
        <v>20</v>
      </c>
      <c r="F1319" t="str">
        <f>"43609"</f>
        <v>43609</v>
      </c>
      <c r="G1319" t="str">
        <f>"Pio448069"</f>
        <v>Pio448069</v>
      </c>
      <c r="H1319" s="2">
        <f>8.04</f>
        <v>8.0399999999999991</v>
      </c>
      <c r="I1319" t="s">
        <v>86</v>
      </c>
      <c r="J1319" t="s">
        <v>87</v>
      </c>
      <c r="K1319" t="str">
        <f>"0"</f>
        <v>0</v>
      </c>
    </row>
    <row r="1320" spans="1:11" x14ac:dyDescent="0.25">
      <c r="A1320">
        <v>2021</v>
      </c>
      <c r="B1320" t="s">
        <v>8012</v>
      </c>
      <c r="C1320" t="s">
        <v>8013</v>
      </c>
      <c r="D1320" t="s">
        <v>58</v>
      </c>
      <c r="E1320" t="s">
        <v>20</v>
      </c>
      <c r="F1320" t="str">
        <f>"43616"</f>
        <v>43616</v>
      </c>
      <c r="G1320" t="str">
        <f>"402063"</f>
        <v>402063</v>
      </c>
      <c r="H1320" s="2">
        <f>10</f>
        <v>10</v>
      </c>
      <c r="I1320" t="s">
        <v>27</v>
      </c>
      <c r="J1320" t="s">
        <v>71</v>
      </c>
      <c r="K1320" t="str">
        <f>"33005909"</f>
        <v>33005909</v>
      </c>
    </row>
    <row r="1321" spans="1:11" x14ac:dyDescent="0.25">
      <c r="A1321">
        <v>2021</v>
      </c>
      <c r="B1321" t="s">
        <v>8014</v>
      </c>
      <c r="C1321" t="s">
        <v>8015</v>
      </c>
      <c r="D1321" t="s">
        <v>19</v>
      </c>
      <c r="E1321" t="s">
        <v>20</v>
      </c>
      <c r="F1321" t="str">
        <f>"43605"</f>
        <v>43605</v>
      </c>
      <c r="G1321" t="str">
        <f>"402018"</f>
        <v>402018</v>
      </c>
      <c r="H1321" s="2">
        <f>5</f>
        <v>5</v>
      </c>
      <c r="I1321" t="s">
        <v>27</v>
      </c>
      <c r="J1321" t="s">
        <v>171</v>
      </c>
      <c r="K1321" t="str">
        <f>"515459"</f>
        <v>515459</v>
      </c>
    </row>
    <row r="1322" spans="1:11" x14ac:dyDescent="0.25">
      <c r="A1322">
        <v>2021</v>
      </c>
      <c r="B1322" t="s">
        <v>8016</v>
      </c>
      <c r="C1322" t="s">
        <v>8017</v>
      </c>
      <c r="D1322" t="s">
        <v>19</v>
      </c>
      <c r="E1322" t="s">
        <v>20</v>
      </c>
      <c r="F1322" t="str">
        <f>"43609"</f>
        <v>43609</v>
      </c>
      <c r="G1322" t="str">
        <f>"Pio448069"</f>
        <v>Pio448069</v>
      </c>
      <c r="H1322" s="2">
        <f>39.97</f>
        <v>39.97</v>
      </c>
      <c r="I1322" t="s">
        <v>86</v>
      </c>
      <c r="J1322" t="s">
        <v>87</v>
      </c>
      <c r="K1322" t="str">
        <f>"0"</f>
        <v>0</v>
      </c>
    </row>
    <row r="1323" spans="1:11" x14ac:dyDescent="0.25">
      <c r="A1323">
        <v>2021</v>
      </c>
      <c r="B1323" t="s">
        <v>8020</v>
      </c>
      <c r="C1323" t="s">
        <v>3314</v>
      </c>
      <c r="D1323" t="s">
        <v>1163</v>
      </c>
      <c r="E1323" t="s">
        <v>20</v>
      </c>
      <c r="F1323" t="str">
        <f>"45227"</f>
        <v>45227</v>
      </c>
      <c r="G1323" t="str">
        <f>"402017"</f>
        <v>402017</v>
      </c>
      <c r="H1323" s="2">
        <f>550</f>
        <v>550</v>
      </c>
      <c r="I1323" t="s">
        <v>27</v>
      </c>
      <c r="J1323" t="s">
        <v>212</v>
      </c>
      <c r="K1323" t="str">
        <f>"32675"</f>
        <v>32675</v>
      </c>
    </row>
    <row r="1324" spans="1:11" x14ac:dyDescent="0.25">
      <c r="A1324">
        <v>2021</v>
      </c>
      <c r="B1324" t="s">
        <v>8022</v>
      </c>
      <c r="C1324" t="s">
        <v>8023</v>
      </c>
      <c r="D1324" t="s">
        <v>19</v>
      </c>
      <c r="E1324" t="s">
        <v>20</v>
      </c>
      <c r="F1324" t="str">
        <f>"43613"</f>
        <v>43613</v>
      </c>
      <c r="G1324" t="str">
        <f>"Pio448069"</f>
        <v>Pio448069</v>
      </c>
      <c r="H1324" s="2">
        <f>12</f>
        <v>12</v>
      </c>
      <c r="I1324" t="s">
        <v>86</v>
      </c>
      <c r="J1324" t="s">
        <v>87</v>
      </c>
      <c r="K1324" t="str">
        <f>"0"</f>
        <v>0</v>
      </c>
    </row>
    <row r="1325" spans="1:11" x14ac:dyDescent="0.25">
      <c r="A1325">
        <v>2021</v>
      </c>
      <c r="B1325" t="s">
        <v>8034</v>
      </c>
      <c r="C1325" t="s">
        <v>8035</v>
      </c>
      <c r="D1325" t="s">
        <v>45</v>
      </c>
      <c r="E1325" t="s">
        <v>20</v>
      </c>
      <c r="F1325" t="str">
        <f>"43542"</f>
        <v>43542</v>
      </c>
      <c r="G1325" t="str">
        <f>"402019"</f>
        <v>402019</v>
      </c>
      <c r="H1325" s="2">
        <f>10</f>
        <v>10</v>
      </c>
      <c r="I1325" t="s">
        <v>27</v>
      </c>
      <c r="J1325" t="s">
        <v>42</v>
      </c>
      <c r="K1325" t="str">
        <f>"112562"</f>
        <v>112562</v>
      </c>
    </row>
    <row r="1326" spans="1:11" x14ac:dyDescent="0.25">
      <c r="A1326">
        <v>2021</v>
      </c>
      <c r="B1326" t="s">
        <v>8055</v>
      </c>
      <c r="C1326" t="s">
        <v>8056</v>
      </c>
      <c r="D1326" t="s">
        <v>19</v>
      </c>
      <c r="E1326" t="s">
        <v>20</v>
      </c>
      <c r="F1326" t="str">
        <f>"43615-2631"</f>
        <v>43615-2631</v>
      </c>
      <c r="G1326" t="str">
        <f>"402019"</f>
        <v>402019</v>
      </c>
      <c r="H1326" s="2">
        <f>10</f>
        <v>10</v>
      </c>
      <c r="I1326" t="s">
        <v>27</v>
      </c>
      <c r="J1326" t="s">
        <v>42</v>
      </c>
      <c r="K1326" t="str">
        <f>"111550"</f>
        <v>111550</v>
      </c>
    </row>
    <row r="1327" spans="1:11" x14ac:dyDescent="0.25">
      <c r="A1327">
        <v>2021</v>
      </c>
      <c r="B1327" t="s">
        <v>8071</v>
      </c>
      <c r="C1327" t="s">
        <v>8072</v>
      </c>
      <c r="D1327" t="s">
        <v>1074</v>
      </c>
      <c r="E1327" t="s">
        <v>20</v>
      </c>
      <c r="F1327" t="str">
        <f>"43551-9193"</f>
        <v>43551-9193</v>
      </c>
      <c r="G1327" t="str">
        <f>"Swucf4621"</f>
        <v>Swucf4621</v>
      </c>
      <c r="H1327" s="2">
        <f>18.49</f>
        <v>18.489999999999998</v>
      </c>
      <c r="I1327" t="s">
        <v>15</v>
      </c>
      <c r="J1327" t="s">
        <v>81</v>
      </c>
      <c r="K1327" t="str">
        <f>"6293879"</f>
        <v>6293879</v>
      </c>
    </row>
    <row r="1328" spans="1:11" x14ac:dyDescent="0.25">
      <c r="A1328">
        <v>2021</v>
      </c>
      <c r="B1328" t="s">
        <v>8078</v>
      </c>
      <c r="C1328" t="s">
        <v>8079</v>
      </c>
      <c r="D1328" t="s">
        <v>125</v>
      </c>
      <c r="E1328" t="s">
        <v>20</v>
      </c>
      <c r="F1328" t="str">
        <f>"43537-3005"</f>
        <v>43537-3005</v>
      </c>
      <c r="G1328" t="str">
        <f>"402019"</f>
        <v>402019</v>
      </c>
      <c r="H1328" s="2">
        <f>10</f>
        <v>10</v>
      </c>
      <c r="I1328" t="s">
        <v>27</v>
      </c>
      <c r="J1328" t="s">
        <v>42</v>
      </c>
      <c r="K1328" t="str">
        <f>"111279"</f>
        <v>111279</v>
      </c>
    </row>
    <row r="1329" spans="1:11" x14ac:dyDescent="0.25">
      <c r="A1329">
        <v>2021</v>
      </c>
      <c r="B1329" t="s">
        <v>8084</v>
      </c>
      <c r="C1329" t="s">
        <v>8085</v>
      </c>
      <c r="D1329" t="s">
        <v>125</v>
      </c>
      <c r="E1329" t="s">
        <v>20</v>
      </c>
      <c r="F1329" t="str">
        <f>"43537-9465"</f>
        <v>43537-9465</v>
      </c>
      <c r="G1329" t="str">
        <f>"402019"</f>
        <v>402019</v>
      </c>
      <c r="H1329" s="2">
        <f>20</f>
        <v>20</v>
      </c>
      <c r="I1329" t="s">
        <v>27</v>
      </c>
      <c r="J1329" t="s">
        <v>42</v>
      </c>
      <c r="K1329" t="str">
        <f>"114233"</f>
        <v>114233</v>
      </c>
    </row>
    <row r="1330" spans="1:11" x14ac:dyDescent="0.25">
      <c r="A1330">
        <v>2021</v>
      </c>
      <c r="B1330" t="s">
        <v>8094</v>
      </c>
      <c r="C1330" t="s">
        <v>5004</v>
      </c>
      <c r="D1330" t="s">
        <v>19</v>
      </c>
      <c r="E1330" t="s">
        <v>20</v>
      </c>
      <c r="F1330" t="str">
        <f>"43604"</f>
        <v>43604</v>
      </c>
      <c r="G1330" t="str">
        <f>"402017"</f>
        <v>402017</v>
      </c>
      <c r="H1330" s="2">
        <f>2.7</f>
        <v>2.7</v>
      </c>
      <c r="I1330" t="s">
        <v>27</v>
      </c>
      <c r="J1330" t="s">
        <v>212</v>
      </c>
      <c r="K1330" t="str">
        <f>"32891"</f>
        <v>32891</v>
      </c>
    </row>
    <row r="1331" spans="1:11" x14ac:dyDescent="0.25">
      <c r="A1331">
        <v>2021</v>
      </c>
      <c r="B1331" t="s">
        <v>8097</v>
      </c>
      <c r="C1331" t="s">
        <v>1731</v>
      </c>
      <c r="D1331" t="s">
        <v>19</v>
      </c>
      <c r="E1331" t="s">
        <v>20</v>
      </c>
      <c r="F1331" t="str">
        <f>"43604"</f>
        <v>43604</v>
      </c>
      <c r="G1331" t="str">
        <f t="shared" ref="G1331:G1337" si="37">"402018"</f>
        <v>402018</v>
      </c>
      <c r="H1331" s="2">
        <f>9.08</f>
        <v>9.08</v>
      </c>
      <c r="I1331" t="s">
        <v>27</v>
      </c>
      <c r="J1331" t="s">
        <v>171</v>
      </c>
      <c r="K1331" t="str">
        <f>"517679"</f>
        <v>517679</v>
      </c>
    </row>
    <row r="1332" spans="1:11" x14ac:dyDescent="0.25">
      <c r="A1332">
        <v>2021</v>
      </c>
      <c r="B1332" t="s">
        <v>8100</v>
      </c>
      <c r="C1332" t="s">
        <v>1731</v>
      </c>
      <c r="D1332" t="s">
        <v>19</v>
      </c>
      <c r="E1332" t="s">
        <v>20</v>
      </c>
      <c r="F1332" t="str">
        <f>"43604"</f>
        <v>43604</v>
      </c>
      <c r="G1332" t="str">
        <f t="shared" si="37"/>
        <v>402018</v>
      </c>
      <c r="H1332" s="2">
        <f>9.08</f>
        <v>9.08</v>
      </c>
      <c r="I1332" t="s">
        <v>27</v>
      </c>
      <c r="J1332" t="s">
        <v>171</v>
      </c>
      <c r="K1332" t="str">
        <f>"517680"</f>
        <v>517680</v>
      </c>
    </row>
    <row r="1333" spans="1:11" x14ac:dyDescent="0.25">
      <c r="A1333">
        <v>2021</v>
      </c>
      <c r="B1333" t="s">
        <v>8105</v>
      </c>
      <c r="C1333" t="s">
        <v>8106</v>
      </c>
      <c r="D1333" t="s">
        <v>19</v>
      </c>
      <c r="E1333" t="s">
        <v>20</v>
      </c>
      <c r="F1333" t="str">
        <f>"43606"</f>
        <v>43606</v>
      </c>
      <c r="G1333" t="str">
        <f t="shared" si="37"/>
        <v>402018</v>
      </c>
      <c r="H1333" s="2">
        <f>5.56</f>
        <v>5.56</v>
      </c>
      <c r="I1333" t="s">
        <v>27</v>
      </c>
      <c r="J1333" t="s">
        <v>171</v>
      </c>
      <c r="K1333" t="str">
        <f>"517220"</f>
        <v>517220</v>
      </c>
    </row>
    <row r="1334" spans="1:11" x14ac:dyDescent="0.25">
      <c r="A1334">
        <v>2021</v>
      </c>
      <c r="B1334" t="s">
        <v>8105</v>
      </c>
      <c r="C1334" t="s">
        <v>8106</v>
      </c>
      <c r="D1334" t="s">
        <v>19</v>
      </c>
      <c r="E1334" t="s">
        <v>20</v>
      </c>
      <c r="F1334" t="str">
        <f>"43606"</f>
        <v>43606</v>
      </c>
      <c r="G1334" t="str">
        <f t="shared" si="37"/>
        <v>402018</v>
      </c>
      <c r="H1334" s="2">
        <f>38.89</f>
        <v>38.89</v>
      </c>
      <c r="I1334" t="s">
        <v>27</v>
      </c>
      <c r="J1334" t="s">
        <v>171</v>
      </c>
      <c r="K1334" t="str">
        <f>"517584"</f>
        <v>517584</v>
      </c>
    </row>
    <row r="1335" spans="1:11" x14ac:dyDescent="0.25">
      <c r="A1335">
        <v>2021</v>
      </c>
      <c r="B1335" t="s">
        <v>8105</v>
      </c>
      <c r="C1335" t="s">
        <v>8106</v>
      </c>
      <c r="D1335" t="s">
        <v>19</v>
      </c>
      <c r="E1335" t="s">
        <v>20</v>
      </c>
      <c r="F1335" t="str">
        <f>"43606"</f>
        <v>43606</v>
      </c>
      <c r="G1335" t="str">
        <f t="shared" si="37"/>
        <v>402018</v>
      </c>
      <c r="H1335" s="2">
        <f>5.56</f>
        <v>5.56</v>
      </c>
      <c r="I1335" t="s">
        <v>27</v>
      </c>
      <c r="J1335" t="s">
        <v>171</v>
      </c>
      <c r="K1335" t="str">
        <f>"516040"</f>
        <v>516040</v>
      </c>
    </row>
    <row r="1336" spans="1:11" x14ac:dyDescent="0.25">
      <c r="A1336">
        <v>2021</v>
      </c>
      <c r="B1336" t="s">
        <v>8105</v>
      </c>
      <c r="C1336" t="s">
        <v>8106</v>
      </c>
      <c r="D1336" t="s">
        <v>19</v>
      </c>
      <c r="E1336" t="s">
        <v>20</v>
      </c>
      <c r="F1336" t="str">
        <f>"43606"</f>
        <v>43606</v>
      </c>
      <c r="G1336" t="str">
        <f t="shared" si="37"/>
        <v>402018</v>
      </c>
      <c r="H1336" s="2">
        <f>5.56</f>
        <v>5.56</v>
      </c>
      <c r="I1336" t="s">
        <v>27</v>
      </c>
      <c r="J1336" t="s">
        <v>171</v>
      </c>
      <c r="K1336" t="str">
        <f>"516304"</f>
        <v>516304</v>
      </c>
    </row>
    <row r="1337" spans="1:11" x14ac:dyDescent="0.25">
      <c r="A1337">
        <v>2021</v>
      </c>
      <c r="B1337" t="s">
        <v>8105</v>
      </c>
      <c r="C1337" t="s">
        <v>8106</v>
      </c>
      <c r="D1337" t="s">
        <v>19</v>
      </c>
      <c r="E1337" t="s">
        <v>20</v>
      </c>
      <c r="F1337" t="str">
        <f>"43606"</f>
        <v>43606</v>
      </c>
      <c r="G1337" t="str">
        <f t="shared" si="37"/>
        <v>402018</v>
      </c>
      <c r="H1337" s="2">
        <f>5.56</f>
        <v>5.56</v>
      </c>
      <c r="I1337" t="s">
        <v>27</v>
      </c>
      <c r="J1337" t="s">
        <v>171</v>
      </c>
      <c r="K1337" t="str">
        <f>"515764"</f>
        <v>515764</v>
      </c>
    </row>
    <row r="1338" spans="1:11" x14ac:dyDescent="0.25">
      <c r="A1338">
        <v>2021</v>
      </c>
      <c r="B1338" t="s">
        <v>8109</v>
      </c>
      <c r="C1338" t="s">
        <v>8110</v>
      </c>
      <c r="D1338" t="s">
        <v>19</v>
      </c>
      <c r="E1338" t="s">
        <v>20</v>
      </c>
      <c r="F1338" t="str">
        <f>"43604"</f>
        <v>43604</v>
      </c>
      <c r="G1338" t="str">
        <f>"402017"</f>
        <v>402017</v>
      </c>
      <c r="H1338" s="2">
        <f>20</f>
        <v>20</v>
      </c>
      <c r="I1338" t="s">
        <v>27</v>
      </c>
      <c r="J1338" t="s">
        <v>212</v>
      </c>
      <c r="K1338" t="str">
        <f>"34229"</f>
        <v>34229</v>
      </c>
    </row>
    <row r="1339" spans="1:11" x14ac:dyDescent="0.25">
      <c r="A1339">
        <v>2021</v>
      </c>
      <c r="B1339" t="s">
        <v>8119</v>
      </c>
      <c r="C1339" t="s">
        <v>8120</v>
      </c>
      <c r="D1339" t="s">
        <v>19</v>
      </c>
      <c r="E1339" t="s">
        <v>20</v>
      </c>
      <c r="F1339" t="str">
        <f>"43611"</f>
        <v>43611</v>
      </c>
      <c r="G1339" t="str">
        <f>"Pio448069"</f>
        <v>Pio448069</v>
      </c>
      <c r="H1339" s="2">
        <f>0.06</f>
        <v>0.06</v>
      </c>
      <c r="I1339" t="s">
        <v>86</v>
      </c>
      <c r="J1339" t="s">
        <v>87</v>
      </c>
      <c r="K1339" t="str">
        <f>"0"</f>
        <v>0</v>
      </c>
    </row>
    <row r="1340" spans="1:11" x14ac:dyDescent="0.25">
      <c r="A1340">
        <v>2021</v>
      </c>
      <c r="B1340" t="s">
        <v>8125</v>
      </c>
      <c r="C1340" t="s">
        <v>8126</v>
      </c>
      <c r="D1340" t="s">
        <v>19</v>
      </c>
      <c r="E1340" t="s">
        <v>20</v>
      </c>
      <c r="F1340" t="str">
        <f>"43608"</f>
        <v>43608</v>
      </c>
      <c r="G1340" t="str">
        <f>"Pio448069"</f>
        <v>Pio448069</v>
      </c>
      <c r="H1340" s="2">
        <f>120</f>
        <v>120</v>
      </c>
      <c r="I1340" t="s">
        <v>86</v>
      </c>
      <c r="J1340" t="s">
        <v>87</v>
      </c>
      <c r="K1340" t="str">
        <f>"0"</f>
        <v>0</v>
      </c>
    </row>
    <row r="1341" spans="1:11" x14ac:dyDescent="0.25">
      <c r="A1341">
        <v>2021</v>
      </c>
      <c r="B1341" t="s">
        <v>8131</v>
      </c>
      <c r="C1341" t="s">
        <v>8132</v>
      </c>
      <c r="D1341" t="s">
        <v>19</v>
      </c>
      <c r="E1341" t="s">
        <v>20</v>
      </c>
      <c r="F1341" t="str">
        <f>"43606"</f>
        <v>43606</v>
      </c>
      <c r="G1341" t="str">
        <f>"Pio448069"</f>
        <v>Pio448069</v>
      </c>
      <c r="H1341" s="2">
        <f>1</f>
        <v>1</v>
      </c>
      <c r="I1341" t="s">
        <v>86</v>
      </c>
      <c r="J1341" t="s">
        <v>87</v>
      </c>
      <c r="K1341" t="str">
        <f>"0"</f>
        <v>0</v>
      </c>
    </row>
    <row r="1342" spans="1:11" x14ac:dyDescent="0.25">
      <c r="A1342">
        <v>2021</v>
      </c>
      <c r="B1342" t="s">
        <v>8135</v>
      </c>
      <c r="C1342" t="s">
        <v>8136</v>
      </c>
      <c r="D1342" t="s">
        <v>19</v>
      </c>
      <c r="E1342" t="s">
        <v>20</v>
      </c>
      <c r="F1342" t="str">
        <f>"43604"</f>
        <v>43604</v>
      </c>
      <c r="G1342" t="str">
        <f>"Pio448069"</f>
        <v>Pio448069</v>
      </c>
      <c r="H1342" s="2">
        <f>5</f>
        <v>5</v>
      </c>
      <c r="I1342" t="s">
        <v>86</v>
      </c>
      <c r="J1342" t="s">
        <v>87</v>
      </c>
      <c r="K1342" t="str">
        <f>"0"</f>
        <v>0</v>
      </c>
    </row>
    <row r="1343" spans="1:11" x14ac:dyDescent="0.25">
      <c r="A1343">
        <v>2021</v>
      </c>
      <c r="B1343" t="s">
        <v>8139</v>
      </c>
      <c r="C1343" t="s">
        <v>8140</v>
      </c>
      <c r="D1343" t="s">
        <v>19</v>
      </c>
      <c r="E1343" t="s">
        <v>20</v>
      </c>
      <c r="F1343" t="str">
        <f>"43609"</f>
        <v>43609</v>
      </c>
      <c r="G1343" t="str">
        <f>"Pio448069"</f>
        <v>Pio448069</v>
      </c>
      <c r="H1343" s="2">
        <f>25</f>
        <v>25</v>
      </c>
      <c r="I1343" t="s">
        <v>86</v>
      </c>
      <c r="J1343" t="s">
        <v>87</v>
      </c>
      <c r="K1343" t="str">
        <f>"0"</f>
        <v>0</v>
      </c>
    </row>
    <row r="1344" spans="1:11" x14ac:dyDescent="0.25">
      <c r="A1344">
        <v>2021</v>
      </c>
      <c r="B1344" t="s">
        <v>8143</v>
      </c>
      <c r="C1344" t="s">
        <v>245</v>
      </c>
      <c r="D1344" t="s">
        <v>19</v>
      </c>
      <c r="E1344" t="s">
        <v>20</v>
      </c>
      <c r="F1344" t="str">
        <f>"43617"</f>
        <v>43617</v>
      </c>
      <c r="G1344" t="str">
        <f>"402017"</f>
        <v>402017</v>
      </c>
      <c r="H1344" s="2">
        <f>19.05</f>
        <v>19.05</v>
      </c>
      <c r="I1344" t="s">
        <v>27</v>
      </c>
      <c r="J1344" t="s">
        <v>212</v>
      </c>
      <c r="K1344" t="str">
        <f>"33792"</f>
        <v>33792</v>
      </c>
    </row>
    <row r="1345" spans="1:11" x14ac:dyDescent="0.25">
      <c r="A1345">
        <v>2021</v>
      </c>
      <c r="B1345" t="s">
        <v>8154</v>
      </c>
      <c r="C1345" t="s">
        <v>8155</v>
      </c>
      <c r="D1345" t="s">
        <v>19</v>
      </c>
      <c r="E1345" t="s">
        <v>20</v>
      </c>
      <c r="F1345" t="str">
        <f>"43608"</f>
        <v>43608</v>
      </c>
      <c r="G1345" t="str">
        <f>"402017"</f>
        <v>402017</v>
      </c>
      <c r="H1345" s="2">
        <f>6.5</f>
        <v>6.5</v>
      </c>
      <c r="I1345" t="s">
        <v>27</v>
      </c>
      <c r="J1345" t="s">
        <v>212</v>
      </c>
      <c r="K1345" t="str">
        <f>"32455"</f>
        <v>32455</v>
      </c>
    </row>
    <row r="1346" spans="1:11" x14ac:dyDescent="0.25">
      <c r="A1346">
        <v>2021</v>
      </c>
      <c r="B1346" t="s">
        <v>8156</v>
      </c>
      <c r="C1346" t="s">
        <v>8157</v>
      </c>
      <c r="D1346" t="s">
        <v>19</v>
      </c>
      <c r="E1346" t="s">
        <v>20</v>
      </c>
      <c r="F1346" t="str">
        <f>"43608"</f>
        <v>43608</v>
      </c>
      <c r="G1346" t="str">
        <f>"Swucf4621"</f>
        <v>Swucf4621</v>
      </c>
      <c r="H1346" s="2">
        <f>21</f>
        <v>21</v>
      </c>
      <c r="I1346" t="s">
        <v>15</v>
      </c>
      <c r="J1346" t="s">
        <v>81</v>
      </c>
      <c r="K1346" t="str">
        <f>"6297536"</f>
        <v>6297536</v>
      </c>
    </row>
    <row r="1347" spans="1:11" x14ac:dyDescent="0.25">
      <c r="A1347">
        <v>2021</v>
      </c>
      <c r="B1347" t="s">
        <v>8158</v>
      </c>
      <c r="C1347" t="s">
        <v>8159</v>
      </c>
      <c r="D1347" t="s">
        <v>19</v>
      </c>
      <c r="E1347" t="s">
        <v>20</v>
      </c>
      <c r="F1347" t="str">
        <f>"43612"</f>
        <v>43612</v>
      </c>
      <c r="G1347" t="str">
        <f>"Pio448069"</f>
        <v>Pio448069</v>
      </c>
      <c r="H1347" s="2">
        <f>1.02</f>
        <v>1.02</v>
      </c>
      <c r="I1347" t="s">
        <v>86</v>
      </c>
      <c r="J1347" t="s">
        <v>87</v>
      </c>
      <c r="K1347" t="str">
        <f>"0"</f>
        <v>0</v>
      </c>
    </row>
    <row r="1348" spans="1:11" x14ac:dyDescent="0.25">
      <c r="A1348">
        <v>2021</v>
      </c>
      <c r="B1348" t="s">
        <v>8162</v>
      </c>
      <c r="C1348" t="s">
        <v>8163</v>
      </c>
      <c r="D1348" t="s">
        <v>422</v>
      </c>
      <c r="E1348" t="s">
        <v>20</v>
      </c>
      <c r="F1348" t="str">
        <f>"44110"</f>
        <v>44110</v>
      </c>
      <c r="G1348" t="str">
        <f>"Pio448069"</f>
        <v>Pio448069</v>
      </c>
      <c r="H1348" s="2">
        <f>20</f>
        <v>20</v>
      </c>
      <c r="I1348" t="s">
        <v>86</v>
      </c>
      <c r="J1348" t="s">
        <v>87</v>
      </c>
      <c r="K1348" t="str">
        <f>"0"</f>
        <v>0</v>
      </c>
    </row>
    <row r="1349" spans="1:11" x14ac:dyDescent="0.25">
      <c r="A1349">
        <v>2021</v>
      </c>
      <c r="B1349" t="s">
        <v>8168</v>
      </c>
      <c r="C1349" t="s">
        <v>8169</v>
      </c>
      <c r="D1349" t="s">
        <v>19</v>
      </c>
      <c r="E1349" t="s">
        <v>20</v>
      </c>
      <c r="F1349" t="str">
        <f>"43607"</f>
        <v>43607</v>
      </c>
      <c r="G1349" t="str">
        <f>"Pio448069"</f>
        <v>Pio448069</v>
      </c>
      <c r="H1349" s="2">
        <f>25</f>
        <v>25</v>
      </c>
      <c r="I1349" t="s">
        <v>86</v>
      </c>
      <c r="J1349" t="s">
        <v>87</v>
      </c>
      <c r="K1349" t="str">
        <f>"0"</f>
        <v>0</v>
      </c>
    </row>
    <row r="1350" spans="1:11" x14ac:dyDescent="0.25">
      <c r="A1350">
        <v>2021</v>
      </c>
      <c r="B1350" t="s">
        <v>8189</v>
      </c>
      <c r="C1350" t="s">
        <v>8190</v>
      </c>
      <c r="D1350" t="s">
        <v>19</v>
      </c>
      <c r="E1350" t="s">
        <v>20</v>
      </c>
      <c r="F1350" t="str">
        <f>"43615-2311"</f>
        <v>43615-2311</v>
      </c>
      <c r="G1350" t="str">
        <f>"402019"</f>
        <v>402019</v>
      </c>
      <c r="H1350" s="2">
        <f>10</f>
        <v>10</v>
      </c>
      <c r="I1350" t="s">
        <v>27</v>
      </c>
      <c r="J1350" t="s">
        <v>42</v>
      </c>
      <c r="K1350" t="str">
        <f>"111855"</f>
        <v>111855</v>
      </c>
    </row>
    <row r="1351" spans="1:11" x14ac:dyDescent="0.25">
      <c r="A1351">
        <v>2021</v>
      </c>
      <c r="B1351" t="s">
        <v>8193</v>
      </c>
      <c r="C1351" t="s">
        <v>8194</v>
      </c>
      <c r="D1351" t="s">
        <v>19</v>
      </c>
      <c r="E1351" t="s">
        <v>20</v>
      </c>
      <c r="F1351" t="str">
        <f>"43606-2004"</f>
        <v>43606-2004</v>
      </c>
      <c r="G1351" t="str">
        <f>"402019"</f>
        <v>402019</v>
      </c>
      <c r="H1351" s="2">
        <f>10</f>
        <v>10</v>
      </c>
      <c r="I1351" t="s">
        <v>27</v>
      </c>
      <c r="J1351" t="s">
        <v>42</v>
      </c>
      <c r="K1351" t="str">
        <f>"113679"</f>
        <v>113679</v>
      </c>
    </row>
    <row r="1352" spans="1:11" x14ac:dyDescent="0.25">
      <c r="A1352">
        <v>2021</v>
      </c>
      <c r="B1352" t="s">
        <v>8203</v>
      </c>
      <c r="C1352" t="s">
        <v>8204</v>
      </c>
      <c r="D1352" t="s">
        <v>19</v>
      </c>
      <c r="E1352" t="s">
        <v>20</v>
      </c>
      <c r="F1352" t="str">
        <f>"43606-3738"</f>
        <v>43606-3738</v>
      </c>
      <c r="G1352" t="str">
        <f>"402019"</f>
        <v>402019</v>
      </c>
      <c r="H1352" s="2">
        <f>10</f>
        <v>10</v>
      </c>
      <c r="I1352" t="s">
        <v>27</v>
      </c>
      <c r="J1352" t="s">
        <v>42</v>
      </c>
      <c r="K1352" t="str">
        <f>"111533"</f>
        <v>111533</v>
      </c>
    </row>
    <row r="1353" spans="1:11" x14ac:dyDescent="0.25">
      <c r="A1353">
        <v>2021</v>
      </c>
      <c r="B1353" t="s">
        <v>8207</v>
      </c>
      <c r="C1353" t="s">
        <v>8208</v>
      </c>
      <c r="D1353" t="s">
        <v>19</v>
      </c>
      <c r="E1353" t="s">
        <v>20</v>
      </c>
      <c r="F1353" t="str">
        <f>"43613-3401"</f>
        <v>43613-3401</v>
      </c>
      <c r="G1353" t="str">
        <f>"402019"</f>
        <v>402019</v>
      </c>
      <c r="H1353" s="2">
        <f>30</f>
        <v>30</v>
      </c>
      <c r="I1353" t="s">
        <v>27</v>
      </c>
      <c r="J1353" t="s">
        <v>42</v>
      </c>
      <c r="K1353" t="str">
        <f>"111340"</f>
        <v>111340</v>
      </c>
    </row>
    <row r="1354" spans="1:11" x14ac:dyDescent="0.25">
      <c r="A1354">
        <v>2021</v>
      </c>
      <c r="B1354" t="s">
        <v>8209</v>
      </c>
      <c r="C1354" t="s">
        <v>8210</v>
      </c>
      <c r="D1354" t="s">
        <v>50</v>
      </c>
      <c r="E1354" t="s">
        <v>20</v>
      </c>
      <c r="F1354" t="str">
        <f>"43560"</f>
        <v>43560</v>
      </c>
      <c r="G1354" t="str">
        <f>"402018"</f>
        <v>402018</v>
      </c>
      <c r="H1354" s="2">
        <f>9.08</f>
        <v>9.08</v>
      </c>
      <c r="I1354" t="s">
        <v>27</v>
      </c>
      <c r="J1354" t="s">
        <v>171</v>
      </c>
      <c r="K1354" t="str">
        <f>"517681"</f>
        <v>517681</v>
      </c>
    </row>
    <row r="1355" spans="1:11" x14ac:dyDescent="0.25">
      <c r="A1355">
        <v>2021</v>
      </c>
      <c r="B1355" t="s">
        <v>8211</v>
      </c>
      <c r="C1355" t="s">
        <v>8212</v>
      </c>
      <c r="D1355" t="s">
        <v>58</v>
      </c>
      <c r="E1355" t="s">
        <v>20</v>
      </c>
      <c r="F1355" t="str">
        <f>"43616"</f>
        <v>43616</v>
      </c>
      <c r="G1355" t="str">
        <f>"402018"</f>
        <v>402018</v>
      </c>
      <c r="H1355" s="2">
        <f>50</f>
        <v>50</v>
      </c>
      <c r="I1355" t="s">
        <v>27</v>
      </c>
      <c r="J1355" t="s">
        <v>171</v>
      </c>
      <c r="K1355" t="str">
        <f>"517896"</f>
        <v>517896</v>
      </c>
    </row>
    <row r="1356" spans="1:11" x14ac:dyDescent="0.25">
      <c r="A1356">
        <v>2021</v>
      </c>
      <c r="B1356" t="s">
        <v>8211</v>
      </c>
      <c r="C1356" t="s">
        <v>8212</v>
      </c>
      <c r="D1356" t="s">
        <v>58</v>
      </c>
      <c r="E1356" t="s">
        <v>20</v>
      </c>
      <c r="F1356" t="str">
        <f>"43616"</f>
        <v>43616</v>
      </c>
      <c r="G1356" t="str">
        <f>"402018"</f>
        <v>402018</v>
      </c>
      <c r="H1356" s="2">
        <f>80</f>
        <v>80</v>
      </c>
      <c r="I1356" t="s">
        <v>27</v>
      </c>
      <c r="J1356" t="s">
        <v>171</v>
      </c>
      <c r="K1356" t="str">
        <f>"517340"</f>
        <v>517340</v>
      </c>
    </row>
    <row r="1357" spans="1:11" x14ac:dyDescent="0.25">
      <c r="A1357">
        <v>2021</v>
      </c>
      <c r="B1357" t="s">
        <v>8211</v>
      </c>
      <c r="C1357" t="s">
        <v>8212</v>
      </c>
      <c r="D1357" t="s">
        <v>58</v>
      </c>
      <c r="E1357" t="s">
        <v>20</v>
      </c>
      <c r="F1357" t="str">
        <f>"43616"</f>
        <v>43616</v>
      </c>
      <c r="G1357" t="str">
        <f>"402018"</f>
        <v>402018</v>
      </c>
      <c r="H1357" s="2">
        <f>50</f>
        <v>50</v>
      </c>
      <c r="I1357" t="s">
        <v>27</v>
      </c>
      <c r="J1357" t="s">
        <v>171</v>
      </c>
      <c r="K1357" t="str">
        <f>"516744"</f>
        <v>516744</v>
      </c>
    </row>
    <row r="1358" spans="1:11" x14ac:dyDescent="0.25">
      <c r="A1358">
        <v>2021</v>
      </c>
      <c r="B1358" t="s">
        <v>8217</v>
      </c>
      <c r="C1358" t="s">
        <v>8218</v>
      </c>
      <c r="D1358" t="s">
        <v>19</v>
      </c>
      <c r="E1358" t="s">
        <v>20</v>
      </c>
      <c r="F1358" t="str">
        <f>"43613"</f>
        <v>43613</v>
      </c>
      <c r="G1358" t="str">
        <f>"402019"</f>
        <v>402019</v>
      </c>
      <c r="H1358" s="2">
        <f>20</f>
        <v>20</v>
      </c>
      <c r="I1358" t="s">
        <v>27</v>
      </c>
      <c r="J1358" t="s">
        <v>42</v>
      </c>
      <c r="K1358" t="str">
        <f>"114938"</f>
        <v>114938</v>
      </c>
    </row>
    <row r="1359" spans="1:11" x14ac:dyDescent="0.25">
      <c r="A1359">
        <v>2021</v>
      </c>
      <c r="B1359" t="s">
        <v>8250</v>
      </c>
      <c r="C1359" t="s">
        <v>8251</v>
      </c>
      <c r="D1359" t="s">
        <v>19</v>
      </c>
      <c r="E1359" t="s">
        <v>20</v>
      </c>
      <c r="F1359" t="str">
        <f>"43612-2154"</f>
        <v>43612-2154</v>
      </c>
      <c r="G1359" t="str">
        <f>"402019"</f>
        <v>402019</v>
      </c>
      <c r="H1359" s="2">
        <f>10</f>
        <v>10</v>
      </c>
      <c r="I1359" t="s">
        <v>27</v>
      </c>
      <c r="J1359" t="s">
        <v>42</v>
      </c>
      <c r="K1359" t="str">
        <f>"113318"</f>
        <v>113318</v>
      </c>
    </row>
    <row r="1360" spans="1:11" x14ac:dyDescent="0.25">
      <c r="A1360">
        <v>2021</v>
      </c>
      <c r="B1360" t="s">
        <v>8262</v>
      </c>
      <c r="C1360" t="s">
        <v>8263</v>
      </c>
      <c r="D1360" t="s">
        <v>19</v>
      </c>
      <c r="E1360" t="s">
        <v>20</v>
      </c>
      <c r="F1360" t="str">
        <f>"43613"</f>
        <v>43613</v>
      </c>
      <c r="G1360" t="str">
        <f>"Pio448069"</f>
        <v>Pio448069</v>
      </c>
      <c r="H1360" s="2">
        <f>2</f>
        <v>2</v>
      </c>
      <c r="I1360" t="s">
        <v>86</v>
      </c>
      <c r="J1360" t="s">
        <v>87</v>
      </c>
      <c r="K1360" t="str">
        <f>"0"</f>
        <v>0</v>
      </c>
    </row>
    <row r="1361" spans="1:11" x14ac:dyDescent="0.25">
      <c r="A1361">
        <v>2021</v>
      </c>
      <c r="B1361" t="s">
        <v>8264</v>
      </c>
      <c r="C1361" t="s">
        <v>8265</v>
      </c>
      <c r="D1361" t="s">
        <v>19</v>
      </c>
      <c r="E1361" t="s">
        <v>20</v>
      </c>
      <c r="F1361" t="str">
        <f>"43617"</f>
        <v>43617</v>
      </c>
      <c r="G1361" t="str">
        <f>"402017"</f>
        <v>402017</v>
      </c>
      <c r="H1361" s="2">
        <f>4.18</f>
        <v>4.18</v>
      </c>
      <c r="I1361" t="s">
        <v>27</v>
      </c>
      <c r="J1361" t="s">
        <v>212</v>
      </c>
      <c r="K1361" t="str">
        <f>"35138"</f>
        <v>35138</v>
      </c>
    </row>
    <row r="1362" spans="1:11" x14ac:dyDescent="0.25">
      <c r="A1362">
        <v>2021</v>
      </c>
      <c r="B1362" t="s">
        <v>8268</v>
      </c>
      <c r="C1362" t="s">
        <v>8269</v>
      </c>
      <c r="D1362" t="s">
        <v>19</v>
      </c>
      <c r="E1362" t="s">
        <v>20</v>
      </c>
      <c r="F1362" t="str">
        <f>"43605"</f>
        <v>43605</v>
      </c>
      <c r="G1362" t="str">
        <f>"402018"</f>
        <v>402018</v>
      </c>
      <c r="H1362" s="2">
        <f>1</f>
        <v>1</v>
      </c>
      <c r="I1362" t="s">
        <v>27</v>
      </c>
      <c r="J1362" t="s">
        <v>171</v>
      </c>
      <c r="K1362" t="str">
        <f>"517997"</f>
        <v>517997</v>
      </c>
    </row>
    <row r="1363" spans="1:11" x14ac:dyDescent="0.25">
      <c r="A1363">
        <v>2021</v>
      </c>
      <c r="B1363" t="s">
        <v>8278</v>
      </c>
      <c r="C1363" t="s">
        <v>8279</v>
      </c>
      <c r="D1363" t="s">
        <v>19</v>
      </c>
      <c r="E1363" t="s">
        <v>20</v>
      </c>
      <c r="F1363" t="str">
        <f>"43605"</f>
        <v>43605</v>
      </c>
      <c r="G1363" t="str">
        <f>"Pio448069"</f>
        <v>Pio448069</v>
      </c>
      <c r="H1363" s="2">
        <f>5.47</f>
        <v>5.47</v>
      </c>
      <c r="I1363" t="s">
        <v>86</v>
      </c>
      <c r="J1363" t="s">
        <v>87</v>
      </c>
      <c r="K1363" t="str">
        <f>"0"</f>
        <v>0</v>
      </c>
    </row>
    <row r="1364" spans="1:11" x14ac:dyDescent="0.25">
      <c r="A1364">
        <v>2021</v>
      </c>
      <c r="B1364" t="s">
        <v>8282</v>
      </c>
      <c r="C1364" t="s">
        <v>8283</v>
      </c>
      <c r="D1364" t="s">
        <v>19</v>
      </c>
      <c r="E1364" t="s">
        <v>20</v>
      </c>
      <c r="F1364" t="str">
        <f>"43604"</f>
        <v>43604</v>
      </c>
      <c r="G1364" t="str">
        <f>"Pio448069"</f>
        <v>Pio448069</v>
      </c>
      <c r="H1364" s="2">
        <f>0.23</f>
        <v>0.23</v>
      </c>
      <c r="I1364" t="s">
        <v>86</v>
      </c>
      <c r="J1364" t="s">
        <v>87</v>
      </c>
      <c r="K1364" t="str">
        <f>"0"</f>
        <v>0</v>
      </c>
    </row>
    <row r="1365" spans="1:11" x14ac:dyDescent="0.25">
      <c r="A1365">
        <v>2021</v>
      </c>
      <c r="B1365" t="s">
        <v>8286</v>
      </c>
      <c r="C1365" t="s">
        <v>8287</v>
      </c>
      <c r="D1365" t="s">
        <v>19</v>
      </c>
      <c r="E1365" t="s">
        <v>20</v>
      </c>
      <c r="F1365" t="str">
        <f>"43604"</f>
        <v>43604</v>
      </c>
      <c r="G1365" t="str">
        <f>"Pio448069"</f>
        <v>Pio448069</v>
      </c>
      <c r="H1365" s="2">
        <f>20</f>
        <v>20</v>
      </c>
      <c r="I1365" t="s">
        <v>86</v>
      </c>
      <c r="J1365" t="s">
        <v>87</v>
      </c>
      <c r="K1365" t="str">
        <f>"0"</f>
        <v>0</v>
      </c>
    </row>
    <row r="1366" spans="1:11" x14ac:dyDescent="0.25">
      <c r="A1366">
        <v>2021</v>
      </c>
      <c r="B1366" t="s">
        <v>8288</v>
      </c>
      <c r="C1366" t="s">
        <v>8289</v>
      </c>
      <c r="D1366" t="s">
        <v>19</v>
      </c>
      <c r="E1366" t="s">
        <v>20</v>
      </c>
      <c r="F1366" t="str">
        <f>"43615"</f>
        <v>43615</v>
      </c>
      <c r="G1366" t="str">
        <f>"Je061721"</f>
        <v>Je061721</v>
      </c>
      <c r="H1366" s="2">
        <f>341.12</f>
        <v>341.12</v>
      </c>
      <c r="I1366" t="s">
        <v>15</v>
      </c>
      <c r="J1366" t="s">
        <v>137</v>
      </c>
      <c r="K1366" t="str">
        <f>"60001149"</f>
        <v>60001149</v>
      </c>
    </row>
    <row r="1367" spans="1:11" x14ac:dyDescent="0.25">
      <c r="A1367">
        <v>2021</v>
      </c>
      <c r="B1367" t="s">
        <v>8290</v>
      </c>
      <c r="C1367" t="s">
        <v>8291</v>
      </c>
      <c r="D1367" t="s">
        <v>4044</v>
      </c>
      <c r="E1367" t="s">
        <v>20</v>
      </c>
      <c r="F1367" t="str">
        <f>"44883"</f>
        <v>44883</v>
      </c>
      <c r="G1367" t="str">
        <f>"402017"</f>
        <v>402017</v>
      </c>
      <c r="H1367" s="2">
        <f>1251.13</f>
        <v>1251.1300000000001</v>
      </c>
      <c r="I1367" t="s">
        <v>27</v>
      </c>
      <c r="J1367" t="s">
        <v>212</v>
      </c>
      <c r="K1367" t="str">
        <f>"35888"</f>
        <v>35888</v>
      </c>
    </row>
    <row r="1368" spans="1:11" x14ac:dyDescent="0.25">
      <c r="A1368">
        <v>2021</v>
      </c>
      <c r="B1368" t="s">
        <v>8301</v>
      </c>
      <c r="C1368" t="s">
        <v>1740</v>
      </c>
      <c r="D1368" t="s">
        <v>19</v>
      </c>
      <c r="E1368" t="s">
        <v>20</v>
      </c>
      <c r="F1368" t="str">
        <f>"43614"</f>
        <v>43614</v>
      </c>
      <c r="G1368" t="str">
        <f>"Je092221"</f>
        <v>Je092221</v>
      </c>
      <c r="H1368" s="2">
        <f>35</f>
        <v>35</v>
      </c>
      <c r="I1368" t="s">
        <v>15</v>
      </c>
      <c r="J1368" t="s">
        <v>114</v>
      </c>
      <c r="K1368" t="str">
        <f>"60011348"</f>
        <v>60011348</v>
      </c>
    </row>
    <row r="1369" spans="1:11" x14ac:dyDescent="0.25">
      <c r="A1369">
        <v>2021</v>
      </c>
      <c r="B1369" t="s">
        <v>8304</v>
      </c>
      <c r="C1369" t="s">
        <v>8305</v>
      </c>
      <c r="D1369" t="s">
        <v>125</v>
      </c>
      <c r="E1369" t="s">
        <v>20</v>
      </c>
      <c r="F1369" t="str">
        <f>"43537"</f>
        <v>43537</v>
      </c>
      <c r="G1369" t="str">
        <f>"402019"</f>
        <v>402019</v>
      </c>
      <c r="H1369" s="2">
        <f>20</f>
        <v>20</v>
      </c>
      <c r="I1369" t="s">
        <v>27</v>
      </c>
      <c r="J1369" t="s">
        <v>42</v>
      </c>
      <c r="K1369" t="str">
        <f>"113097"</f>
        <v>113097</v>
      </c>
    </row>
    <row r="1370" spans="1:11" x14ac:dyDescent="0.25">
      <c r="A1370">
        <v>2021</v>
      </c>
      <c r="B1370" t="s">
        <v>8313</v>
      </c>
      <c r="C1370" t="s">
        <v>8314</v>
      </c>
      <c r="D1370" t="s">
        <v>19</v>
      </c>
      <c r="E1370" t="s">
        <v>20</v>
      </c>
      <c r="F1370" t="str">
        <f>"43623-3835"</f>
        <v>43623-3835</v>
      </c>
      <c r="G1370" t="str">
        <f>"402019"</f>
        <v>402019</v>
      </c>
      <c r="H1370" s="2">
        <f>20</f>
        <v>20</v>
      </c>
      <c r="I1370" t="s">
        <v>27</v>
      </c>
      <c r="J1370" t="s">
        <v>42</v>
      </c>
      <c r="K1370" t="str">
        <f>"111900"</f>
        <v>111900</v>
      </c>
    </row>
    <row r="1371" spans="1:11" x14ac:dyDescent="0.25">
      <c r="A1371">
        <v>2021</v>
      </c>
      <c r="B1371" t="s">
        <v>8319</v>
      </c>
      <c r="C1371" t="s">
        <v>8320</v>
      </c>
      <c r="D1371" t="s">
        <v>125</v>
      </c>
      <c r="E1371" t="s">
        <v>20</v>
      </c>
      <c r="F1371" t="str">
        <f>"43537-2306"</f>
        <v>43537-2306</v>
      </c>
      <c r="G1371" t="str">
        <f>"402019"</f>
        <v>402019</v>
      </c>
      <c r="H1371" s="2">
        <f>20</f>
        <v>20</v>
      </c>
      <c r="I1371" t="s">
        <v>27</v>
      </c>
      <c r="J1371" t="s">
        <v>42</v>
      </c>
      <c r="K1371" t="str">
        <f>"112754"</f>
        <v>112754</v>
      </c>
    </row>
    <row r="1372" spans="1:11" x14ac:dyDescent="0.25">
      <c r="A1372">
        <v>2021</v>
      </c>
      <c r="B1372" t="s">
        <v>8323</v>
      </c>
      <c r="C1372" t="s">
        <v>8324</v>
      </c>
      <c r="D1372" t="s">
        <v>19</v>
      </c>
      <c r="E1372" t="s">
        <v>20</v>
      </c>
      <c r="F1372" t="str">
        <f>"43606-2458"</f>
        <v>43606-2458</v>
      </c>
      <c r="G1372" t="str">
        <f>"402019"</f>
        <v>402019</v>
      </c>
      <c r="H1372" s="2">
        <f>20</f>
        <v>20</v>
      </c>
      <c r="I1372" t="s">
        <v>27</v>
      </c>
      <c r="J1372" t="s">
        <v>42</v>
      </c>
      <c r="K1372" t="str">
        <f>"114148"</f>
        <v>114148</v>
      </c>
    </row>
    <row r="1373" spans="1:11" x14ac:dyDescent="0.25">
      <c r="A1373">
        <v>2021</v>
      </c>
      <c r="B1373" t="s">
        <v>8334</v>
      </c>
      <c r="C1373" t="s">
        <v>895</v>
      </c>
      <c r="D1373" t="s">
        <v>895</v>
      </c>
      <c r="F1373" t="str">
        <f>""</f>
        <v/>
      </c>
      <c r="G1373" t="str">
        <f>"385483"</f>
        <v>385483</v>
      </c>
      <c r="H1373" s="2">
        <f>1776.25</f>
        <v>1776.25</v>
      </c>
      <c r="I1373" t="s">
        <v>148</v>
      </c>
      <c r="J1373" t="s">
        <v>896</v>
      </c>
      <c r="K1373" t="str">
        <f>"24855"</f>
        <v>24855</v>
      </c>
    </row>
    <row r="1374" spans="1:11" x14ac:dyDescent="0.25">
      <c r="A1374">
        <v>2021</v>
      </c>
      <c r="B1374" t="s">
        <v>8352</v>
      </c>
      <c r="C1374" t="s">
        <v>8353</v>
      </c>
      <c r="D1374" t="s">
        <v>58</v>
      </c>
      <c r="E1374" t="s">
        <v>20</v>
      </c>
      <c r="F1374" t="str">
        <f>"43616-4134"</f>
        <v>43616-4134</v>
      </c>
      <c r="G1374" t="str">
        <f t="shared" ref="G1374:G1381" si="38">"402019"</f>
        <v>402019</v>
      </c>
      <c r="H1374" s="2">
        <f>10</f>
        <v>10</v>
      </c>
      <c r="I1374" t="s">
        <v>27</v>
      </c>
      <c r="J1374" t="s">
        <v>42</v>
      </c>
      <c r="K1374" t="str">
        <f>"112254"</f>
        <v>112254</v>
      </c>
    </row>
    <row r="1375" spans="1:11" x14ac:dyDescent="0.25">
      <c r="A1375">
        <v>2021</v>
      </c>
      <c r="B1375" t="s">
        <v>8356</v>
      </c>
      <c r="C1375" t="s">
        <v>8357</v>
      </c>
      <c r="D1375" t="s">
        <v>19</v>
      </c>
      <c r="E1375" t="s">
        <v>20</v>
      </c>
      <c r="F1375" t="str">
        <f>"43607-1703"</f>
        <v>43607-1703</v>
      </c>
      <c r="G1375" t="str">
        <f t="shared" si="38"/>
        <v>402019</v>
      </c>
      <c r="H1375" s="2">
        <f>10</f>
        <v>10</v>
      </c>
      <c r="I1375" t="s">
        <v>27</v>
      </c>
      <c r="J1375" t="s">
        <v>42</v>
      </c>
      <c r="K1375" t="str">
        <f>"112252"</f>
        <v>112252</v>
      </c>
    </row>
    <row r="1376" spans="1:11" x14ac:dyDescent="0.25">
      <c r="A1376">
        <v>2021</v>
      </c>
      <c r="B1376" t="s">
        <v>8392</v>
      </c>
      <c r="C1376" t="s">
        <v>8393</v>
      </c>
      <c r="D1376" t="s">
        <v>64</v>
      </c>
      <c r="E1376" t="s">
        <v>20</v>
      </c>
      <c r="F1376" t="str">
        <f>"43566"</f>
        <v>43566</v>
      </c>
      <c r="G1376" t="str">
        <f t="shared" si="38"/>
        <v>402019</v>
      </c>
      <c r="H1376" s="2">
        <f>20</f>
        <v>20</v>
      </c>
      <c r="I1376" t="s">
        <v>27</v>
      </c>
      <c r="J1376" t="s">
        <v>42</v>
      </c>
      <c r="K1376" t="str">
        <f>"111787"</f>
        <v>111787</v>
      </c>
    </row>
    <row r="1377" spans="1:11" x14ac:dyDescent="0.25">
      <c r="A1377">
        <v>2021</v>
      </c>
      <c r="B1377" t="s">
        <v>8394</v>
      </c>
      <c r="C1377" t="s">
        <v>8395</v>
      </c>
      <c r="D1377" t="s">
        <v>58</v>
      </c>
      <c r="E1377" t="s">
        <v>20</v>
      </c>
      <c r="F1377" t="str">
        <f>"43616-2221"</f>
        <v>43616-2221</v>
      </c>
      <c r="G1377" t="str">
        <f t="shared" si="38"/>
        <v>402019</v>
      </c>
      <c r="H1377" s="2">
        <f>10</f>
        <v>10</v>
      </c>
      <c r="I1377" t="s">
        <v>27</v>
      </c>
      <c r="J1377" t="s">
        <v>42</v>
      </c>
      <c r="K1377" t="str">
        <f>"111452"</f>
        <v>111452</v>
      </c>
    </row>
    <row r="1378" spans="1:11" x14ac:dyDescent="0.25">
      <c r="A1378">
        <v>2021</v>
      </c>
      <c r="B1378" t="s">
        <v>8418</v>
      </c>
      <c r="C1378" t="s">
        <v>8419</v>
      </c>
      <c r="D1378" t="s">
        <v>19</v>
      </c>
      <c r="E1378" t="s">
        <v>20</v>
      </c>
      <c r="F1378" t="str">
        <f>"43606-2050"</f>
        <v>43606-2050</v>
      </c>
      <c r="G1378" t="str">
        <f t="shared" si="38"/>
        <v>402019</v>
      </c>
      <c r="H1378" s="2">
        <f>10</f>
        <v>10</v>
      </c>
      <c r="I1378" t="s">
        <v>27</v>
      </c>
      <c r="J1378" t="s">
        <v>42</v>
      </c>
      <c r="K1378" t="str">
        <f>"114507"</f>
        <v>114507</v>
      </c>
    </row>
    <row r="1379" spans="1:11" x14ac:dyDescent="0.25">
      <c r="A1379">
        <v>2021</v>
      </c>
      <c r="B1379" t="s">
        <v>8424</v>
      </c>
      <c r="C1379" t="s">
        <v>8425</v>
      </c>
      <c r="D1379" t="s">
        <v>19</v>
      </c>
      <c r="E1379" t="s">
        <v>20</v>
      </c>
      <c r="F1379" t="str">
        <f>"43612"</f>
        <v>43612</v>
      </c>
      <c r="G1379" t="str">
        <f t="shared" si="38"/>
        <v>402019</v>
      </c>
      <c r="H1379" s="2">
        <f>10</f>
        <v>10</v>
      </c>
      <c r="I1379" t="s">
        <v>27</v>
      </c>
      <c r="J1379" t="s">
        <v>42</v>
      </c>
      <c r="K1379" t="str">
        <f>"111854"</f>
        <v>111854</v>
      </c>
    </row>
    <row r="1380" spans="1:11" x14ac:dyDescent="0.25">
      <c r="A1380">
        <v>2021</v>
      </c>
      <c r="B1380" t="s">
        <v>8430</v>
      </c>
      <c r="C1380" t="s">
        <v>8431</v>
      </c>
      <c r="D1380" t="s">
        <v>19</v>
      </c>
      <c r="E1380" t="s">
        <v>20</v>
      </c>
      <c r="F1380" t="str">
        <f>"43611-1864"</f>
        <v>43611-1864</v>
      </c>
      <c r="G1380" t="str">
        <f t="shared" si="38"/>
        <v>402019</v>
      </c>
      <c r="H1380" s="2">
        <f>20</f>
        <v>20</v>
      </c>
      <c r="I1380" t="s">
        <v>27</v>
      </c>
      <c r="J1380" t="s">
        <v>42</v>
      </c>
      <c r="K1380" t="str">
        <f>"111892"</f>
        <v>111892</v>
      </c>
    </row>
    <row r="1381" spans="1:11" x14ac:dyDescent="0.25">
      <c r="A1381">
        <v>2021</v>
      </c>
      <c r="B1381" t="s">
        <v>8438</v>
      </c>
      <c r="C1381" t="s">
        <v>8439</v>
      </c>
      <c r="D1381" t="s">
        <v>19</v>
      </c>
      <c r="E1381" t="s">
        <v>20</v>
      </c>
      <c r="F1381" t="str">
        <f>"43613-3910"</f>
        <v>43613-3910</v>
      </c>
      <c r="G1381" t="str">
        <f t="shared" si="38"/>
        <v>402019</v>
      </c>
      <c r="H1381" s="2">
        <f>10</f>
        <v>10</v>
      </c>
      <c r="I1381" t="s">
        <v>27</v>
      </c>
      <c r="J1381" t="s">
        <v>42</v>
      </c>
      <c r="K1381" t="str">
        <f>"113710"</f>
        <v>113710</v>
      </c>
    </row>
    <row r="1382" spans="1:11" x14ac:dyDescent="0.25">
      <c r="A1382">
        <v>2021</v>
      </c>
      <c r="B1382" t="s">
        <v>8465</v>
      </c>
      <c r="C1382" t="s">
        <v>8466</v>
      </c>
      <c r="D1382" t="s">
        <v>8467</v>
      </c>
      <c r="E1382" t="s">
        <v>20</v>
      </c>
      <c r="F1382" t="str">
        <f>"43413"</f>
        <v>43413</v>
      </c>
      <c r="G1382" t="str">
        <f>"Bwucf4621"</f>
        <v>Bwucf4621</v>
      </c>
      <c r="H1382" s="2">
        <f>10.99</f>
        <v>10.99</v>
      </c>
      <c r="I1382" t="s">
        <v>15</v>
      </c>
      <c r="J1382" t="s">
        <v>295</v>
      </c>
      <c r="K1382" t="str">
        <f>"01439959"</f>
        <v>01439959</v>
      </c>
    </row>
    <row r="1383" spans="1:11" x14ac:dyDescent="0.25">
      <c r="A1383">
        <v>2021</v>
      </c>
      <c r="B1383" t="s">
        <v>8472</v>
      </c>
      <c r="C1383" t="s">
        <v>8473</v>
      </c>
      <c r="D1383" t="s">
        <v>19</v>
      </c>
      <c r="E1383" t="s">
        <v>20</v>
      </c>
      <c r="F1383" t="str">
        <f>"43611-1923"</f>
        <v>43611-1923</v>
      </c>
      <c r="G1383" t="str">
        <f>"402019"</f>
        <v>402019</v>
      </c>
      <c r="H1383" s="2">
        <f>10</f>
        <v>10</v>
      </c>
      <c r="I1383" t="s">
        <v>27</v>
      </c>
      <c r="J1383" t="s">
        <v>42</v>
      </c>
      <c r="K1383" t="str">
        <f>"111326"</f>
        <v>111326</v>
      </c>
    </row>
    <row r="1384" spans="1:11" x14ac:dyDescent="0.25">
      <c r="A1384">
        <v>2021</v>
      </c>
      <c r="B1384" t="s">
        <v>8486</v>
      </c>
      <c r="C1384" t="s">
        <v>8488</v>
      </c>
      <c r="D1384" t="s">
        <v>8489</v>
      </c>
      <c r="E1384" t="s">
        <v>20</v>
      </c>
      <c r="F1384" t="str">
        <f>"45371"</f>
        <v>45371</v>
      </c>
      <c r="G1384" t="str">
        <f>"Je061721"</f>
        <v>Je061721</v>
      </c>
      <c r="H1384" s="2">
        <f>129.43</f>
        <v>129.43</v>
      </c>
      <c r="I1384" t="s">
        <v>15</v>
      </c>
      <c r="J1384" t="s">
        <v>137</v>
      </c>
      <c r="K1384" t="str">
        <f>"60006949"</f>
        <v>60006949</v>
      </c>
    </row>
    <row r="1385" spans="1:11" x14ac:dyDescent="0.25">
      <c r="A1385">
        <v>2021</v>
      </c>
      <c r="B1385" t="s">
        <v>8486</v>
      </c>
      <c r="C1385" t="s">
        <v>8488</v>
      </c>
      <c r="D1385" t="s">
        <v>8489</v>
      </c>
      <c r="E1385" t="s">
        <v>20</v>
      </c>
      <c r="F1385" t="str">
        <f>"45371"</f>
        <v>45371</v>
      </c>
      <c r="G1385" t="str">
        <f>"Je061721"</f>
        <v>Je061721</v>
      </c>
      <c r="H1385" s="2">
        <f>129.43</f>
        <v>129.43</v>
      </c>
      <c r="I1385" t="s">
        <v>15</v>
      </c>
      <c r="J1385" t="s">
        <v>137</v>
      </c>
      <c r="K1385" t="str">
        <f>"60000816"</f>
        <v>60000816</v>
      </c>
    </row>
    <row r="1386" spans="1:11" x14ac:dyDescent="0.25">
      <c r="A1386">
        <v>2021</v>
      </c>
      <c r="B1386" t="s">
        <v>8490</v>
      </c>
      <c r="C1386" t="s">
        <v>8488</v>
      </c>
      <c r="D1386" t="s">
        <v>8489</v>
      </c>
      <c r="E1386" t="s">
        <v>20</v>
      </c>
      <c r="F1386" t="str">
        <f>"45371-1519"</f>
        <v>45371-1519</v>
      </c>
      <c r="G1386" t="str">
        <f>"Swucf4621"</f>
        <v>Swucf4621</v>
      </c>
      <c r="H1386" s="2">
        <f>129.18</f>
        <v>129.18</v>
      </c>
      <c r="I1386" t="s">
        <v>15</v>
      </c>
      <c r="J1386" t="s">
        <v>81</v>
      </c>
      <c r="K1386" t="str">
        <f>"6292337"</f>
        <v>6292337</v>
      </c>
    </row>
    <row r="1387" spans="1:11" x14ac:dyDescent="0.25">
      <c r="A1387">
        <v>2021</v>
      </c>
      <c r="B1387" t="s">
        <v>8490</v>
      </c>
      <c r="C1387" t="s">
        <v>8488</v>
      </c>
      <c r="D1387" t="s">
        <v>8489</v>
      </c>
      <c r="E1387" t="s">
        <v>20</v>
      </c>
      <c r="F1387" t="str">
        <f>"45371-1519"</f>
        <v>45371-1519</v>
      </c>
      <c r="G1387" t="str">
        <f>"Swucf4621"</f>
        <v>Swucf4621</v>
      </c>
      <c r="H1387" s="2">
        <f>129.18</f>
        <v>129.18</v>
      </c>
      <c r="I1387" t="s">
        <v>15</v>
      </c>
      <c r="J1387" t="s">
        <v>81</v>
      </c>
      <c r="K1387" t="str">
        <f>"6290773"</f>
        <v>6290773</v>
      </c>
    </row>
    <row r="1388" spans="1:11" x14ac:dyDescent="0.25">
      <c r="A1388">
        <v>2021</v>
      </c>
      <c r="B1388" t="s">
        <v>8490</v>
      </c>
      <c r="C1388" t="s">
        <v>8488</v>
      </c>
      <c r="D1388" t="s">
        <v>8489</v>
      </c>
      <c r="E1388" t="s">
        <v>20</v>
      </c>
      <c r="F1388" t="str">
        <f>"45371-1519"</f>
        <v>45371-1519</v>
      </c>
      <c r="G1388" t="str">
        <f>"Swucf4621"</f>
        <v>Swucf4621</v>
      </c>
      <c r="H1388" s="2">
        <f>129.43</f>
        <v>129.43</v>
      </c>
      <c r="I1388" t="s">
        <v>15</v>
      </c>
      <c r="J1388" t="s">
        <v>81</v>
      </c>
      <c r="K1388" t="str">
        <f>"6298719"</f>
        <v>6298719</v>
      </c>
    </row>
    <row r="1389" spans="1:11" x14ac:dyDescent="0.25">
      <c r="A1389">
        <v>2021</v>
      </c>
      <c r="B1389" t="s">
        <v>8490</v>
      </c>
      <c r="C1389" t="s">
        <v>8488</v>
      </c>
      <c r="D1389" t="s">
        <v>8489</v>
      </c>
      <c r="E1389" t="s">
        <v>20</v>
      </c>
      <c r="F1389" t="str">
        <f>"45371-1519"</f>
        <v>45371-1519</v>
      </c>
      <c r="G1389" t="str">
        <f>"Swucf4621"</f>
        <v>Swucf4621</v>
      </c>
      <c r="H1389" s="2">
        <f>129.43</f>
        <v>129.43</v>
      </c>
      <c r="I1389" t="s">
        <v>15</v>
      </c>
      <c r="J1389" t="s">
        <v>81</v>
      </c>
      <c r="K1389" t="str">
        <f>"6293918"</f>
        <v>6293918</v>
      </c>
    </row>
    <row r="1390" spans="1:11" x14ac:dyDescent="0.25">
      <c r="A1390">
        <v>2021</v>
      </c>
      <c r="B1390" t="s">
        <v>8490</v>
      </c>
      <c r="C1390" t="s">
        <v>8488</v>
      </c>
      <c r="D1390" t="s">
        <v>8489</v>
      </c>
      <c r="E1390" t="s">
        <v>20</v>
      </c>
      <c r="F1390" t="str">
        <f>"45371-1519"</f>
        <v>45371-1519</v>
      </c>
      <c r="G1390" t="str">
        <f>"Swucf4621"</f>
        <v>Swucf4621</v>
      </c>
      <c r="H1390" s="2">
        <f>129.43</f>
        <v>129.43</v>
      </c>
      <c r="I1390" t="s">
        <v>15</v>
      </c>
      <c r="J1390" t="s">
        <v>81</v>
      </c>
      <c r="K1390" t="str">
        <f>"6296178"</f>
        <v>6296178</v>
      </c>
    </row>
    <row r="1391" spans="1:11" x14ac:dyDescent="0.25">
      <c r="A1391">
        <v>2021</v>
      </c>
      <c r="B1391" t="s">
        <v>8486</v>
      </c>
      <c r="C1391" t="s">
        <v>8487</v>
      </c>
      <c r="D1391" t="s">
        <v>1729</v>
      </c>
      <c r="E1391" t="s">
        <v>20</v>
      </c>
      <c r="F1391" t="str">
        <f>"45429"</f>
        <v>45429</v>
      </c>
      <c r="G1391" t="str">
        <f>"Je092221"</f>
        <v>Je092221</v>
      </c>
      <c r="H1391" s="2">
        <f>129.43</f>
        <v>129.43</v>
      </c>
      <c r="I1391" t="s">
        <v>15</v>
      </c>
      <c r="J1391" t="s">
        <v>114</v>
      </c>
      <c r="K1391" t="str">
        <f>"60009946"</f>
        <v>60009946</v>
      </c>
    </row>
    <row r="1392" spans="1:11" x14ac:dyDescent="0.25">
      <c r="A1392">
        <v>2021</v>
      </c>
      <c r="B1392" t="s">
        <v>8486</v>
      </c>
      <c r="C1392" t="s">
        <v>8487</v>
      </c>
      <c r="D1392" t="s">
        <v>1729</v>
      </c>
      <c r="E1392" t="s">
        <v>20</v>
      </c>
      <c r="F1392" t="str">
        <f>"45429"</f>
        <v>45429</v>
      </c>
      <c r="G1392" t="str">
        <f>"Je110321"</f>
        <v>Je110321</v>
      </c>
      <c r="H1392" s="2">
        <f>107.73</f>
        <v>107.73</v>
      </c>
      <c r="I1392" t="s">
        <v>15</v>
      </c>
      <c r="J1392" t="s">
        <v>596</v>
      </c>
      <c r="K1392" t="str">
        <f>"60023887"</f>
        <v>60023887</v>
      </c>
    </row>
    <row r="1393" spans="1:11" x14ac:dyDescent="0.25">
      <c r="A1393">
        <v>2021</v>
      </c>
      <c r="B1393" t="s">
        <v>8486</v>
      </c>
      <c r="C1393" t="s">
        <v>8487</v>
      </c>
      <c r="D1393" t="s">
        <v>1729</v>
      </c>
      <c r="E1393" t="s">
        <v>20</v>
      </c>
      <c r="F1393" t="str">
        <f>"43429"</f>
        <v>43429</v>
      </c>
      <c r="G1393" t="str">
        <f>"Je092221"</f>
        <v>Je092221</v>
      </c>
      <c r="H1393" s="2">
        <f>107.73</f>
        <v>107.73</v>
      </c>
      <c r="I1393" t="s">
        <v>15</v>
      </c>
      <c r="J1393" t="s">
        <v>114</v>
      </c>
      <c r="K1393" t="str">
        <f>"60013552"</f>
        <v>60013552</v>
      </c>
    </row>
    <row r="1394" spans="1:11" x14ac:dyDescent="0.25">
      <c r="A1394">
        <v>2021</v>
      </c>
      <c r="B1394" t="s">
        <v>8486</v>
      </c>
      <c r="C1394" t="s">
        <v>8487</v>
      </c>
      <c r="D1394" t="s">
        <v>1729</v>
      </c>
      <c r="E1394" t="s">
        <v>20</v>
      </c>
      <c r="F1394" t="str">
        <f>"45429"</f>
        <v>45429</v>
      </c>
      <c r="G1394" t="str">
        <f>"Je110321"</f>
        <v>Je110321</v>
      </c>
      <c r="H1394" s="2">
        <f>107.73</f>
        <v>107.73</v>
      </c>
      <c r="I1394" t="s">
        <v>15</v>
      </c>
      <c r="J1394" t="s">
        <v>596</v>
      </c>
      <c r="K1394" t="str">
        <f>"60020400"</f>
        <v>60020400</v>
      </c>
    </row>
    <row r="1395" spans="1:11" x14ac:dyDescent="0.25">
      <c r="A1395">
        <v>2021</v>
      </c>
      <c r="B1395" t="s">
        <v>8499</v>
      </c>
      <c r="C1395" t="s">
        <v>8500</v>
      </c>
      <c r="D1395" t="s">
        <v>19</v>
      </c>
      <c r="E1395" t="s">
        <v>20</v>
      </c>
      <c r="F1395" t="str">
        <f>"43607"</f>
        <v>43607</v>
      </c>
      <c r="G1395" t="str">
        <f>"Je092221"</f>
        <v>Je092221</v>
      </c>
      <c r="H1395" s="2">
        <f>15</f>
        <v>15</v>
      </c>
      <c r="I1395" t="s">
        <v>15</v>
      </c>
      <c r="J1395" t="s">
        <v>114</v>
      </c>
      <c r="K1395" t="str">
        <f>"60011361"</f>
        <v>60011361</v>
      </c>
    </row>
    <row r="1396" spans="1:11" x14ac:dyDescent="0.25">
      <c r="A1396">
        <v>2021</v>
      </c>
      <c r="B1396" t="s">
        <v>8518</v>
      </c>
      <c r="C1396" t="s">
        <v>8519</v>
      </c>
      <c r="D1396" t="s">
        <v>19</v>
      </c>
      <c r="E1396" t="s">
        <v>20</v>
      </c>
      <c r="F1396" t="str">
        <f>"43615"</f>
        <v>43615</v>
      </c>
      <c r="G1396" t="str">
        <f>"Pio448069"</f>
        <v>Pio448069</v>
      </c>
      <c r="H1396" s="2">
        <f>7.44</f>
        <v>7.44</v>
      </c>
      <c r="I1396" t="s">
        <v>86</v>
      </c>
      <c r="J1396" t="s">
        <v>87</v>
      </c>
      <c r="K1396" t="str">
        <f>"0"</f>
        <v>0</v>
      </c>
    </row>
    <row r="1397" spans="1:11" x14ac:dyDescent="0.25">
      <c r="A1397">
        <v>2021</v>
      </c>
      <c r="B1397" t="s">
        <v>8520</v>
      </c>
      <c r="C1397" t="s">
        <v>8521</v>
      </c>
      <c r="D1397" t="s">
        <v>58</v>
      </c>
      <c r="E1397" t="s">
        <v>20</v>
      </c>
      <c r="F1397" t="str">
        <f>"43616"</f>
        <v>43616</v>
      </c>
      <c r="G1397" t="str">
        <f>"402017"</f>
        <v>402017</v>
      </c>
      <c r="H1397" s="2">
        <f>20</f>
        <v>20</v>
      </c>
      <c r="I1397" t="s">
        <v>27</v>
      </c>
      <c r="J1397" t="s">
        <v>212</v>
      </c>
      <c r="K1397" t="str">
        <f>"35501"</f>
        <v>35501</v>
      </c>
    </row>
    <row r="1398" spans="1:11" x14ac:dyDescent="0.25">
      <c r="A1398">
        <v>2021</v>
      </c>
      <c r="B1398" t="s">
        <v>8524</v>
      </c>
      <c r="C1398" t="s">
        <v>8525</v>
      </c>
      <c r="D1398" t="s">
        <v>8526</v>
      </c>
      <c r="E1398" t="s">
        <v>462</v>
      </c>
      <c r="F1398" t="str">
        <f>"33324"</f>
        <v>33324</v>
      </c>
      <c r="G1398" t="str">
        <f>"402018"</f>
        <v>402018</v>
      </c>
      <c r="H1398" s="2">
        <f>9.08</f>
        <v>9.08</v>
      </c>
      <c r="I1398" t="s">
        <v>27</v>
      </c>
      <c r="J1398" t="s">
        <v>171</v>
      </c>
      <c r="K1398" t="str">
        <f>"517684"</f>
        <v>517684</v>
      </c>
    </row>
    <row r="1399" spans="1:11" x14ac:dyDescent="0.25">
      <c r="A1399">
        <v>2021</v>
      </c>
      <c r="B1399" t="s">
        <v>8536</v>
      </c>
      <c r="C1399" t="s">
        <v>8537</v>
      </c>
      <c r="D1399" t="s">
        <v>19</v>
      </c>
      <c r="E1399" t="s">
        <v>20</v>
      </c>
      <c r="F1399" t="str">
        <f>"43606"</f>
        <v>43606</v>
      </c>
      <c r="G1399" t="str">
        <f>"402019"</f>
        <v>402019</v>
      </c>
      <c r="H1399" s="2">
        <f>10</f>
        <v>10</v>
      </c>
      <c r="I1399" t="s">
        <v>27</v>
      </c>
      <c r="J1399" t="s">
        <v>42</v>
      </c>
      <c r="K1399" t="str">
        <f>"115276"</f>
        <v>115276</v>
      </c>
    </row>
    <row r="1400" spans="1:11" x14ac:dyDescent="0.25">
      <c r="A1400">
        <v>2021</v>
      </c>
      <c r="B1400" t="s">
        <v>8538</v>
      </c>
      <c r="C1400" t="s">
        <v>8539</v>
      </c>
      <c r="D1400" t="s">
        <v>19</v>
      </c>
      <c r="E1400" t="s">
        <v>20</v>
      </c>
      <c r="F1400" t="str">
        <f>"43611"</f>
        <v>43611</v>
      </c>
      <c r="G1400" t="str">
        <f>"Pio448069"</f>
        <v>Pio448069</v>
      </c>
      <c r="H1400" s="2">
        <f>21.31</f>
        <v>21.31</v>
      </c>
      <c r="I1400" t="s">
        <v>86</v>
      </c>
      <c r="J1400" t="s">
        <v>87</v>
      </c>
      <c r="K1400" t="str">
        <f>"0"</f>
        <v>0</v>
      </c>
    </row>
    <row r="1401" spans="1:11" x14ac:dyDescent="0.25">
      <c r="A1401">
        <v>2021</v>
      </c>
      <c r="B1401" t="s">
        <v>8540</v>
      </c>
      <c r="C1401" t="s">
        <v>8541</v>
      </c>
      <c r="D1401" t="s">
        <v>19</v>
      </c>
      <c r="E1401" t="s">
        <v>20</v>
      </c>
      <c r="F1401" t="str">
        <f>"43617"</f>
        <v>43617</v>
      </c>
      <c r="G1401" t="str">
        <f>"Pio448069"</f>
        <v>Pio448069</v>
      </c>
      <c r="H1401" s="2">
        <f>2</f>
        <v>2</v>
      </c>
      <c r="I1401" t="s">
        <v>86</v>
      </c>
      <c r="J1401" t="s">
        <v>87</v>
      </c>
      <c r="K1401" t="str">
        <f>"0"</f>
        <v>0</v>
      </c>
    </row>
    <row r="1402" spans="1:11" x14ac:dyDescent="0.25">
      <c r="A1402">
        <v>2021</v>
      </c>
      <c r="B1402" t="s">
        <v>8542</v>
      </c>
      <c r="C1402" t="s">
        <v>8543</v>
      </c>
      <c r="D1402" t="s">
        <v>19</v>
      </c>
      <c r="E1402" t="s">
        <v>20</v>
      </c>
      <c r="F1402" t="str">
        <f>"43605"</f>
        <v>43605</v>
      </c>
      <c r="G1402" t="str">
        <f>"Pio448069"</f>
        <v>Pio448069</v>
      </c>
      <c r="H1402" s="2">
        <f>0.27</f>
        <v>0.27</v>
      </c>
      <c r="I1402" t="s">
        <v>86</v>
      </c>
      <c r="J1402" t="s">
        <v>87</v>
      </c>
      <c r="K1402" t="str">
        <f>"0"</f>
        <v>0</v>
      </c>
    </row>
    <row r="1403" spans="1:11" x14ac:dyDescent="0.25">
      <c r="A1403">
        <v>2021</v>
      </c>
      <c r="B1403" t="s">
        <v>8544</v>
      </c>
      <c r="C1403" t="s">
        <v>8545</v>
      </c>
      <c r="D1403" t="s">
        <v>105</v>
      </c>
      <c r="E1403" t="s">
        <v>20</v>
      </c>
      <c r="F1403" t="str">
        <f>"43528"</f>
        <v>43528</v>
      </c>
      <c r="G1403" t="str">
        <f>"Pio448069"</f>
        <v>Pio448069</v>
      </c>
      <c r="H1403" s="2">
        <f>23.56</f>
        <v>23.56</v>
      </c>
      <c r="I1403" t="s">
        <v>86</v>
      </c>
      <c r="J1403" t="s">
        <v>87</v>
      </c>
      <c r="K1403" t="str">
        <f>"0"</f>
        <v>0</v>
      </c>
    </row>
    <row r="1404" spans="1:11" x14ac:dyDescent="0.25">
      <c r="A1404">
        <v>2021</v>
      </c>
      <c r="B1404" t="s">
        <v>8546</v>
      </c>
      <c r="C1404" t="s">
        <v>8547</v>
      </c>
      <c r="F1404" t="str">
        <f>""</f>
        <v/>
      </c>
      <c r="G1404" t="str">
        <f>"Swucf4621"</f>
        <v>Swucf4621</v>
      </c>
      <c r="H1404" s="2">
        <f>7.54</f>
        <v>7.54</v>
      </c>
      <c r="I1404" t="s">
        <v>15</v>
      </c>
      <c r="J1404" t="s">
        <v>81</v>
      </c>
      <c r="K1404" t="str">
        <f>"6288428"</f>
        <v>6288428</v>
      </c>
    </row>
    <row r="1405" spans="1:11" x14ac:dyDescent="0.25">
      <c r="A1405">
        <v>2021</v>
      </c>
      <c r="B1405" t="s">
        <v>8548</v>
      </c>
      <c r="C1405" t="s">
        <v>8549</v>
      </c>
      <c r="D1405" t="s">
        <v>1074</v>
      </c>
      <c r="E1405" t="s">
        <v>20</v>
      </c>
      <c r="F1405" t="str">
        <f>"43551"</f>
        <v>43551</v>
      </c>
      <c r="G1405" t="str">
        <f>"Pio448069"</f>
        <v>Pio448069</v>
      </c>
      <c r="H1405" s="2">
        <f>3.12</f>
        <v>3.12</v>
      </c>
      <c r="I1405" t="s">
        <v>86</v>
      </c>
      <c r="J1405" t="s">
        <v>87</v>
      </c>
      <c r="K1405" t="str">
        <f>"0"</f>
        <v>0</v>
      </c>
    </row>
    <row r="1406" spans="1:11" x14ac:dyDescent="0.25">
      <c r="A1406">
        <v>2021</v>
      </c>
      <c r="B1406" t="s">
        <v>8554</v>
      </c>
      <c r="C1406" t="s">
        <v>8555</v>
      </c>
      <c r="D1406" t="s">
        <v>125</v>
      </c>
      <c r="E1406" t="s">
        <v>20</v>
      </c>
      <c r="F1406" t="str">
        <f>"43537-1556"</f>
        <v>43537-1556</v>
      </c>
      <c r="G1406" t="str">
        <f>"402019"</f>
        <v>402019</v>
      </c>
      <c r="H1406" s="2">
        <f>10</f>
        <v>10</v>
      </c>
      <c r="I1406" t="s">
        <v>27</v>
      </c>
      <c r="J1406" t="s">
        <v>42</v>
      </c>
      <c r="K1406" t="str">
        <f>"112232"</f>
        <v>112232</v>
      </c>
    </row>
    <row r="1407" spans="1:11" x14ac:dyDescent="0.25">
      <c r="A1407">
        <v>2021</v>
      </c>
      <c r="B1407" t="s">
        <v>8556</v>
      </c>
      <c r="C1407" t="s">
        <v>8557</v>
      </c>
      <c r="D1407" t="s">
        <v>19</v>
      </c>
      <c r="E1407" t="s">
        <v>20</v>
      </c>
      <c r="F1407" t="str">
        <f>"43608"</f>
        <v>43608</v>
      </c>
      <c r="G1407" t="str">
        <f>"Pio448069"</f>
        <v>Pio448069</v>
      </c>
      <c r="H1407" s="2">
        <f>2</f>
        <v>2</v>
      </c>
      <c r="I1407" t="s">
        <v>86</v>
      </c>
      <c r="J1407" t="s">
        <v>87</v>
      </c>
      <c r="K1407" t="str">
        <f>"0"</f>
        <v>0</v>
      </c>
    </row>
    <row r="1408" spans="1:11" x14ac:dyDescent="0.25">
      <c r="A1408">
        <v>2021</v>
      </c>
      <c r="B1408" t="s">
        <v>8558</v>
      </c>
      <c r="C1408" t="s">
        <v>8559</v>
      </c>
      <c r="D1408" t="s">
        <v>19</v>
      </c>
      <c r="E1408" t="s">
        <v>20</v>
      </c>
      <c r="F1408" t="str">
        <f>"43613"</f>
        <v>43613</v>
      </c>
      <c r="G1408" t="str">
        <f>"Pio448069"</f>
        <v>Pio448069</v>
      </c>
      <c r="H1408" s="2">
        <f>1.86</f>
        <v>1.86</v>
      </c>
      <c r="I1408" t="s">
        <v>86</v>
      </c>
      <c r="J1408" t="s">
        <v>87</v>
      </c>
      <c r="K1408" t="str">
        <f>"0"</f>
        <v>0</v>
      </c>
    </row>
    <row r="1409" spans="1:11" x14ac:dyDescent="0.25">
      <c r="A1409">
        <v>2021</v>
      </c>
      <c r="B1409" t="s">
        <v>8564</v>
      </c>
      <c r="C1409" t="s">
        <v>895</v>
      </c>
      <c r="F1409" t="str">
        <f>""</f>
        <v/>
      </c>
      <c r="G1409" t="str">
        <f>"402063"</f>
        <v>402063</v>
      </c>
      <c r="H1409" s="2">
        <f>5</f>
        <v>5</v>
      </c>
      <c r="I1409" t="s">
        <v>27</v>
      </c>
      <c r="J1409" t="s">
        <v>71</v>
      </c>
      <c r="K1409" t="str">
        <f>"11003338"</f>
        <v>11003338</v>
      </c>
    </row>
    <row r="1410" spans="1:11" x14ac:dyDescent="0.25">
      <c r="A1410">
        <v>2021</v>
      </c>
      <c r="B1410" t="s">
        <v>8565</v>
      </c>
      <c r="C1410" t="s">
        <v>8566</v>
      </c>
      <c r="D1410" t="s">
        <v>58</v>
      </c>
      <c r="E1410" t="s">
        <v>20</v>
      </c>
      <c r="F1410" t="str">
        <f>"43616-2044"</f>
        <v>43616-2044</v>
      </c>
      <c r="G1410" t="str">
        <f>"402019"</f>
        <v>402019</v>
      </c>
      <c r="H1410" s="2">
        <f>20</f>
        <v>20</v>
      </c>
      <c r="I1410" t="s">
        <v>27</v>
      </c>
      <c r="J1410" t="s">
        <v>42</v>
      </c>
      <c r="K1410" t="str">
        <f>"112496"</f>
        <v>112496</v>
      </c>
    </row>
    <row r="1411" spans="1:11" x14ac:dyDescent="0.25">
      <c r="A1411">
        <v>2021</v>
      </c>
      <c r="B1411" t="s">
        <v>8568</v>
      </c>
      <c r="C1411" t="s">
        <v>8569</v>
      </c>
      <c r="D1411" t="s">
        <v>58</v>
      </c>
      <c r="E1411" t="s">
        <v>20</v>
      </c>
      <c r="F1411" t="str">
        <f>"43616"</f>
        <v>43616</v>
      </c>
      <c r="G1411" t="str">
        <f>"402017"</f>
        <v>402017</v>
      </c>
      <c r="H1411" s="2">
        <f>20</f>
        <v>20</v>
      </c>
      <c r="I1411" t="s">
        <v>27</v>
      </c>
      <c r="J1411" t="s">
        <v>212</v>
      </c>
      <c r="K1411" t="str">
        <f>"33521"</f>
        <v>33521</v>
      </c>
    </row>
    <row r="1412" spans="1:11" x14ac:dyDescent="0.25">
      <c r="A1412">
        <v>2021</v>
      </c>
      <c r="B1412" t="s">
        <v>8574</v>
      </c>
      <c r="C1412" t="s">
        <v>8575</v>
      </c>
      <c r="D1412" t="s">
        <v>19</v>
      </c>
      <c r="E1412" t="s">
        <v>20</v>
      </c>
      <c r="F1412" t="str">
        <f>"43607"</f>
        <v>43607</v>
      </c>
      <c r="G1412" t="str">
        <f>"Swucf4621"</f>
        <v>Swucf4621</v>
      </c>
      <c r="H1412" s="2">
        <f>31.5</f>
        <v>31.5</v>
      </c>
      <c r="I1412" t="s">
        <v>15</v>
      </c>
      <c r="J1412" t="s">
        <v>81</v>
      </c>
      <c r="K1412" t="str">
        <f>"6297537"</f>
        <v>6297537</v>
      </c>
    </row>
    <row r="1413" spans="1:11" x14ac:dyDescent="0.25">
      <c r="A1413">
        <v>2021</v>
      </c>
      <c r="B1413" t="s">
        <v>8578</v>
      </c>
      <c r="C1413" t="s">
        <v>8579</v>
      </c>
      <c r="D1413" t="s">
        <v>19</v>
      </c>
      <c r="E1413" t="s">
        <v>20</v>
      </c>
      <c r="F1413" t="str">
        <f>"43615"</f>
        <v>43615</v>
      </c>
      <c r="G1413" t="str">
        <f>"402018"</f>
        <v>402018</v>
      </c>
      <c r="H1413" s="2">
        <f>25</f>
        <v>25</v>
      </c>
      <c r="I1413" t="s">
        <v>27</v>
      </c>
      <c r="J1413" t="s">
        <v>171</v>
      </c>
      <c r="K1413" t="str">
        <f>"517320"</f>
        <v>517320</v>
      </c>
    </row>
    <row r="1414" spans="1:11" x14ac:dyDescent="0.25">
      <c r="A1414">
        <v>2021</v>
      </c>
      <c r="B1414" t="s">
        <v>8594</v>
      </c>
      <c r="C1414" t="s">
        <v>8595</v>
      </c>
      <c r="D1414" t="s">
        <v>19</v>
      </c>
      <c r="E1414" t="s">
        <v>20</v>
      </c>
      <c r="F1414" t="str">
        <f>"43612-1171"</f>
        <v>43612-1171</v>
      </c>
      <c r="G1414" t="str">
        <f>"402019"</f>
        <v>402019</v>
      </c>
      <c r="H1414" s="2">
        <f>40</f>
        <v>40</v>
      </c>
      <c r="I1414" t="s">
        <v>27</v>
      </c>
      <c r="J1414" t="s">
        <v>42</v>
      </c>
      <c r="K1414" t="str">
        <f>"113341"</f>
        <v>113341</v>
      </c>
    </row>
    <row r="1415" spans="1:11" x14ac:dyDescent="0.25">
      <c r="A1415">
        <v>2021</v>
      </c>
      <c r="B1415" t="s">
        <v>8596</v>
      </c>
      <c r="C1415" t="s">
        <v>8597</v>
      </c>
      <c r="D1415" t="s">
        <v>105</v>
      </c>
      <c r="E1415" t="s">
        <v>20</v>
      </c>
      <c r="F1415" t="str">
        <f>"43528-9512"</f>
        <v>43528-9512</v>
      </c>
      <c r="G1415" t="str">
        <f>"402019"</f>
        <v>402019</v>
      </c>
      <c r="H1415" s="2">
        <f>10</f>
        <v>10</v>
      </c>
      <c r="I1415" t="s">
        <v>27</v>
      </c>
      <c r="J1415" t="s">
        <v>42</v>
      </c>
      <c r="K1415" t="str">
        <f>"112607"</f>
        <v>112607</v>
      </c>
    </row>
    <row r="1416" spans="1:11" x14ac:dyDescent="0.25">
      <c r="A1416">
        <v>2021</v>
      </c>
      <c r="B1416" t="s">
        <v>8606</v>
      </c>
      <c r="C1416" t="s">
        <v>8607</v>
      </c>
      <c r="D1416" t="s">
        <v>19</v>
      </c>
      <c r="E1416" t="s">
        <v>20</v>
      </c>
      <c r="F1416" t="str">
        <f>"43608"</f>
        <v>43608</v>
      </c>
      <c r="G1416" t="str">
        <f>"Je110321"</f>
        <v>Je110321</v>
      </c>
      <c r="H1416" s="2">
        <f>49.28</f>
        <v>49.28</v>
      </c>
      <c r="I1416" t="s">
        <v>15</v>
      </c>
      <c r="J1416" t="s">
        <v>596</v>
      </c>
      <c r="K1416" t="str">
        <f>"60021823"</f>
        <v>60021823</v>
      </c>
    </row>
    <row r="1417" spans="1:11" x14ac:dyDescent="0.25">
      <c r="A1417">
        <v>2021</v>
      </c>
      <c r="B1417" t="s">
        <v>8611</v>
      </c>
      <c r="C1417" t="s">
        <v>8612</v>
      </c>
      <c r="D1417" t="s">
        <v>19</v>
      </c>
      <c r="E1417" t="s">
        <v>20</v>
      </c>
      <c r="F1417" t="str">
        <f>"43605"</f>
        <v>43605</v>
      </c>
      <c r="G1417" t="str">
        <f t="shared" ref="G1417:G1422" si="39">"Pio448069"</f>
        <v>Pio448069</v>
      </c>
      <c r="H1417" s="2">
        <f>0.11</f>
        <v>0.11</v>
      </c>
      <c r="I1417" t="s">
        <v>86</v>
      </c>
      <c r="J1417" t="s">
        <v>87</v>
      </c>
      <c r="K1417" t="str">
        <f t="shared" ref="K1417:K1422" si="40">"0"</f>
        <v>0</v>
      </c>
    </row>
    <row r="1418" spans="1:11" x14ac:dyDescent="0.25">
      <c r="A1418">
        <v>2021</v>
      </c>
      <c r="B1418" t="s">
        <v>8621</v>
      </c>
      <c r="C1418" t="s">
        <v>8622</v>
      </c>
      <c r="D1418" t="s">
        <v>19</v>
      </c>
      <c r="E1418" t="s">
        <v>20</v>
      </c>
      <c r="F1418" t="str">
        <f>"43604"</f>
        <v>43604</v>
      </c>
      <c r="G1418" t="str">
        <f t="shared" si="39"/>
        <v>Pio448069</v>
      </c>
      <c r="H1418" s="2">
        <f>6.12</f>
        <v>6.12</v>
      </c>
      <c r="I1418" t="s">
        <v>86</v>
      </c>
      <c r="J1418" t="s">
        <v>87</v>
      </c>
      <c r="K1418" t="str">
        <f t="shared" si="40"/>
        <v>0</v>
      </c>
    </row>
    <row r="1419" spans="1:11" x14ac:dyDescent="0.25">
      <c r="A1419">
        <v>2021</v>
      </c>
      <c r="B1419" t="s">
        <v>8625</v>
      </c>
      <c r="C1419" t="s">
        <v>8626</v>
      </c>
      <c r="D1419" t="s">
        <v>19</v>
      </c>
      <c r="E1419" t="s">
        <v>20</v>
      </c>
      <c r="F1419" t="str">
        <f>"43608"</f>
        <v>43608</v>
      </c>
      <c r="G1419" t="str">
        <f t="shared" si="39"/>
        <v>Pio448069</v>
      </c>
      <c r="H1419" s="2">
        <f>0.53</f>
        <v>0.53</v>
      </c>
      <c r="I1419" t="s">
        <v>86</v>
      </c>
      <c r="J1419" t="s">
        <v>87</v>
      </c>
      <c r="K1419" t="str">
        <f t="shared" si="40"/>
        <v>0</v>
      </c>
    </row>
    <row r="1420" spans="1:11" x14ac:dyDescent="0.25">
      <c r="A1420">
        <v>2021</v>
      </c>
      <c r="B1420" t="s">
        <v>8627</v>
      </c>
      <c r="C1420" t="s">
        <v>8628</v>
      </c>
      <c r="D1420" t="s">
        <v>19</v>
      </c>
      <c r="E1420" t="s">
        <v>20</v>
      </c>
      <c r="F1420" t="str">
        <f>"43623"</f>
        <v>43623</v>
      </c>
      <c r="G1420" t="str">
        <f t="shared" si="39"/>
        <v>Pio448069</v>
      </c>
      <c r="H1420" s="2">
        <f>2.61</f>
        <v>2.61</v>
      </c>
      <c r="I1420" t="s">
        <v>86</v>
      </c>
      <c r="J1420" t="s">
        <v>87</v>
      </c>
      <c r="K1420" t="str">
        <f t="shared" si="40"/>
        <v>0</v>
      </c>
    </row>
    <row r="1421" spans="1:11" x14ac:dyDescent="0.25">
      <c r="A1421">
        <v>2021</v>
      </c>
      <c r="B1421" t="s">
        <v>8645</v>
      </c>
      <c r="C1421" t="s">
        <v>8646</v>
      </c>
      <c r="D1421" t="s">
        <v>19</v>
      </c>
      <c r="E1421" t="s">
        <v>20</v>
      </c>
      <c r="F1421" t="str">
        <f>"43607"</f>
        <v>43607</v>
      </c>
      <c r="G1421" t="str">
        <f t="shared" si="39"/>
        <v>Pio448069</v>
      </c>
      <c r="H1421" s="2">
        <f>1.26</f>
        <v>1.26</v>
      </c>
      <c r="I1421" t="s">
        <v>86</v>
      </c>
      <c r="J1421" t="s">
        <v>87</v>
      </c>
      <c r="K1421" t="str">
        <f t="shared" si="40"/>
        <v>0</v>
      </c>
    </row>
    <row r="1422" spans="1:11" x14ac:dyDescent="0.25">
      <c r="A1422">
        <v>2021</v>
      </c>
      <c r="B1422" t="s">
        <v>8647</v>
      </c>
      <c r="C1422" t="s">
        <v>8648</v>
      </c>
      <c r="D1422" t="s">
        <v>19</v>
      </c>
      <c r="E1422" t="s">
        <v>20</v>
      </c>
      <c r="F1422" t="str">
        <f>"43608"</f>
        <v>43608</v>
      </c>
      <c r="G1422" t="str">
        <f t="shared" si="39"/>
        <v>Pio448069</v>
      </c>
      <c r="H1422" s="2">
        <f>19</f>
        <v>19</v>
      </c>
      <c r="I1422" t="s">
        <v>86</v>
      </c>
      <c r="J1422" t="s">
        <v>87</v>
      </c>
      <c r="K1422" t="str">
        <f t="shared" si="40"/>
        <v>0</v>
      </c>
    </row>
    <row r="1423" spans="1:11" x14ac:dyDescent="0.25">
      <c r="A1423">
        <v>2021</v>
      </c>
      <c r="B1423" t="s">
        <v>8652</v>
      </c>
      <c r="C1423" t="s">
        <v>8653</v>
      </c>
      <c r="D1423" t="s">
        <v>64</v>
      </c>
      <c r="E1423" t="s">
        <v>20</v>
      </c>
      <c r="F1423" t="str">
        <f>"43566"</f>
        <v>43566</v>
      </c>
      <c r="G1423" t="str">
        <f>"402063"</f>
        <v>402063</v>
      </c>
      <c r="H1423" s="2">
        <f>3</f>
        <v>3</v>
      </c>
      <c r="I1423" t="s">
        <v>27</v>
      </c>
      <c r="J1423" t="s">
        <v>71</v>
      </c>
      <c r="K1423" t="str">
        <f>"44008178"</f>
        <v>44008178</v>
      </c>
    </row>
    <row r="1424" spans="1:11" x14ac:dyDescent="0.25">
      <c r="A1424">
        <v>2021</v>
      </c>
      <c r="B1424" t="s">
        <v>8658</v>
      </c>
      <c r="C1424" t="s">
        <v>245</v>
      </c>
      <c r="D1424" t="s">
        <v>19</v>
      </c>
      <c r="E1424" t="s">
        <v>20</v>
      </c>
      <c r="F1424" t="str">
        <f>"43617"</f>
        <v>43617</v>
      </c>
      <c r="G1424" t="str">
        <f>"402017"</f>
        <v>402017</v>
      </c>
      <c r="H1424" s="2">
        <f>16.42</f>
        <v>16.420000000000002</v>
      </c>
      <c r="I1424" t="s">
        <v>27</v>
      </c>
      <c r="J1424" t="s">
        <v>212</v>
      </c>
      <c r="K1424" t="str">
        <f>"33487"</f>
        <v>33487</v>
      </c>
    </row>
    <row r="1425" spans="1:11" x14ac:dyDescent="0.25">
      <c r="A1425">
        <v>2021</v>
      </c>
      <c r="B1425" t="s">
        <v>8665</v>
      </c>
      <c r="C1425" t="s">
        <v>8666</v>
      </c>
      <c r="D1425" t="s">
        <v>1506</v>
      </c>
      <c r="E1425" t="s">
        <v>14</v>
      </c>
      <c r="F1425" t="str">
        <f>"48034"</f>
        <v>48034</v>
      </c>
      <c r="G1425" t="str">
        <f>"402018"</f>
        <v>402018</v>
      </c>
      <c r="H1425" s="2">
        <f>2.5</f>
        <v>2.5</v>
      </c>
      <c r="I1425" t="s">
        <v>27</v>
      </c>
      <c r="J1425" t="s">
        <v>171</v>
      </c>
      <c r="K1425" t="str">
        <f>"518125"</f>
        <v>518125</v>
      </c>
    </row>
    <row r="1426" spans="1:11" x14ac:dyDescent="0.25">
      <c r="A1426">
        <v>2021</v>
      </c>
      <c r="B1426" t="s">
        <v>8669</v>
      </c>
      <c r="C1426" t="s">
        <v>8670</v>
      </c>
      <c r="D1426" t="s">
        <v>19</v>
      </c>
      <c r="E1426" t="s">
        <v>20</v>
      </c>
      <c r="F1426" t="str">
        <f>"43615"</f>
        <v>43615</v>
      </c>
      <c r="G1426" t="str">
        <f>"402018"</f>
        <v>402018</v>
      </c>
      <c r="H1426" s="2">
        <f>25</f>
        <v>25</v>
      </c>
      <c r="I1426" t="s">
        <v>27</v>
      </c>
      <c r="J1426" t="s">
        <v>171</v>
      </c>
      <c r="K1426" t="str">
        <f>"517051"</f>
        <v>517051</v>
      </c>
    </row>
    <row r="1427" spans="1:11" x14ac:dyDescent="0.25">
      <c r="A1427">
        <v>2021</v>
      </c>
      <c r="B1427" t="s">
        <v>8673</v>
      </c>
      <c r="C1427" t="s">
        <v>8674</v>
      </c>
      <c r="D1427" t="s">
        <v>19</v>
      </c>
      <c r="E1427" t="s">
        <v>20</v>
      </c>
      <c r="F1427" t="str">
        <f>"43612"</f>
        <v>43612</v>
      </c>
      <c r="G1427" t="str">
        <f>"Pio448069"</f>
        <v>Pio448069</v>
      </c>
      <c r="H1427" s="2">
        <f>74.92</f>
        <v>74.92</v>
      </c>
      <c r="I1427" t="s">
        <v>86</v>
      </c>
      <c r="J1427" t="s">
        <v>87</v>
      </c>
      <c r="K1427" t="str">
        <f>"0"</f>
        <v>0</v>
      </c>
    </row>
    <row r="1428" spans="1:11" x14ac:dyDescent="0.25">
      <c r="A1428">
        <v>2021</v>
      </c>
      <c r="B1428" t="s">
        <v>8677</v>
      </c>
      <c r="C1428" t="s">
        <v>8678</v>
      </c>
      <c r="D1428" t="s">
        <v>19</v>
      </c>
      <c r="E1428" t="s">
        <v>20</v>
      </c>
      <c r="F1428" t="str">
        <f>"43609"</f>
        <v>43609</v>
      </c>
      <c r="G1428" t="str">
        <f>"Pio448069"</f>
        <v>Pio448069</v>
      </c>
      <c r="H1428" s="2">
        <f>1</f>
        <v>1</v>
      </c>
      <c r="I1428" t="s">
        <v>86</v>
      </c>
      <c r="J1428" t="s">
        <v>87</v>
      </c>
      <c r="K1428" t="str">
        <f>"0"</f>
        <v>0</v>
      </c>
    </row>
    <row r="1429" spans="1:11" x14ac:dyDescent="0.25">
      <c r="A1429">
        <v>2021</v>
      </c>
      <c r="B1429" t="s">
        <v>8679</v>
      </c>
      <c r="C1429" t="s">
        <v>8680</v>
      </c>
      <c r="D1429" t="s">
        <v>422</v>
      </c>
      <c r="E1429" t="s">
        <v>20</v>
      </c>
      <c r="F1429" t="str">
        <f>"44112"</f>
        <v>44112</v>
      </c>
      <c r="G1429" t="str">
        <f>"Pio448069"</f>
        <v>Pio448069</v>
      </c>
      <c r="H1429" s="2">
        <f>14</f>
        <v>14</v>
      </c>
      <c r="I1429" t="s">
        <v>86</v>
      </c>
      <c r="J1429" t="s">
        <v>87</v>
      </c>
      <c r="K1429" t="str">
        <f>"0"</f>
        <v>0</v>
      </c>
    </row>
    <row r="1430" spans="1:11" x14ac:dyDescent="0.25">
      <c r="A1430">
        <v>2021</v>
      </c>
      <c r="B1430" t="s">
        <v>8681</v>
      </c>
      <c r="C1430" t="s">
        <v>8682</v>
      </c>
      <c r="D1430" t="s">
        <v>19</v>
      </c>
      <c r="E1430" t="s">
        <v>20</v>
      </c>
      <c r="F1430" t="str">
        <f>"43615"</f>
        <v>43615</v>
      </c>
      <c r="G1430" t="str">
        <f>"402018"</f>
        <v>402018</v>
      </c>
      <c r="H1430" s="2">
        <f>3</f>
        <v>3</v>
      </c>
      <c r="I1430" t="s">
        <v>27</v>
      </c>
      <c r="J1430" t="s">
        <v>171</v>
      </c>
      <c r="K1430" t="str">
        <f>"517323"</f>
        <v>517323</v>
      </c>
    </row>
    <row r="1431" spans="1:11" x14ac:dyDescent="0.25">
      <c r="A1431">
        <v>2021</v>
      </c>
      <c r="B1431" t="s">
        <v>8683</v>
      </c>
      <c r="C1431" t="s">
        <v>8684</v>
      </c>
      <c r="D1431" t="s">
        <v>364</v>
      </c>
      <c r="E1431" t="s">
        <v>14</v>
      </c>
      <c r="F1431" t="str">
        <f>"48238"</f>
        <v>48238</v>
      </c>
      <c r="G1431" t="str">
        <f>"Pio448069"</f>
        <v>Pio448069</v>
      </c>
      <c r="H1431" s="2">
        <f>0.56</f>
        <v>0.56000000000000005</v>
      </c>
      <c r="I1431" t="s">
        <v>86</v>
      </c>
      <c r="J1431" t="s">
        <v>87</v>
      </c>
      <c r="K1431" t="str">
        <f>"0"</f>
        <v>0</v>
      </c>
    </row>
    <row r="1432" spans="1:11" x14ac:dyDescent="0.25">
      <c r="A1432">
        <v>2021</v>
      </c>
      <c r="B1432" t="s">
        <v>8695</v>
      </c>
      <c r="C1432" t="s">
        <v>8696</v>
      </c>
      <c r="D1432" t="s">
        <v>19</v>
      </c>
      <c r="E1432" t="s">
        <v>20</v>
      </c>
      <c r="F1432" t="str">
        <f>"43605"</f>
        <v>43605</v>
      </c>
      <c r="G1432" t="str">
        <f>"Pio448069"</f>
        <v>Pio448069</v>
      </c>
      <c r="H1432" s="2">
        <f>69.44</f>
        <v>69.44</v>
      </c>
      <c r="I1432" t="s">
        <v>86</v>
      </c>
      <c r="J1432" t="s">
        <v>87</v>
      </c>
      <c r="K1432" t="str">
        <f>"0"</f>
        <v>0</v>
      </c>
    </row>
    <row r="1433" spans="1:11" x14ac:dyDescent="0.25">
      <c r="A1433">
        <v>2021</v>
      </c>
      <c r="B1433" t="s">
        <v>8701</v>
      </c>
      <c r="C1433" t="s">
        <v>8702</v>
      </c>
      <c r="D1433" t="s">
        <v>19</v>
      </c>
      <c r="E1433" t="s">
        <v>20</v>
      </c>
      <c r="F1433" t="str">
        <f>"43614"</f>
        <v>43614</v>
      </c>
      <c r="G1433" t="str">
        <f>"402018"</f>
        <v>402018</v>
      </c>
      <c r="H1433" s="2">
        <f>20</f>
        <v>20</v>
      </c>
      <c r="I1433" t="s">
        <v>27</v>
      </c>
      <c r="J1433" t="s">
        <v>171</v>
      </c>
      <c r="K1433" t="str">
        <f>"516062"</f>
        <v>516062</v>
      </c>
    </row>
    <row r="1434" spans="1:11" x14ac:dyDescent="0.25">
      <c r="A1434">
        <v>2021</v>
      </c>
      <c r="B1434" t="s">
        <v>8701</v>
      </c>
      <c r="C1434" t="s">
        <v>8702</v>
      </c>
      <c r="D1434" t="s">
        <v>19</v>
      </c>
      <c r="E1434" t="s">
        <v>20</v>
      </c>
      <c r="F1434" t="str">
        <f>"43614"</f>
        <v>43614</v>
      </c>
      <c r="G1434" t="str">
        <f>"402018"</f>
        <v>402018</v>
      </c>
      <c r="H1434" s="2">
        <f>20</f>
        <v>20</v>
      </c>
      <c r="I1434" t="s">
        <v>27</v>
      </c>
      <c r="J1434" t="s">
        <v>171</v>
      </c>
      <c r="K1434" t="str">
        <f>"515628"</f>
        <v>515628</v>
      </c>
    </row>
    <row r="1435" spans="1:11" x14ac:dyDescent="0.25">
      <c r="A1435">
        <v>2021</v>
      </c>
      <c r="B1435" t="s">
        <v>8701</v>
      </c>
      <c r="C1435" t="s">
        <v>8702</v>
      </c>
      <c r="D1435" t="s">
        <v>19</v>
      </c>
      <c r="E1435" t="s">
        <v>20</v>
      </c>
      <c r="F1435" t="str">
        <f>"43614"</f>
        <v>43614</v>
      </c>
      <c r="G1435" t="str">
        <f>"402018"</f>
        <v>402018</v>
      </c>
      <c r="H1435" s="2">
        <f>20</f>
        <v>20</v>
      </c>
      <c r="I1435" t="s">
        <v>27</v>
      </c>
      <c r="J1435" t="s">
        <v>171</v>
      </c>
      <c r="K1435" t="str">
        <f>"516429"</f>
        <v>516429</v>
      </c>
    </row>
    <row r="1436" spans="1:11" x14ac:dyDescent="0.25">
      <c r="A1436">
        <v>2021</v>
      </c>
      <c r="B1436" t="s">
        <v>8705</v>
      </c>
      <c r="C1436" t="s">
        <v>8706</v>
      </c>
      <c r="D1436" t="s">
        <v>50</v>
      </c>
      <c r="E1436" t="s">
        <v>20</v>
      </c>
      <c r="F1436" t="str">
        <f>"43560-1751"</f>
        <v>43560-1751</v>
      </c>
      <c r="G1436" t="str">
        <f>"402019"</f>
        <v>402019</v>
      </c>
      <c r="H1436" s="2">
        <f>20</f>
        <v>20</v>
      </c>
      <c r="I1436" t="s">
        <v>27</v>
      </c>
      <c r="J1436" t="s">
        <v>42</v>
      </c>
      <c r="K1436" t="str">
        <f>"112676"</f>
        <v>112676</v>
      </c>
    </row>
    <row r="1437" spans="1:11" x14ac:dyDescent="0.25">
      <c r="A1437">
        <v>2021</v>
      </c>
      <c r="B1437" t="s">
        <v>8709</v>
      </c>
      <c r="C1437" t="s">
        <v>8710</v>
      </c>
      <c r="D1437" t="s">
        <v>50</v>
      </c>
      <c r="E1437" t="s">
        <v>20</v>
      </c>
      <c r="F1437" t="str">
        <f>"43560-1034"</f>
        <v>43560-1034</v>
      </c>
      <c r="G1437" t="str">
        <f>"402019"</f>
        <v>402019</v>
      </c>
      <c r="H1437" s="2">
        <f>10</f>
        <v>10</v>
      </c>
      <c r="I1437" t="s">
        <v>27</v>
      </c>
      <c r="J1437" t="s">
        <v>42</v>
      </c>
      <c r="K1437" t="str">
        <f>"114070"</f>
        <v>114070</v>
      </c>
    </row>
    <row r="1438" spans="1:11" x14ac:dyDescent="0.25">
      <c r="A1438">
        <v>2021</v>
      </c>
      <c r="B1438" t="s">
        <v>8718</v>
      </c>
      <c r="C1438" t="s">
        <v>8719</v>
      </c>
      <c r="D1438" t="s">
        <v>19</v>
      </c>
      <c r="E1438" t="s">
        <v>20</v>
      </c>
      <c r="F1438" t="str">
        <f>"43612-1832"</f>
        <v>43612-1832</v>
      </c>
      <c r="G1438" t="str">
        <f>"402019"</f>
        <v>402019</v>
      </c>
      <c r="H1438" s="2">
        <f>10</f>
        <v>10</v>
      </c>
      <c r="I1438" t="s">
        <v>27</v>
      </c>
      <c r="J1438" t="s">
        <v>42</v>
      </c>
      <c r="K1438" t="str">
        <f>"114619"</f>
        <v>114619</v>
      </c>
    </row>
    <row r="1439" spans="1:11" x14ac:dyDescent="0.25">
      <c r="A1439">
        <v>2021</v>
      </c>
      <c r="B1439" t="s">
        <v>8732</v>
      </c>
      <c r="C1439" t="s">
        <v>8733</v>
      </c>
      <c r="D1439" t="s">
        <v>899</v>
      </c>
      <c r="E1439" t="s">
        <v>20</v>
      </c>
      <c r="F1439" t="str">
        <f>"43412"</f>
        <v>43412</v>
      </c>
      <c r="G1439" t="str">
        <f>"Bwucf4621"</f>
        <v>Bwucf4621</v>
      </c>
      <c r="H1439" s="2">
        <f>50</f>
        <v>50</v>
      </c>
      <c r="I1439" t="s">
        <v>15</v>
      </c>
      <c r="J1439" t="s">
        <v>295</v>
      </c>
      <c r="K1439" t="str">
        <f>"01449188"</f>
        <v>01449188</v>
      </c>
    </row>
    <row r="1440" spans="1:11" x14ac:dyDescent="0.25">
      <c r="A1440">
        <v>2021</v>
      </c>
      <c r="B1440" t="s">
        <v>8736</v>
      </c>
      <c r="C1440" t="s">
        <v>8737</v>
      </c>
      <c r="D1440" t="s">
        <v>19</v>
      </c>
      <c r="E1440" t="s">
        <v>20</v>
      </c>
      <c r="F1440" t="str">
        <f>"43609-1729"</f>
        <v>43609-1729</v>
      </c>
      <c r="G1440" t="str">
        <f>"402019"</f>
        <v>402019</v>
      </c>
      <c r="H1440" s="2">
        <f>10</f>
        <v>10</v>
      </c>
      <c r="I1440" t="s">
        <v>27</v>
      </c>
      <c r="J1440" t="s">
        <v>42</v>
      </c>
      <c r="K1440" t="str">
        <f>"111482"</f>
        <v>111482</v>
      </c>
    </row>
    <row r="1441" spans="1:11" x14ac:dyDescent="0.25">
      <c r="A1441">
        <v>2021</v>
      </c>
      <c r="B1441" t="s">
        <v>8740</v>
      </c>
      <c r="C1441" t="s">
        <v>8741</v>
      </c>
      <c r="D1441" t="s">
        <v>19</v>
      </c>
      <c r="E1441" t="s">
        <v>20</v>
      </c>
      <c r="F1441" t="str">
        <f>"43607-1376"</f>
        <v>43607-1376</v>
      </c>
      <c r="G1441" t="str">
        <f>"402019"</f>
        <v>402019</v>
      </c>
      <c r="H1441" s="2">
        <f>10</f>
        <v>10</v>
      </c>
      <c r="I1441" t="s">
        <v>27</v>
      </c>
      <c r="J1441" t="s">
        <v>42</v>
      </c>
      <c r="K1441" t="str">
        <f>"114871"</f>
        <v>114871</v>
      </c>
    </row>
    <row r="1442" spans="1:11" x14ac:dyDescent="0.25">
      <c r="A1442">
        <v>2021</v>
      </c>
      <c r="B1442" t="s">
        <v>8747</v>
      </c>
      <c r="C1442" t="s">
        <v>8748</v>
      </c>
      <c r="D1442" t="s">
        <v>8749</v>
      </c>
      <c r="E1442" t="s">
        <v>20</v>
      </c>
      <c r="F1442" t="str">
        <f>"44212"</f>
        <v>44212</v>
      </c>
      <c r="G1442" t="str">
        <f>"Bwucf4621"</f>
        <v>Bwucf4621</v>
      </c>
      <c r="H1442" s="2">
        <f>50</f>
        <v>50</v>
      </c>
      <c r="I1442" t="s">
        <v>15</v>
      </c>
      <c r="J1442" t="s">
        <v>295</v>
      </c>
      <c r="K1442" t="str">
        <f>"01447636"</f>
        <v>01447636</v>
      </c>
    </row>
    <row r="1443" spans="1:11" x14ac:dyDescent="0.25">
      <c r="A1443">
        <v>2021</v>
      </c>
      <c r="B1443" t="s">
        <v>8747</v>
      </c>
      <c r="C1443" t="s">
        <v>8748</v>
      </c>
      <c r="D1443" t="s">
        <v>8749</v>
      </c>
      <c r="E1443" t="s">
        <v>20</v>
      </c>
      <c r="F1443" t="str">
        <f>"44212"</f>
        <v>44212</v>
      </c>
      <c r="G1443" t="str">
        <f>"Bwucf4621"</f>
        <v>Bwucf4621</v>
      </c>
      <c r="H1443" s="2">
        <f>50</f>
        <v>50</v>
      </c>
      <c r="I1443" t="s">
        <v>15</v>
      </c>
      <c r="J1443" t="s">
        <v>295</v>
      </c>
      <c r="K1443" t="str">
        <f>"01447637"</f>
        <v>01447637</v>
      </c>
    </row>
    <row r="1444" spans="1:11" x14ac:dyDescent="0.25">
      <c r="A1444">
        <v>2021</v>
      </c>
      <c r="B1444" t="s">
        <v>8747</v>
      </c>
      <c r="C1444" t="s">
        <v>8748</v>
      </c>
      <c r="D1444" t="s">
        <v>8749</v>
      </c>
      <c r="E1444" t="s">
        <v>20</v>
      </c>
      <c r="F1444" t="str">
        <f>"44212"</f>
        <v>44212</v>
      </c>
      <c r="G1444" t="str">
        <f>"Bwucf4621"</f>
        <v>Bwucf4621</v>
      </c>
      <c r="H1444" s="2">
        <f>50</f>
        <v>50</v>
      </c>
      <c r="I1444" t="s">
        <v>15</v>
      </c>
      <c r="J1444" t="s">
        <v>295</v>
      </c>
      <c r="K1444" t="str">
        <f>"01447637"</f>
        <v>01447637</v>
      </c>
    </row>
    <row r="1445" spans="1:11" x14ac:dyDescent="0.25">
      <c r="A1445">
        <v>2021</v>
      </c>
      <c r="B1445" t="s">
        <v>8753</v>
      </c>
      <c r="C1445" t="s">
        <v>3123</v>
      </c>
      <c r="D1445" t="s">
        <v>1005</v>
      </c>
      <c r="E1445" t="s">
        <v>20</v>
      </c>
      <c r="F1445" t="str">
        <f>"44139"</f>
        <v>44139</v>
      </c>
      <c r="G1445" t="str">
        <f>"402017"</f>
        <v>402017</v>
      </c>
      <c r="H1445" s="2">
        <f>550</f>
        <v>550</v>
      </c>
      <c r="I1445" t="s">
        <v>27</v>
      </c>
      <c r="J1445" t="s">
        <v>212</v>
      </c>
      <c r="K1445" t="str">
        <f>"34405"</f>
        <v>34405</v>
      </c>
    </row>
    <row r="1446" spans="1:11" x14ac:dyDescent="0.25">
      <c r="A1446">
        <v>2021</v>
      </c>
      <c r="B1446" t="s">
        <v>8762</v>
      </c>
      <c r="C1446" t="s">
        <v>8763</v>
      </c>
      <c r="D1446" t="s">
        <v>19</v>
      </c>
      <c r="E1446" t="s">
        <v>20</v>
      </c>
      <c r="F1446" t="str">
        <f>"43606"</f>
        <v>43606</v>
      </c>
      <c r="G1446" t="str">
        <f>"Pio448069"</f>
        <v>Pio448069</v>
      </c>
      <c r="H1446" s="2">
        <f>45</f>
        <v>45</v>
      </c>
      <c r="I1446" t="s">
        <v>86</v>
      </c>
      <c r="J1446" t="s">
        <v>87</v>
      </c>
      <c r="K1446" t="str">
        <f>"0"</f>
        <v>0</v>
      </c>
    </row>
    <row r="1447" spans="1:11" x14ac:dyDescent="0.25">
      <c r="A1447">
        <v>2021</v>
      </c>
      <c r="B1447" t="s">
        <v>8764</v>
      </c>
      <c r="C1447" t="s">
        <v>8765</v>
      </c>
      <c r="D1447" t="s">
        <v>8766</v>
      </c>
      <c r="E1447" t="s">
        <v>20</v>
      </c>
      <c r="F1447" t="str">
        <f>"44143-2114"</f>
        <v>44143-2114</v>
      </c>
      <c r="G1447" t="str">
        <f>"402017"</f>
        <v>402017</v>
      </c>
      <c r="H1447" s="2">
        <f>125</f>
        <v>125</v>
      </c>
      <c r="I1447" t="s">
        <v>27</v>
      </c>
      <c r="J1447" t="s">
        <v>212</v>
      </c>
      <c r="K1447" t="str">
        <f>"35637"</f>
        <v>35637</v>
      </c>
    </row>
    <row r="1448" spans="1:11" x14ac:dyDescent="0.25">
      <c r="A1448">
        <v>2021</v>
      </c>
      <c r="B1448" t="s">
        <v>8773</v>
      </c>
      <c r="C1448" t="s">
        <v>8774</v>
      </c>
      <c r="D1448" t="s">
        <v>19</v>
      </c>
      <c r="E1448" t="s">
        <v>20</v>
      </c>
      <c r="F1448" t="str">
        <f>"43607"</f>
        <v>43607</v>
      </c>
      <c r="G1448" t="str">
        <f>"Pio448069"</f>
        <v>Pio448069</v>
      </c>
      <c r="H1448" s="2">
        <f>3.4</f>
        <v>3.4</v>
      </c>
      <c r="I1448" t="s">
        <v>86</v>
      </c>
      <c r="J1448" t="s">
        <v>87</v>
      </c>
      <c r="K1448" t="str">
        <f>"0"</f>
        <v>0</v>
      </c>
    </row>
    <row r="1449" spans="1:11" x14ac:dyDescent="0.25">
      <c r="A1449">
        <v>2021</v>
      </c>
      <c r="B1449" t="s">
        <v>8788</v>
      </c>
      <c r="C1449" t="s">
        <v>8789</v>
      </c>
      <c r="D1449" t="s">
        <v>19</v>
      </c>
      <c r="E1449" t="s">
        <v>20</v>
      </c>
      <c r="F1449" t="str">
        <f>"43604"</f>
        <v>43604</v>
      </c>
      <c r="G1449" t="str">
        <f>"Pio448069"</f>
        <v>Pio448069</v>
      </c>
      <c r="H1449" s="2">
        <f>1.7</f>
        <v>1.7</v>
      </c>
      <c r="I1449" t="s">
        <v>86</v>
      </c>
      <c r="J1449" t="s">
        <v>87</v>
      </c>
      <c r="K1449" t="str">
        <f>"0"</f>
        <v>0</v>
      </c>
    </row>
    <row r="1450" spans="1:11" x14ac:dyDescent="0.25">
      <c r="A1450">
        <v>2021</v>
      </c>
      <c r="B1450" t="s">
        <v>8790</v>
      </c>
      <c r="C1450" t="s">
        <v>8791</v>
      </c>
      <c r="D1450" t="s">
        <v>19</v>
      </c>
      <c r="E1450" t="s">
        <v>20</v>
      </c>
      <c r="F1450" t="str">
        <f>"43614-4160"</f>
        <v>43614-4160</v>
      </c>
      <c r="G1450" t="str">
        <f>"402019"</f>
        <v>402019</v>
      </c>
      <c r="H1450" s="2">
        <f>40</f>
        <v>40</v>
      </c>
      <c r="I1450" t="s">
        <v>27</v>
      </c>
      <c r="J1450" t="s">
        <v>42</v>
      </c>
      <c r="K1450" t="str">
        <f>"112282"</f>
        <v>112282</v>
      </c>
    </row>
    <row r="1451" spans="1:11" x14ac:dyDescent="0.25">
      <c r="A1451">
        <v>2021</v>
      </c>
      <c r="B1451" t="s">
        <v>8792</v>
      </c>
      <c r="C1451" t="s">
        <v>8793</v>
      </c>
      <c r="D1451" t="s">
        <v>19</v>
      </c>
      <c r="E1451" t="s">
        <v>20</v>
      </c>
      <c r="F1451" t="str">
        <f>"43615-3344"</f>
        <v>43615-3344</v>
      </c>
      <c r="G1451" t="str">
        <f>"402019"</f>
        <v>402019</v>
      </c>
      <c r="H1451" s="2">
        <f>20</f>
        <v>20</v>
      </c>
      <c r="I1451" t="s">
        <v>27</v>
      </c>
      <c r="J1451" t="s">
        <v>42</v>
      </c>
      <c r="K1451" t="str">
        <f>"112034"</f>
        <v>112034</v>
      </c>
    </row>
    <row r="1452" spans="1:11" x14ac:dyDescent="0.25">
      <c r="A1452">
        <v>2021</v>
      </c>
      <c r="B1452" t="s">
        <v>8811</v>
      </c>
      <c r="C1452" t="s">
        <v>8812</v>
      </c>
      <c r="D1452" t="s">
        <v>19</v>
      </c>
      <c r="E1452" t="s">
        <v>20</v>
      </c>
      <c r="F1452" t="str">
        <f>"43613-4202"</f>
        <v>43613-4202</v>
      </c>
      <c r="G1452" t="str">
        <f>"402019"</f>
        <v>402019</v>
      </c>
      <c r="H1452" s="2">
        <f>20</f>
        <v>20</v>
      </c>
      <c r="I1452" t="s">
        <v>27</v>
      </c>
      <c r="J1452" t="s">
        <v>42</v>
      </c>
      <c r="K1452" t="str">
        <f>"114133"</f>
        <v>114133</v>
      </c>
    </row>
    <row r="1453" spans="1:11" x14ac:dyDescent="0.25">
      <c r="A1453">
        <v>2021</v>
      </c>
      <c r="B1453" t="s">
        <v>8823</v>
      </c>
      <c r="C1453" t="s">
        <v>8824</v>
      </c>
      <c r="D1453" t="s">
        <v>19</v>
      </c>
      <c r="E1453" t="s">
        <v>20</v>
      </c>
      <c r="F1453" t="str">
        <f>"43612"</f>
        <v>43612</v>
      </c>
      <c r="G1453" t="str">
        <f>"Pio448069"</f>
        <v>Pio448069</v>
      </c>
      <c r="H1453" s="2">
        <f>30</f>
        <v>30</v>
      </c>
      <c r="I1453" t="s">
        <v>86</v>
      </c>
      <c r="J1453" t="s">
        <v>87</v>
      </c>
      <c r="K1453" t="str">
        <f>"0"</f>
        <v>0</v>
      </c>
    </row>
    <row r="1454" spans="1:11" x14ac:dyDescent="0.25">
      <c r="A1454">
        <v>2021</v>
      </c>
      <c r="B1454" t="s">
        <v>8838</v>
      </c>
      <c r="C1454" t="s">
        <v>8839</v>
      </c>
      <c r="D1454" t="s">
        <v>1074</v>
      </c>
      <c r="E1454" t="s">
        <v>20</v>
      </c>
      <c r="F1454" t="str">
        <f>"43551"</f>
        <v>43551</v>
      </c>
      <c r="G1454" t="str">
        <f>"Je110321"</f>
        <v>Je110321</v>
      </c>
      <c r="H1454" s="2">
        <f>60</f>
        <v>60</v>
      </c>
      <c r="I1454" t="s">
        <v>15</v>
      </c>
      <c r="J1454" t="s">
        <v>596</v>
      </c>
      <c r="K1454" t="str">
        <f>"60017049"</f>
        <v>60017049</v>
      </c>
    </row>
    <row r="1455" spans="1:11" x14ac:dyDescent="0.25">
      <c r="A1455">
        <v>2021</v>
      </c>
      <c r="B1455" t="s">
        <v>8838</v>
      </c>
      <c r="C1455" t="s">
        <v>8840</v>
      </c>
      <c r="D1455" t="s">
        <v>1074</v>
      </c>
      <c r="E1455" t="s">
        <v>20</v>
      </c>
      <c r="F1455" t="str">
        <f>"43551"</f>
        <v>43551</v>
      </c>
      <c r="G1455" t="str">
        <f>"Je061721"</f>
        <v>Je061721</v>
      </c>
      <c r="H1455" s="2">
        <f>20</f>
        <v>20</v>
      </c>
      <c r="I1455" t="s">
        <v>15</v>
      </c>
      <c r="J1455" t="s">
        <v>137</v>
      </c>
      <c r="K1455" t="str">
        <f>"60006970"</f>
        <v>60006970</v>
      </c>
    </row>
    <row r="1456" spans="1:11" x14ac:dyDescent="0.25">
      <c r="A1456">
        <v>2021</v>
      </c>
      <c r="B1456" t="s">
        <v>8856</v>
      </c>
      <c r="C1456" t="s">
        <v>8857</v>
      </c>
      <c r="D1456" t="s">
        <v>125</v>
      </c>
      <c r="E1456" t="s">
        <v>20</v>
      </c>
      <c r="F1456" t="str">
        <f>"43537-3221"</f>
        <v>43537-3221</v>
      </c>
      <c r="G1456" t="str">
        <f>"402019"</f>
        <v>402019</v>
      </c>
      <c r="H1456" s="2">
        <f>10</f>
        <v>10</v>
      </c>
      <c r="I1456" t="s">
        <v>27</v>
      </c>
      <c r="J1456" t="s">
        <v>42</v>
      </c>
      <c r="K1456" t="str">
        <f>"115952"</f>
        <v>115952</v>
      </c>
    </row>
    <row r="1457" spans="1:11" x14ac:dyDescent="0.25">
      <c r="A1457">
        <v>2021</v>
      </c>
      <c r="B1457" t="s">
        <v>8858</v>
      </c>
      <c r="C1457" t="s">
        <v>8859</v>
      </c>
      <c r="D1457" t="s">
        <v>19</v>
      </c>
      <c r="E1457" t="s">
        <v>20</v>
      </c>
      <c r="F1457" t="str">
        <f>"43613-4313"</f>
        <v>43613-4313</v>
      </c>
      <c r="G1457" t="str">
        <f>"402019"</f>
        <v>402019</v>
      </c>
      <c r="H1457" s="2">
        <f>10</f>
        <v>10</v>
      </c>
      <c r="I1457" t="s">
        <v>27</v>
      </c>
      <c r="J1457" t="s">
        <v>42</v>
      </c>
      <c r="K1457" t="str">
        <f>"114889"</f>
        <v>114889</v>
      </c>
    </row>
    <row r="1458" spans="1:11" x14ac:dyDescent="0.25">
      <c r="A1458">
        <v>2021</v>
      </c>
      <c r="B1458" t="s">
        <v>8862</v>
      </c>
      <c r="C1458" t="s">
        <v>8863</v>
      </c>
      <c r="D1458" t="s">
        <v>19</v>
      </c>
      <c r="E1458" t="s">
        <v>20</v>
      </c>
      <c r="F1458" t="str">
        <f>"43609-2856"</f>
        <v>43609-2856</v>
      </c>
      <c r="G1458" t="str">
        <f>"402019"</f>
        <v>402019</v>
      </c>
      <c r="H1458" s="2">
        <f>10</f>
        <v>10</v>
      </c>
      <c r="I1458" t="s">
        <v>27</v>
      </c>
      <c r="J1458" t="s">
        <v>42</v>
      </c>
      <c r="K1458" t="str">
        <f>"111196"</f>
        <v>111196</v>
      </c>
    </row>
    <row r="1459" spans="1:11" x14ac:dyDescent="0.25">
      <c r="A1459">
        <v>2021</v>
      </c>
      <c r="B1459" t="s">
        <v>8862</v>
      </c>
      <c r="C1459" t="s">
        <v>8863</v>
      </c>
      <c r="D1459" t="s">
        <v>19</v>
      </c>
      <c r="E1459" t="s">
        <v>20</v>
      </c>
      <c r="F1459" t="str">
        <f>"43609-2856"</f>
        <v>43609-2856</v>
      </c>
      <c r="G1459" t="str">
        <f>"402019"</f>
        <v>402019</v>
      </c>
      <c r="H1459" s="2">
        <f>20</f>
        <v>20</v>
      </c>
      <c r="I1459" t="s">
        <v>27</v>
      </c>
      <c r="J1459" t="s">
        <v>42</v>
      </c>
      <c r="K1459" t="str">
        <f>"111154"</f>
        <v>111154</v>
      </c>
    </row>
    <row r="1460" spans="1:11" x14ac:dyDescent="0.25">
      <c r="A1460">
        <v>2021</v>
      </c>
      <c r="B1460" t="s">
        <v>8868</v>
      </c>
      <c r="C1460" t="s">
        <v>2681</v>
      </c>
      <c r="D1460" t="s">
        <v>19</v>
      </c>
      <c r="E1460" t="s">
        <v>20</v>
      </c>
      <c r="F1460" t="str">
        <f>"43604"</f>
        <v>43604</v>
      </c>
      <c r="G1460" t="str">
        <f>"402017"</f>
        <v>402017</v>
      </c>
      <c r="H1460" s="2">
        <f>3</f>
        <v>3</v>
      </c>
      <c r="I1460" t="s">
        <v>27</v>
      </c>
      <c r="J1460" t="s">
        <v>212</v>
      </c>
      <c r="K1460" t="str">
        <f>"33147"</f>
        <v>33147</v>
      </c>
    </row>
    <row r="1461" spans="1:11" x14ac:dyDescent="0.25">
      <c r="A1461">
        <v>2021</v>
      </c>
      <c r="B1461" t="s">
        <v>8869</v>
      </c>
      <c r="C1461" t="s">
        <v>8870</v>
      </c>
      <c r="D1461" t="s">
        <v>125</v>
      </c>
      <c r="E1461" t="s">
        <v>20</v>
      </c>
      <c r="F1461" t="str">
        <f>"43537-9548"</f>
        <v>43537-9548</v>
      </c>
      <c r="G1461" t="str">
        <f>"402019"</f>
        <v>402019</v>
      </c>
      <c r="H1461" s="2">
        <f>60</f>
        <v>60</v>
      </c>
      <c r="I1461" t="s">
        <v>27</v>
      </c>
      <c r="J1461" t="s">
        <v>42</v>
      </c>
      <c r="K1461" t="str">
        <f>"113018"</f>
        <v>113018</v>
      </c>
    </row>
    <row r="1462" spans="1:11" x14ac:dyDescent="0.25">
      <c r="A1462">
        <v>2021</v>
      </c>
      <c r="B1462" t="s">
        <v>8875</v>
      </c>
      <c r="C1462" t="s">
        <v>8876</v>
      </c>
      <c r="D1462" t="s">
        <v>50</v>
      </c>
      <c r="E1462" t="s">
        <v>20</v>
      </c>
      <c r="F1462" t="str">
        <f>"43560-2020"</f>
        <v>43560-2020</v>
      </c>
      <c r="G1462" t="str">
        <f>"402019"</f>
        <v>402019</v>
      </c>
      <c r="H1462" s="2">
        <f>10</f>
        <v>10</v>
      </c>
      <c r="I1462" t="s">
        <v>27</v>
      </c>
      <c r="J1462" t="s">
        <v>42</v>
      </c>
      <c r="K1462" t="str">
        <f>"112697"</f>
        <v>112697</v>
      </c>
    </row>
    <row r="1463" spans="1:11" x14ac:dyDescent="0.25">
      <c r="A1463">
        <v>2021</v>
      </c>
      <c r="B1463" t="s">
        <v>8883</v>
      </c>
      <c r="C1463" t="s">
        <v>8884</v>
      </c>
      <c r="D1463" t="s">
        <v>1729</v>
      </c>
      <c r="E1463" t="s">
        <v>20</v>
      </c>
      <c r="F1463" t="str">
        <f>"45414"</f>
        <v>45414</v>
      </c>
      <c r="G1463" t="str">
        <f>"Je092221"</f>
        <v>Je092221</v>
      </c>
      <c r="H1463" s="2">
        <f>92.44</f>
        <v>92.44</v>
      </c>
      <c r="I1463" t="s">
        <v>15</v>
      </c>
      <c r="J1463" t="s">
        <v>114</v>
      </c>
      <c r="K1463" t="str">
        <f>"60009964"</f>
        <v>60009964</v>
      </c>
    </row>
    <row r="1464" spans="1:11" x14ac:dyDescent="0.25">
      <c r="A1464">
        <v>2021</v>
      </c>
      <c r="B1464" t="s">
        <v>8885</v>
      </c>
      <c r="C1464" t="s">
        <v>8884</v>
      </c>
      <c r="D1464" t="s">
        <v>1729</v>
      </c>
      <c r="E1464" t="s">
        <v>20</v>
      </c>
      <c r="F1464" t="str">
        <f>"45414-4515"</f>
        <v>45414-4515</v>
      </c>
      <c r="G1464" t="str">
        <f>"Swucf4621"</f>
        <v>Swucf4621</v>
      </c>
      <c r="H1464" s="2">
        <f>92.28</f>
        <v>92.28</v>
      </c>
      <c r="I1464" t="s">
        <v>15</v>
      </c>
      <c r="J1464" t="s">
        <v>81</v>
      </c>
      <c r="K1464" t="str">
        <f>"6289199"</f>
        <v>6289199</v>
      </c>
    </row>
    <row r="1465" spans="1:11" x14ac:dyDescent="0.25">
      <c r="A1465">
        <v>2021</v>
      </c>
      <c r="B1465" t="s">
        <v>8885</v>
      </c>
      <c r="C1465" t="s">
        <v>8884</v>
      </c>
      <c r="D1465" t="s">
        <v>1729</v>
      </c>
      <c r="E1465" t="s">
        <v>20</v>
      </c>
      <c r="F1465" t="str">
        <f>"45414-4515"</f>
        <v>45414-4515</v>
      </c>
      <c r="G1465" t="str">
        <f>"Swucf4621"</f>
        <v>Swucf4621</v>
      </c>
      <c r="H1465" s="2">
        <f>92.44</f>
        <v>92.44</v>
      </c>
      <c r="I1465" t="s">
        <v>15</v>
      </c>
      <c r="J1465" t="s">
        <v>81</v>
      </c>
      <c r="K1465" t="str">
        <f>"6298739"</f>
        <v>6298739</v>
      </c>
    </row>
    <row r="1466" spans="1:11" x14ac:dyDescent="0.25">
      <c r="A1466">
        <v>2021</v>
      </c>
      <c r="B1466" t="s">
        <v>8894</v>
      </c>
      <c r="C1466" t="s">
        <v>8895</v>
      </c>
      <c r="D1466" t="s">
        <v>19</v>
      </c>
      <c r="E1466" t="s">
        <v>20</v>
      </c>
      <c r="F1466" t="str">
        <f>"43533"</f>
        <v>43533</v>
      </c>
      <c r="G1466" t="str">
        <f>"Bwucf4621"</f>
        <v>Bwucf4621</v>
      </c>
      <c r="H1466" s="2">
        <f>10</f>
        <v>10</v>
      </c>
      <c r="I1466" t="s">
        <v>15</v>
      </c>
      <c r="J1466" t="s">
        <v>295</v>
      </c>
      <c r="K1466" t="str">
        <f>"01439553"</f>
        <v>01439553</v>
      </c>
    </row>
    <row r="1467" spans="1:11" x14ac:dyDescent="0.25">
      <c r="A1467">
        <v>2021</v>
      </c>
      <c r="B1467" t="s">
        <v>8900</v>
      </c>
      <c r="C1467" t="s">
        <v>8901</v>
      </c>
      <c r="D1467" t="s">
        <v>8902</v>
      </c>
      <c r="E1467" t="s">
        <v>20</v>
      </c>
      <c r="F1467" t="str">
        <f>"43040"</f>
        <v>43040</v>
      </c>
      <c r="G1467" t="str">
        <f>"Pio448069"</f>
        <v>Pio448069</v>
      </c>
      <c r="H1467" s="2">
        <f>40</f>
        <v>40</v>
      </c>
      <c r="I1467" t="s">
        <v>86</v>
      </c>
      <c r="J1467" t="s">
        <v>87</v>
      </c>
      <c r="K1467" t="str">
        <f>"0"</f>
        <v>0</v>
      </c>
    </row>
    <row r="1468" spans="1:11" x14ac:dyDescent="0.25">
      <c r="A1468">
        <v>2021</v>
      </c>
      <c r="B1468" t="s">
        <v>8905</v>
      </c>
      <c r="C1468" t="s">
        <v>8906</v>
      </c>
      <c r="D1468" t="s">
        <v>164</v>
      </c>
      <c r="E1468" t="s">
        <v>20</v>
      </c>
      <c r="F1468" t="str">
        <f>"43558"</f>
        <v>43558</v>
      </c>
      <c r="G1468" t="str">
        <f>"Pio448069"</f>
        <v>Pio448069</v>
      </c>
      <c r="H1468" s="2">
        <f>0.39</f>
        <v>0.39</v>
      </c>
      <c r="I1468" t="s">
        <v>86</v>
      </c>
      <c r="J1468" t="s">
        <v>87</v>
      </c>
      <c r="K1468" t="str">
        <f>"0"</f>
        <v>0</v>
      </c>
    </row>
    <row r="1469" spans="1:11" x14ac:dyDescent="0.25">
      <c r="A1469">
        <v>2021</v>
      </c>
      <c r="B1469" t="s">
        <v>8907</v>
      </c>
      <c r="C1469" t="s">
        <v>8908</v>
      </c>
      <c r="D1469" t="s">
        <v>58</v>
      </c>
      <c r="E1469" t="s">
        <v>20</v>
      </c>
      <c r="F1469" t="str">
        <f>"43616"</f>
        <v>43616</v>
      </c>
      <c r="G1469" t="str">
        <f>"Pio448069"</f>
        <v>Pio448069</v>
      </c>
      <c r="H1469" s="2">
        <f>19</f>
        <v>19</v>
      </c>
      <c r="I1469" t="s">
        <v>86</v>
      </c>
      <c r="J1469" t="s">
        <v>87</v>
      </c>
      <c r="K1469" t="str">
        <f>"0"</f>
        <v>0</v>
      </c>
    </row>
    <row r="1470" spans="1:11" x14ac:dyDescent="0.25">
      <c r="A1470">
        <v>2021</v>
      </c>
      <c r="B1470" t="s">
        <v>8909</v>
      </c>
      <c r="C1470" t="s">
        <v>438</v>
      </c>
      <c r="D1470" t="s">
        <v>19</v>
      </c>
      <c r="E1470" t="s">
        <v>20</v>
      </c>
      <c r="F1470" t="str">
        <f>"43604"</f>
        <v>43604</v>
      </c>
      <c r="G1470" t="str">
        <f>"Pio448069"</f>
        <v>Pio448069</v>
      </c>
      <c r="H1470" s="2">
        <f>1.45</f>
        <v>1.45</v>
      </c>
      <c r="I1470" t="s">
        <v>86</v>
      </c>
      <c r="J1470" t="s">
        <v>87</v>
      </c>
      <c r="K1470" t="str">
        <f>"0"</f>
        <v>0</v>
      </c>
    </row>
    <row r="1471" spans="1:11" x14ac:dyDescent="0.25">
      <c r="A1471">
        <v>2021</v>
      </c>
      <c r="B1471" t="s">
        <v>8923</v>
      </c>
      <c r="C1471" t="s">
        <v>8924</v>
      </c>
      <c r="D1471" t="s">
        <v>125</v>
      </c>
      <c r="E1471" t="s">
        <v>20</v>
      </c>
      <c r="F1471" t="str">
        <f>"43537-2348"</f>
        <v>43537-2348</v>
      </c>
      <c r="G1471" t="str">
        <f>"402019"</f>
        <v>402019</v>
      </c>
      <c r="H1471" s="2">
        <f>10</f>
        <v>10</v>
      </c>
      <c r="I1471" t="s">
        <v>27</v>
      </c>
      <c r="J1471" t="s">
        <v>42</v>
      </c>
      <c r="K1471" t="str">
        <f>"114987"</f>
        <v>114987</v>
      </c>
    </row>
    <row r="1472" spans="1:11" x14ac:dyDescent="0.25">
      <c r="A1472">
        <v>2021</v>
      </c>
      <c r="B1472" t="s">
        <v>8927</v>
      </c>
      <c r="C1472" t="s">
        <v>8928</v>
      </c>
      <c r="D1472" t="s">
        <v>19</v>
      </c>
      <c r="E1472" t="s">
        <v>20</v>
      </c>
      <c r="F1472" t="str">
        <f>"43609"</f>
        <v>43609</v>
      </c>
      <c r="G1472" t="str">
        <f>"Pio448069"</f>
        <v>Pio448069</v>
      </c>
      <c r="H1472" s="2">
        <f>7</f>
        <v>7</v>
      </c>
      <c r="I1472" t="s">
        <v>86</v>
      </c>
      <c r="J1472" t="s">
        <v>87</v>
      </c>
      <c r="K1472" t="str">
        <f>"0"</f>
        <v>0</v>
      </c>
    </row>
    <row r="1473" spans="1:11" x14ac:dyDescent="0.25">
      <c r="A1473">
        <v>2021</v>
      </c>
      <c r="B1473" t="s">
        <v>8931</v>
      </c>
      <c r="C1473" t="s">
        <v>8932</v>
      </c>
      <c r="D1473" t="s">
        <v>58</v>
      </c>
      <c r="E1473" t="s">
        <v>20</v>
      </c>
      <c r="F1473" t="str">
        <f>"43616-2638"</f>
        <v>43616-2638</v>
      </c>
      <c r="G1473" t="str">
        <f>"402019"</f>
        <v>402019</v>
      </c>
      <c r="H1473" s="2">
        <f>20</f>
        <v>20</v>
      </c>
      <c r="I1473" t="s">
        <v>27</v>
      </c>
      <c r="J1473" t="s">
        <v>42</v>
      </c>
      <c r="K1473" t="str">
        <f>"112042"</f>
        <v>112042</v>
      </c>
    </row>
    <row r="1474" spans="1:11" x14ac:dyDescent="0.25">
      <c r="A1474">
        <v>2021</v>
      </c>
      <c r="B1474" t="s">
        <v>8935</v>
      </c>
      <c r="C1474" t="s">
        <v>8936</v>
      </c>
      <c r="D1474" t="s">
        <v>3756</v>
      </c>
      <c r="E1474" t="s">
        <v>1837</v>
      </c>
      <c r="F1474" t="str">
        <f>"10018"</f>
        <v>10018</v>
      </c>
      <c r="G1474" t="str">
        <f>"Je092221"</f>
        <v>Je092221</v>
      </c>
      <c r="H1474" s="2">
        <f>276.01</f>
        <v>276.01</v>
      </c>
      <c r="I1474" t="s">
        <v>15</v>
      </c>
      <c r="J1474" t="s">
        <v>114</v>
      </c>
      <c r="K1474" t="str">
        <f>"60012151"</f>
        <v>60012151</v>
      </c>
    </row>
    <row r="1475" spans="1:11" x14ac:dyDescent="0.25">
      <c r="A1475">
        <v>2021</v>
      </c>
      <c r="B1475" t="s">
        <v>8935</v>
      </c>
      <c r="C1475" t="s">
        <v>8937</v>
      </c>
      <c r="D1475" t="s">
        <v>3756</v>
      </c>
      <c r="E1475" t="s">
        <v>1837</v>
      </c>
      <c r="F1475" t="str">
        <f>"10018"</f>
        <v>10018</v>
      </c>
      <c r="G1475" t="str">
        <f>"Je061721"</f>
        <v>Je061721</v>
      </c>
      <c r="H1475" s="2">
        <f>272.54</f>
        <v>272.54000000000002</v>
      </c>
      <c r="I1475" t="s">
        <v>15</v>
      </c>
      <c r="J1475" t="s">
        <v>137</v>
      </c>
      <c r="K1475" t="str">
        <f>"60008539"</f>
        <v>60008539</v>
      </c>
    </row>
    <row r="1476" spans="1:11" x14ac:dyDescent="0.25">
      <c r="A1476">
        <v>2021</v>
      </c>
      <c r="B1476" t="s">
        <v>8940</v>
      </c>
      <c r="C1476" t="s">
        <v>8941</v>
      </c>
      <c r="D1476" t="s">
        <v>19</v>
      </c>
      <c r="E1476" t="s">
        <v>20</v>
      </c>
      <c r="F1476" t="str">
        <f>"43605-2826"</f>
        <v>43605-2826</v>
      </c>
      <c r="G1476" t="str">
        <f>"402019"</f>
        <v>402019</v>
      </c>
      <c r="H1476" s="2">
        <f>20</f>
        <v>20</v>
      </c>
      <c r="I1476" t="s">
        <v>27</v>
      </c>
      <c r="J1476" t="s">
        <v>42</v>
      </c>
      <c r="K1476" t="str">
        <f>"114395"</f>
        <v>114395</v>
      </c>
    </row>
    <row r="1477" spans="1:11" x14ac:dyDescent="0.25">
      <c r="A1477">
        <v>2021</v>
      </c>
      <c r="B1477" t="s">
        <v>8944</v>
      </c>
      <c r="C1477" t="s">
        <v>8945</v>
      </c>
      <c r="D1477" t="s">
        <v>19</v>
      </c>
      <c r="E1477" t="s">
        <v>20</v>
      </c>
      <c r="F1477" t="str">
        <f>"43605"</f>
        <v>43605</v>
      </c>
      <c r="G1477" t="str">
        <f>"Pio448069"</f>
        <v>Pio448069</v>
      </c>
      <c r="H1477" s="2">
        <f>7</f>
        <v>7</v>
      </c>
      <c r="I1477" t="s">
        <v>86</v>
      </c>
      <c r="J1477" t="s">
        <v>87</v>
      </c>
      <c r="K1477" t="str">
        <f>"0"</f>
        <v>0</v>
      </c>
    </row>
    <row r="1478" spans="1:11" x14ac:dyDescent="0.25">
      <c r="A1478">
        <v>2021</v>
      </c>
      <c r="B1478" t="s">
        <v>8948</v>
      </c>
      <c r="C1478" t="s">
        <v>8949</v>
      </c>
      <c r="D1478" t="s">
        <v>125</v>
      </c>
      <c r="E1478" t="s">
        <v>20</v>
      </c>
      <c r="F1478" t="str">
        <f>"43537"</f>
        <v>43537</v>
      </c>
      <c r="G1478" t="str">
        <f>"Je092221"</f>
        <v>Je092221</v>
      </c>
      <c r="H1478" s="2">
        <f>126.74</f>
        <v>126.74</v>
      </c>
      <c r="I1478" t="s">
        <v>15</v>
      </c>
      <c r="J1478" t="s">
        <v>114</v>
      </c>
      <c r="K1478" t="str">
        <f>"60009299"</f>
        <v>60009299</v>
      </c>
    </row>
    <row r="1479" spans="1:11" x14ac:dyDescent="0.25">
      <c r="A1479">
        <v>2021</v>
      </c>
      <c r="B1479" t="s">
        <v>8948</v>
      </c>
      <c r="C1479" t="s">
        <v>8949</v>
      </c>
      <c r="D1479" t="s">
        <v>125</v>
      </c>
      <c r="E1479" t="s">
        <v>20</v>
      </c>
      <c r="F1479" t="str">
        <f>"43537"</f>
        <v>43537</v>
      </c>
      <c r="G1479" t="str">
        <f>"Je092221"</f>
        <v>Je092221</v>
      </c>
      <c r="H1479" s="2">
        <f>56.01</f>
        <v>56.01</v>
      </c>
      <c r="I1479" t="s">
        <v>15</v>
      </c>
      <c r="J1479" t="s">
        <v>114</v>
      </c>
      <c r="K1479" t="str">
        <f>"60009300"</f>
        <v>60009300</v>
      </c>
    </row>
    <row r="1480" spans="1:11" x14ac:dyDescent="0.25">
      <c r="A1480">
        <v>2021</v>
      </c>
      <c r="B1480" t="s">
        <v>8953</v>
      </c>
      <c r="C1480" t="s">
        <v>8954</v>
      </c>
      <c r="D1480" t="s">
        <v>13</v>
      </c>
      <c r="E1480" t="s">
        <v>14</v>
      </c>
      <c r="F1480" t="str">
        <f>"49267"</f>
        <v>49267</v>
      </c>
      <c r="G1480" t="str">
        <f>"402018"</f>
        <v>402018</v>
      </c>
      <c r="H1480" s="2">
        <f>9.08</f>
        <v>9.08</v>
      </c>
      <c r="I1480" t="s">
        <v>27</v>
      </c>
      <c r="J1480" t="s">
        <v>171</v>
      </c>
      <c r="K1480" t="str">
        <f>"517687"</f>
        <v>517687</v>
      </c>
    </row>
    <row r="1481" spans="1:11" x14ac:dyDescent="0.25">
      <c r="A1481">
        <v>2021</v>
      </c>
      <c r="B1481" t="s">
        <v>8955</v>
      </c>
      <c r="C1481" t="s">
        <v>8956</v>
      </c>
      <c r="D1481" t="s">
        <v>19</v>
      </c>
      <c r="E1481" t="s">
        <v>20</v>
      </c>
      <c r="F1481" t="str">
        <f>"43615"</f>
        <v>43615</v>
      </c>
      <c r="G1481" t="str">
        <f>"Pio448069"</f>
        <v>Pio448069</v>
      </c>
      <c r="H1481" s="2">
        <f>15</f>
        <v>15</v>
      </c>
      <c r="I1481" t="s">
        <v>86</v>
      </c>
      <c r="J1481" t="s">
        <v>87</v>
      </c>
      <c r="K1481" t="str">
        <f>"0"</f>
        <v>0</v>
      </c>
    </row>
    <row r="1482" spans="1:11" x14ac:dyDescent="0.25">
      <c r="A1482">
        <v>2021</v>
      </c>
      <c r="B1482" t="s">
        <v>8959</v>
      </c>
      <c r="C1482" t="s">
        <v>1101</v>
      </c>
      <c r="D1482" t="s">
        <v>1005</v>
      </c>
      <c r="E1482" t="s">
        <v>20</v>
      </c>
      <c r="F1482" t="str">
        <f>"44139"</f>
        <v>44139</v>
      </c>
      <c r="G1482" t="str">
        <f>"402017"</f>
        <v>402017</v>
      </c>
      <c r="H1482" s="2">
        <f>1.25</f>
        <v>1.25</v>
      </c>
      <c r="I1482" t="s">
        <v>27</v>
      </c>
      <c r="J1482" t="s">
        <v>212</v>
      </c>
      <c r="K1482" t="str">
        <f>"34742"</f>
        <v>34742</v>
      </c>
    </row>
    <row r="1483" spans="1:11" x14ac:dyDescent="0.25">
      <c r="A1483">
        <v>2021</v>
      </c>
      <c r="B1483" t="s">
        <v>8960</v>
      </c>
      <c r="C1483" t="s">
        <v>2634</v>
      </c>
      <c r="D1483" t="s">
        <v>19</v>
      </c>
      <c r="E1483" t="s">
        <v>20</v>
      </c>
      <c r="F1483" t="str">
        <f>"43615"</f>
        <v>43615</v>
      </c>
      <c r="G1483" t="str">
        <f>"402018"</f>
        <v>402018</v>
      </c>
      <c r="H1483" s="2">
        <f>9.08</f>
        <v>9.08</v>
      </c>
      <c r="I1483" t="s">
        <v>27</v>
      </c>
      <c r="J1483" t="s">
        <v>171</v>
      </c>
      <c r="K1483" t="str">
        <f>"517688"</f>
        <v>517688</v>
      </c>
    </row>
    <row r="1484" spans="1:11" x14ac:dyDescent="0.25">
      <c r="A1484">
        <v>2021</v>
      </c>
      <c r="B1484" t="s">
        <v>8960</v>
      </c>
      <c r="C1484" t="s">
        <v>2634</v>
      </c>
      <c r="D1484" t="s">
        <v>19</v>
      </c>
      <c r="E1484" t="s">
        <v>20</v>
      </c>
      <c r="F1484" t="str">
        <f>"43615"</f>
        <v>43615</v>
      </c>
      <c r="G1484" t="str">
        <f>"402018"</f>
        <v>402018</v>
      </c>
      <c r="H1484" s="2">
        <f>9.08</f>
        <v>9.08</v>
      </c>
      <c r="I1484" t="s">
        <v>27</v>
      </c>
      <c r="J1484" t="s">
        <v>171</v>
      </c>
      <c r="K1484" t="str">
        <f>"517689"</f>
        <v>517689</v>
      </c>
    </row>
    <row r="1485" spans="1:11" x14ac:dyDescent="0.25">
      <c r="A1485">
        <v>2021</v>
      </c>
      <c r="B1485" t="s">
        <v>8961</v>
      </c>
      <c r="C1485" t="s">
        <v>8962</v>
      </c>
      <c r="D1485" t="s">
        <v>19</v>
      </c>
      <c r="E1485" t="s">
        <v>20</v>
      </c>
      <c r="F1485" t="str">
        <f>"43613"</f>
        <v>43613</v>
      </c>
      <c r="G1485" t="str">
        <f>"402018"</f>
        <v>402018</v>
      </c>
      <c r="H1485" s="2">
        <f>9.08</f>
        <v>9.08</v>
      </c>
      <c r="I1485" t="s">
        <v>27</v>
      </c>
      <c r="J1485" t="s">
        <v>171</v>
      </c>
      <c r="K1485" t="str">
        <f>"517692"</f>
        <v>517692</v>
      </c>
    </row>
    <row r="1486" spans="1:11" x14ac:dyDescent="0.25">
      <c r="A1486">
        <v>2021</v>
      </c>
      <c r="B1486" t="s">
        <v>8963</v>
      </c>
      <c r="C1486" t="s">
        <v>2634</v>
      </c>
      <c r="D1486" t="s">
        <v>19</v>
      </c>
      <c r="E1486" t="s">
        <v>20</v>
      </c>
      <c r="F1486" t="str">
        <f>"43615"</f>
        <v>43615</v>
      </c>
      <c r="G1486" t="str">
        <f>"402018"</f>
        <v>402018</v>
      </c>
      <c r="H1486" s="2">
        <f>9.08</f>
        <v>9.08</v>
      </c>
      <c r="I1486" t="s">
        <v>27</v>
      </c>
      <c r="J1486" t="s">
        <v>171</v>
      </c>
      <c r="K1486" t="str">
        <f>"517693"</f>
        <v>517693</v>
      </c>
    </row>
    <row r="1487" spans="1:11" x14ac:dyDescent="0.25">
      <c r="A1487">
        <v>2021</v>
      </c>
      <c r="B1487" t="s">
        <v>8975</v>
      </c>
      <c r="C1487" t="s">
        <v>8976</v>
      </c>
      <c r="D1487" t="s">
        <v>19</v>
      </c>
      <c r="E1487" t="s">
        <v>20</v>
      </c>
      <c r="F1487" t="str">
        <f>"43604"</f>
        <v>43604</v>
      </c>
      <c r="G1487" t="str">
        <f>"402017"</f>
        <v>402017</v>
      </c>
      <c r="H1487" s="2">
        <f>7.02</f>
        <v>7.02</v>
      </c>
      <c r="I1487" t="s">
        <v>27</v>
      </c>
      <c r="J1487" t="s">
        <v>212</v>
      </c>
      <c r="K1487" t="str">
        <f>"33357"</f>
        <v>33357</v>
      </c>
    </row>
    <row r="1488" spans="1:11" x14ac:dyDescent="0.25">
      <c r="A1488">
        <v>2021</v>
      </c>
      <c r="B1488" t="s">
        <v>8983</v>
      </c>
      <c r="C1488" t="s">
        <v>4201</v>
      </c>
      <c r="D1488" t="s">
        <v>1163</v>
      </c>
      <c r="E1488" t="s">
        <v>20</v>
      </c>
      <c r="F1488" t="str">
        <f>"45227"</f>
        <v>45227</v>
      </c>
      <c r="G1488" t="str">
        <f>"402017"</f>
        <v>402017</v>
      </c>
      <c r="H1488" s="2">
        <f>200.75</f>
        <v>200.75</v>
      </c>
      <c r="I1488" t="s">
        <v>27</v>
      </c>
      <c r="J1488" t="s">
        <v>212</v>
      </c>
      <c r="K1488" t="str">
        <f>"33711"</f>
        <v>33711</v>
      </c>
    </row>
    <row r="1489" spans="1:11" x14ac:dyDescent="0.25">
      <c r="A1489">
        <v>2021</v>
      </c>
      <c r="B1489" t="s">
        <v>8983</v>
      </c>
      <c r="C1489" t="s">
        <v>3314</v>
      </c>
      <c r="D1489" t="s">
        <v>1163</v>
      </c>
      <c r="E1489" t="s">
        <v>20</v>
      </c>
      <c r="F1489" t="str">
        <f>"45227"</f>
        <v>45227</v>
      </c>
      <c r="G1489" t="str">
        <f>"402017"</f>
        <v>402017</v>
      </c>
      <c r="H1489" s="2">
        <f>550</f>
        <v>550</v>
      </c>
      <c r="I1489" t="s">
        <v>27</v>
      </c>
      <c r="J1489" t="s">
        <v>212</v>
      </c>
      <c r="K1489" t="str">
        <f>"35364"</f>
        <v>35364</v>
      </c>
    </row>
    <row r="1490" spans="1:11" x14ac:dyDescent="0.25">
      <c r="A1490">
        <v>2021</v>
      </c>
      <c r="B1490" t="s">
        <v>8988</v>
      </c>
      <c r="C1490" t="s">
        <v>8989</v>
      </c>
      <c r="D1490" t="s">
        <v>50</v>
      </c>
      <c r="E1490" t="s">
        <v>20</v>
      </c>
      <c r="F1490" t="str">
        <f>"43560"</f>
        <v>43560</v>
      </c>
      <c r="G1490" t="str">
        <f>"402018"</f>
        <v>402018</v>
      </c>
      <c r="H1490" s="2">
        <f>9.08</f>
        <v>9.08</v>
      </c>
      <c r="I1490" t="s">
        <v>27</v>
      </c>
      <c r="J1490" t="s">
        <v>171</v>
      </c>
      <c r="K1490" t="str">
        <f>"517695"</f>
        <v>517695</v>
      </c>
    </row>
    <row r="1491" spans="1:11" x14ac:dyDescent="0.25">
      <c r="A1491">
        <v>2021</v>
      </c>
      <c r="B1491" t="s">
        <v>8997</v>
      </c>
      <c r="C1491" t="s">
        <v>8998</v>
      </c>
      <c r="D1491" t="s">
        <v>19</v>
      </c>
      <c r="E1491" t="s">
        <v>20</v>
      </c>
      <c r="F1491" t="str">
        <f>"43617"</f>
        <v>43617</v>
      </c>
      <c r="G1491" t="str">
        <f>"Pio448069"</f>
        <v>Pio448069</v>
      </c>
      <c r="H1491" s="2">
        <f>15</f>
        <v>15</v>
      </c>
      <c r="I1491" t="s">
        <v>86</v>
      </c>
      <c r="J1491" t="s">
        <v>87</v>
      </c>
      <c r="K1491" t="str">
        <f>"0"</f>
        <v>0</v>
      </c>
    </row>
    <row r="1492" spans="1:11" x14ac:dyDescent="0.25">
      <c r="A1492">
        <v>2021</v>
      </c>
      <c r="B1492" t="s">
        <v>9005</v>
      </c>
      <c r="C1492" t="s">
        <v>9006</v>
      </c>
      <c r="D1492" t="s">
        <v>111</v>
      </c>
      <c r="E1492" t="s">
        <v>20</v>
      </c>
      <c r="F1492" t="str">
        <f>"43215-1011"</f>
        <v>43215-1011</v>
      </c>
      <c r="G1492" t="str">
        <f>"Je061721"</f>
        <v>Je061721</v>
      </c>
      <c r="H1492" s="2">
        <f>140</f>
        <v>140</v>
      </c>
      <c r="I1492" t="s">
        <v>15</v>
      </c>
      <c r="J1492" t="s">
        <v>137</v>
      </c>
      <c r="K1492" t="str">
        <f>"60006164"</f>
        <v>60006164</v>
      </c>
    </row>
    <row r="1493" spans="1:11" x14ac:dyDescent="0.25">
      <c r="A1493">
        <v>2021</v>
      </c>
      <c r="B1493" t="s">
        <v>9007</v>
      </c>
      <c r="C1493" t="s">
        <v>9008</v>
      </c>
      <c r="D1493" t="s">
        <v>111</v>
      </c>
      <c r="E1493" t="s">
        <v>20</v>
      </c>
      <c r="F1493" t="str">
        <f>"43215"</f>
        <v>43215</v>
      </c>
      <c r="G1493" t="str">
        <f>"402017"</f>
        <v>402017</v>
      </c>
      <c r="H1493" s="2">
        <f>103.41</f>
        <v>103.41</v>
      </c>
      <c r="I1493" t="s">
        <v>27</v>
      </c>
      <c r="J1493" t="s">
        <v>212</v>
      </c>
      <c r="K1493" t="str">
        <f>"33896"</f>
        <v>33896</v>
      </c>
    </row>
    <row r="1494" spans="1:11" x14ac:dyDescent="0.25">
      <c r="A1494">
        <v>2021</v>
      </c>
      <c r="B1494" t="s">
        <v>9009</v>
      </c>
      <c r="C1494" t="s">
        <v>9010</v>
      </c>
      <c r="D1494" t="s">
        <v>111</v>
      </c>
      <c r="E1494" t="s">
        <v>20</v>
      </c>
      <c r="F1494" t="str">
        <f>"43216"</f>
        <v>43216</v>
      </c>
      <c r="G1494" t="str">
        <f>"Bwucf4621"</f>
        <v>Bwucf4621</v>
      </c>
      <c r="H1494" s="2">
        <f>3518.59</f>
        <v>3518.59</v>
      </c>
      <c r="I1494" t="s">
        <v>15</v>
      </c>
      <c r="J1494" t="s">
        <v>295</v>
      </c>
      <c r="K1494" t="str">
        <f>"01434477"</f>
        <v>01434477</v>
      </c>
    </row>
    <row r="1495" spans="1:11" x14ac:dyDescent="0.25">
      <c r="A1495">
        <v>2021</v>
      </c>
      <c r="B1495" t="s">
        <v>9012</v>
      </c>
      <c r="C1495" t="s">
        <v>9013</v>
      </c>
      <c r="D1495" t="s">
        <v>111</v>
      </c>
      <c r="E1495" t="s">
        <v>20</v>
      </c>
      <c r="F1495" t="str">
        <f>"43215"</f>
        <v>43215</v>
      </c>
      <c r="G1495" t="str">
        <f>"Bwucf4621"</f>
        <v>Bwucf4621</v>
      </c>
      <c r="H1495" s="2">
        <f>430</f>
        <v>430</v>
      </c>
      <c r="I1495" t="s">
        <v>15</v>
      </c>
      <c r="J1495" t="s">
        <v>295</v>
      </c>
      <c r="K1495" t="str">
        <f>"01443942"</f>
        <v>01443942</v>
      </c>
    </row>
    <row r="1496" spans="1:11" x14ac:dyDescent="0.25">
      <c r="A1496">
        <v>2021</v>
      </c>
      <c r="B1496" t="s">
        <v>9017</v>
      </c>
      <c r="C1496" t="s">
        <v>9018</v>
      </c>
      <c r="D1496" t="s">
        <v>422</v>
      </c>
      <c r="E1496" t="s">
        <v>20</v>
      </c>
      <c r="F1496" t="str">
        <f>"44113"</f>
        <v>44113</v>
      </c>
      <c r="G1496" t="str">
        <f>"402017"</f>
        <v>402017</v>
      </c>
      <c r="H1496" s="2">
        <f>200</f>
        <v>200</v>
      </c>
      <c r="I1496" t="s">
        <v>27</v>
      </c>
      <c r="J1496" t="s">
        <v>212</v>
      </c>
      <c r="K1496" t="str">
        <f>"34319"</f>
        <v>34319</v>
      </c>
    </row>
    <row r="1497" spans="1:11" x14ac:dyDescent="0.25">
      <c r="A1497">
        <v>2021</v>
      </c>
      <c r="B1497" t="s">
        <v>9026</v>
      </c>
      <c r="C1497" t="s">
        <v>9027</v>
      </c>
      <c r="D1497" t="s">
        <v>422</v>
      </c>
      <c r="E1497" t="s">
        <v>20</v>
      </c>
      <c r="F1497" t="str">
        <f>"44110"</f>
        <v>44110</v>
      </c>
      <c r="G1497" t="str">
        <f>"Je092221"</f>
        <v>Je092221</v>
      </c>
      <c r="H1497" s="2">
        <f>330</f>
        <v>330</v>
      </c>
      <c r="I1497" t="s">
        <v>15</v>
      </c>
      <c r="J1497" t="s">
        <v>114</v>
      </c>
      <c r="K1497" t="str">
        <f>"60012038"</f>
        <v>60012038</v>
      </c>
    </row>
    <row r="1498" spans="1:11" x14ac:dyDescent="0.25">
      <c r="A1498">
        <v>2021</v>
      </c>
      <c r="B1498" t="s">
        <v>9033</v>
      </c>
      <c r="C1498" t="s">
        <v>9034</v>
      </c>
      <c r="D1498" t="s">
        <v>899</v>
      </c>
      <c r="E1498" t="s">
        <v>20</v>
      </c>
      <c r="F1498" t="str">
        <f>"43412"</f>
        <v>43412</v>
      </c>
      <c r="G1498" t="str">
        <f>"402019"</f>
        <v>402019</v>
      </c>
      <c r="H1498" s="2">
        <f>20</f>
        <v>20</v>
      </c>
      <c r="I1498" t="s">
        <v>27</v>
      </c>
      <c r="J1498" t="s">
        <v>42</v>
      </c>
      <c r="K1498" t="str">
        <f>"114370"</f>
        <v>114370</v>
      </c>
    </row>
    <row r="1499" spans="1:11" x14ac:dyDescent="0.25">
      <c r="A1499">
        <v>2021</v>
      </c>
      <c r="B1499" t="s">
        <v>9037</v>
      </c>
      <c r="C1499" t="s">
        <v>9038</v>
      </c>
      <c r="D1499" t="s">
        <v>19</v>
      </c>
      <c r="E1499" t="s">
        <v>20</v>
      </c>
      <c r="F1499" t="str">
        <f>"43623"</f>
        <v>43623</v>
      </c>
      <c r="G1499" t="str">
        <f>"Pio448069"</f>
        <v>Pio448069</v>
      </c>
      <c r="H1499" s="2">
        <f>10</f>
        <v>10</v>
      </c>
      <c r="I1499" t="s">
        <v>86</v>
      </c>
      <c r="J1499" t="s">
        <v>87</v>
      </c>
      <c r="K1499" t="str">
        <f>"0"</f>
        <v>0</v>
      </c>
    </row>
    <row r="1500" spans="1:11" x14ac:dyDescent="0.25">
      <c r="A1500">
        <v>2021</v>
      </c>
      <c r="B1500" t="s">
        <v>9043</v>
      </c>
      <c r="C1500" t="s">
        <v>2681</v>
      </c>
      <c r="D1500" t="s">
        <v>19</v>
      </c>
      <c r="E1500" t="s">
        <v>20</v>
      </c>
      <c r="F1500" t="str">
        <f>"43604"</f>
        <v>43604</v>
      </c>
      <c r="G1500" t="str">
        <f>"402017"</f>
        <v>402017</v>
      </c>
      <c r="H1500" s="2">
        <f>20</f>
        <v>20</v>
      </c>
      <c r="I1500" t="s">
        <v>27</v>
      </c>
      <c r="J1500" t="s">
        <v>212</v>
      </c>
      <c r="K1500" t="str">
        <f>"35664"</f>
        <v>35664</v>
      </c>
    </row>
    <row r="1501" spans="1:11" x14ac:dyDescent="0.25">
      <c r="A1501">
        <v>2021</v>
      </c>
      <c r="B1501" t="s">
        <v>9056</v>
      </c>
      <c r="C1501" t="s">
        <v>9057</v>
      </c>
      <c r="D1501" t="s">
        <v>19</v>
      </c>
      <c r="E1501" t="s">
        <v>20</v>
      </c>
      <c r="F1501" t="str">
        <f>"43615-7531"</f>
        <v>43615-7531</v>
      </c>
      <c r="G1501" t="str">
        <f>"402019"</f>
        <v>402019</v>
      </c>
      <c r="H1501" s="2">
        <f>20</f>
        <v>20</v>
      </c>
      <c r="I1501" t="s">
        <v>27</v>
      </c>
      <c r="J1501" t="s">
        <v>42</v>
      </c>
      <c r="K1501" t="str">
        <f>"113418"</f>
        <v>113418</v>
      </c>
    </row>
    <row r="1502" spans="1:11" x14ac:dyDescent="0.25">
      <c r="A1502">
        <v>2021</v>
      </c>
      <c r="B1502" t="s">
        <v>9080</v>
      </c>
      <c r="C1502" t="s">
        <v>9081</v>
      </c>
      <c r="D1502" t="s">
        <v>9082</v>
      </c>
      <c r="E1502" t="s">
        <v>20</v>
      </c>
      <c r="F1502" t="str">
        <f>"44847"</f>
        <v>44847</v>
      </c>
      <c r="G1502" t="str">
        <f>"402018"</f>
        <v>402018</v>
      </c>
      <c r="H1502" s="2">
        <f>10.99</f>
        <v>10.99</v>
      </c>
      <c r="I1502" t="s">
        <v>27</v>
      </c>
      <c r="J1502" t="s">
        <v>171</v>
      </c>
      <c r="K1502" t="str">
        <f>"515883"</f>
        <v>515883</v>
      </c>
    </row>
    <row r="1503" spans="1:11" x14ac:dyDescent="0.25">
      <c r="A1503">
        <v>2021</v>
      </c>
      <c r="B1503" t="s">
        <v>9083</v>
      </c>
      <c r="C1503" t="s">
        <v>9084</v>
      </c>
      <c r="D1503" t="s">
        <v>19</v>
      </c>
      <c r="E1503" t="s">
        <v>20</v>
      </c>
      <c r="F1503" t="str">
        <f>"43611"</f>
        <v>43611</v>
      </c>
      <c r="G1503" t="str">
        <f>"402019"</f>
        <v>402019</v>
      </c>
      <c r="H1503" s="2">
        <f>10</f>
        <v>10</v>
      </c>
      <c r="I1503" t="s">
        <v>27</v>
      </c>
      <c r="J1503" t="s">
        <v>42</v>
      </c>
      <c r="K1503" t="str">
        <f>"112444"</f>
        <v>112444</v>
      </c>
    </row>
    <row r="1504" spans="1:11" x14ac:dyDescent="0.25">
      <c r="A1504">
        <v>2021</v>
      </c>
      <c r="B1504" t="s">
        <v>9094</v>
      </c>
      <c r="C1504" t="s">
        <v>9095</v>
      </c>
      <c r="D1504" t="s">
        <v>9096</v>
      </c>
      <c r="E1504" t="s">
        <v>20</v>
      </c>
      <c r="F1504" t="str">
        <f>"45821"</f>
        <v>45821</v>
      </c>
      <c r="G1504" t="str">
        <f>"Pio448069"</f>
        <v>Pio448069</v>
      </c>
      <c r="H1504" s="2">
        <f>0.46</f>
        <v>0.46</v>
      </c>
      <c r="I1504" t="s">
        <v>86</v>
      </c>
      <c r="J1504" t="s">
        <v>87</v>
      </c>
      <c r="K1504" t="str">
        <f>"0"</f>
        <v>0</v>
      </c>
    </row>
    <row r="1505" spans="1:11" x14ac:dyDescent="0.25">
      <c r="A1505">
        <v>2021</v>
      </c>
      <c r="B1505" t="s">
        <v>9098</v>
      </c>
      <c r="C1505" t="s">
        <v>9099</v>
      </c>
      <c r="D1505" t="s">
        <v>19</v>
      </c>
      <c r="E1505" t="s">
        <v>20</v>
      </c>
      <c r="F1505" t="str">
        <f>"43605"</f>
        <v>43605</v>
      </c>
      <c r="G1505" t="str">
        <f>"Pio448069"</f>
        <v>Pio448069</v>
      </c>
      <c r="H1505" s="2">
        <f>1.29</f>
        <v>1.29</v>
      </c>
      <c r="I1505" t="s">
        <v>86</v>
      </c>
      <c r="J1505" t="s">
        <v>87</v>
      </c>
      <c r="K1505" t="str">
        <f>"0"</f>
        <v>0</v>
      </c>
    </row>
    <row r="1506" spans="1:11" x14ac:dyDescent="0.25">
      <c r="A1506">
        <v>2021</v>
      </c>
      <c r="B1506" t="s">
        <v>9100</v>
      </c>
      <c r="C1506" t="s">
        <v>9101</v>
      </c>
      <c r="D1506" t="s">
        <v>19</v>
      </c>
      <c r="E1506" t="s">
        <v>20</v>
      </c>
      <c r="F1506" t="str">
        <f>"43607"</f>
        <v>43607</v>
      </c>
      <c r="G1506" t="str">
        <f>"Pio448069"</f>
        <v>Pio448069</v>
      </c>
      <c r="H1506" s="2">
        <f>9.99</f>
        <v>9.99</v>
      </c>
      <c r="I1506" t="s">
        <v>86</v>
      </c>
      <c r="J1506" t="s">
        <v>87</v>
      </c>
      <c r="K1506" t="str">
        <f>"0"</f>
        <v>0</v>
      </c>
    </row>
    <row r="1507" spans="1:11" x14ac:dyDescent="0.25">
      <c r="A1507">
        <v>2021</v>
      </c>
      <c r="B1507" t="s">
        <v>9104</v>
      </c>
      <c r="C1507" t="s">
        <v>9105</v>
      </c>
      <c r="D1507" t="s">
        <v>19</v>
      </c>
      <c r="E1507" t="s">
        <v>20</v>
      </c>
      <c r="F1507" t="str">
        <f>"43607"</f>
        <v>43607</v>
      </c>
      <c r="G1507" t="str">
        <f>"Pio448069"</f>
        <v>Pio448069</v>
      </c>
      <c r="H1507" s="2">
        <f>2.93</f>
        <v>2.93</v>
      </c>
      <c r="I1507" t="s">
        <v>86</v>
      </c>
      <c r="J1507" t="s">
        <v>87</v>
      </c>
      <c r="K1507" t="str">
        <f>"0"</f>
        <v>0</v>
      </c>
    </row>
    <row r="1508" spans="1:11" x14ac:dyDescent="0.25">
      <c r="A1508">
        <v>2021</v>
      </c>
      <c r="B1508" t="s">
        <v>9108</v>
      </c>
      <c r="C1508" t="s">
        <v>9109</v>
      </c>
      <c r="D1508" t="s">
        <v>19</v>
      </c>
      <c r="E1508" t="s">
        <v>20</v>
      </c>
      <c r="F1508" t="str">
        <f>"43612"</f>
        <v>43612</v>
      </c>
      <c r="G1508" t="str">
        <f>"Pio448069"</f>
        <v>Pio448069</v>
      </c>
      <c r="H1508" s="2">
        <f>2</f>
        <v>2</v>
      </c>
      <c r="I1508" t="s">
        <v>86</v>
      </c>
      <c r="J1508" t="s">
        <v>87</v>
      </c>
      <c r="K1508" t="str">
        <f>"0"</f>
        <v>0</v>
      </c>
    </row>
    <row r="1509" spans="1:11" x14ac:dyDescent="0.25">
      <c r="A1509">
        <v>2021</v>
      </c>
      <c r="B1509" t="s">
        <v>9110</v>
      </c>
      <c r="C1509" t="s">
        <v>9111</v>
      </c>
      <c r="D1509" t="s">
        <v>19</v>
      </c>
      <c r="E1509" t="s">
        <v>20</v>
      </c>
      <c r="F1509" t="str">
        <f>"43612"</f>
        <v>43612</v>
      </c>
      <c r="G1509" t="str">
        <f>"402018"</f>
        <v>402018</v>
      </c>
      <c r="H1509" s="2">
        <f>44</f>
        <v>44</v>
      </c>
      <c r="I1509" t="s">
        <v>27</v>
      </c>
      <c r="J1509" t="s">
        <v>171</v>
      </c>
      <c r="K1509" t="str">
        <f>"518024"</f>
        <v>518024</v>
      </c>
    </row>
    <row r="1510" spans="1:11" x14ac:dyDescent="0.25">
      <c r="A1510">
        <v>2021</v>
      </c>
      <c r="B1510" t="s">
        <v>9110</v>
      </c>
      <c r="C1510" t="s">
        <v>9111</v>
      </c>
      <c r="D1510" t="s">
        <v>19</v>
      </c>
      <c r="E1510" t="s">
        <v>20</v>
      </c>
      <c r="F1510" t="str">
        <f>"43612"</f>
        <v>43612</v>
      </c>
      <c r="G1510" t="str">
        <f>"402018"</f>
        <v>402018</v>
      </c>
      <c r="H1510" s="2">
        <f>44</f>
        <v>44</v>
      </c>
      <c r="I1510" t="s">
        <v>27</v>
      </c>
      <c r="J1510" t="s">
        <v>171</v>
      </c>
      <c r="K1510" t="str">
        <f>"517414"</f>
        <v>517414</v>
      </c>
    </row>
    <row r="1511" spans="1:11" x14ac:dyDescent="0.25">
      <c r="A1511">
        <v>2021</v>
      </c>
      <c r="B1511" t="s">
        <v>9114</v>
      </c>
      <c r="C1511" t="s">
        <v>9115</v>
      </c>
      <c r="D1511" t="s">
        <v>19</v>
      </c>
      <c r="E1511" t="s">
        <v>20</v>
      </c>
      <c r="F1511" t="str">
        <f>"43615"</f>
        <v>43615</v>
      </c>
      <c r="G1511" t="str">
        <f>"402018"</f>
        <v>402018</v>
      </c>
      <c r="H1511" s="2">
        <f>25</f>
        <v>25</v>
      </c>
      <c r="I1511" t="s">
        <v>27</v>
      </c>
      <c r="J1511" t="s">
        <v>171</v>
      </c>
      <c r="K1511" t="str">
        <f>"515612"</f>
        <v>515612</v>
      </c>
    </row>
    <row r="1512" spans="1:11" x14ac:dyDescent="0.25">
      <c r="A1512">
        <v>2021</v>
      </c>
      <c r="B1512" t="s">
        <v>9118</v>
      </c>
      <c r="C1512" t="s">
        <v>9119</v>
      </c>
      <c r="D1512" t="s">
        <v>50</v>
      </c>
      <c r="E1512" t="s">
        <v>20</v>
      </c>
      <c r="F1512" t="str">
        <f>"43560"</f>
        <v>43560</v>
      </c>
      <c r="G1512" t="str">
        <f>"Bwucf4621"</f>
        <v>Bwucf4621</v>
      </c>
      <c r="H1512" s="2">
        <f>20.14</f>
        <v>20.14</v>
      </c>
      <c r="I1512" t="s">
        <v>15</v>
      </c>
      <c r="J1512" t="s">
        <v>295</v>
      </c>
      <c r="K1512" t="str">
        <f>"01448308"</f>
        <v>01448308</v>
      </c>
    </row>
    <row r="1513" spans="1:11" x14ac:dyDescent="0.25">
      <c r="A1513">
        <v>2021</v>
      </c>
      <c r="B1513" t="s">
        <v>9126</v>
      </c>
      <c r="C1513" t="s">
        <v>9127</v>
      </c>
      <c r="D1513" t="s">
        <v>19</v>
      </c>
      <c r="E1513" t="s">
        <v>20</v>
      </c>
      <c r="F1513" t="str">
        <f>"43607-2124"</f>
        <v>43607-2124</v>
      </c>
      <c r="G1513" t="str">
        <f>"402019"</f>
        <v>402019</v>
      </c>
      <c r="H1513" s="2">
        <f>20</f>
        <v>20</v>
      </c>
      <c r="I1513" t="s">
        <v>27</v>
      </c>
      <c r="J1513" t="s">
        <v>42</v>
      </c>
      <c r="K1513" t="str">
        <f>"115175"</f>
        <v>115175</v>
      </c>
    </row>
    <row r="1514" spans="1:11" x14ac:dyDescent="0.25">
      <c r="A1514">
        <v>2021</v>
      </c>
      <c r="B1514" t="s">
        <v>9138</v>
      </c>
      <c r="C1514" t="s">
        <v>9139</v>
      </c>
      <c r="D1514" t="s">
        <v>58</v>
      </c>
      <c r="E1514" t="s">
        <v>20</v>
      </c>
      <c r="F1514" t="str">
        <f>"43616-2814"</f>
        <v>43616-2814</v>
      </c>
      <c r="G1514" t="str">
        <f>"402019"</f>
        <v>402019</v>
      </c>
      <c r="H1514" s="2">
        <f>10</f>
        <v>10</v>
      </c>
      <c r="I1514" t="s">
        <v>27</v>
      </c>
      <c r="J1514" t="s">
        <v>42</v>
      </c>
      <c r="K1514" t="str">
        <f>"112741"</f>
        <v>112741</v>
      </c>
    </row>
    <row r="1515" spans="1:11" x14ac:dyDescent="0.25">
      <c r="A1515">
        <v>2021</v>
      </c>
      <c r="B1515" t="s">
        <v>9148</v>
      </c>
      <c r="C1515" t="s">
        <v>9150</v>
      </c>
      <c r="D1515" t="s">
        <v>125</v>
      </c>
      <c r="E1515" t="s">
        <v>20</v>
      </c>
      <c r="F1515" t="str">
        <f>"43537-4002"</f>
        <v>43537-4002</v>
      </c>
      <c r="G1515" t="str">
        <f>"Je061721"</f>
        <v>Je061721</v>
      </c>
      <c r="H1515" s="2">
        <f>318</f>
        <v>318</v>
      </c>
      <c r="I1515" t="s">
        <v>15</v>
      </c>
      <c r="J1515" t="s">
        <v>137</v>
      </c>
      <c r="K1515" t="str">
        <f>"60003071"</f>
        <v>60003071</v>
      </c>
    </row>
    <row r="1516" spans="1:11" x14ac:dyDescent="0.25">
      <c r="A1516">
        <v>2021</v>
      </c>
      <c r="B1516" t="s">
        <v>9148</v>
      </c>
      <c r="C1516" t="s">
        <v>9150</v>
      </c>
      <c r="D1516" t="s">
        <v>125</v>
      </c>
      <c r="E1516" t="s">
        <v>20</v>
      </c>
      <c r="F1516" t="str">
        <f>"43537-4002"</f>
        <v>43537-4002</v>
      </c>
      <c r="G1516" t="str">
        <f>"Je061721"</f>
        <v>Je061721</v>
      </c>
      <c r="H1516" s="2">
        <f>213</f>
        <v>213</v>
      </c>
      <c r="I1516" t="s">
        <v>15</v>
      </c>
      <c r="J1516" t="s">
        <v>137</v>
      </c>
      <c r="K1516" t="str">
        <f>"60001410"</f>
        <v>60001410</v>
      </c>
    </row>
    <row r="1517" spans="1:11" x14ac:dyDescent="0.25">
      <c r="A1517">
        <v>2021</v>
      </c>
      <c r="B1517" t="s">
        <v>9151</v>
      </c>
      <c r="C1517" t="s">
        <v>9152</v>
      </c>
      <c r="D1517" t="s">
        <v>125</v>
      </c>
      <c r="E1517" t="s">
        <v>20</v>
      </c>
      <c r="F1517" t="str">
        <f t="shared" ref="F1517:F1528" si="41">"43537"</f>
        <v>43537</v>
      </c>
      <c r="G1517" t="str">
        <f t="shared" ref="G1517:G1528" si="42">"Bwucf4621"</f>
        <v>Bwucf4621</v>
      </c>
      <c r="H1517" s="2">
        <f>216</f>
        <v>216</v>
      </c>
      <c r="I1517" t="s">
        <v>15</v>
      </c>
      <c r="J1517" t="s">
        <v>295</v>
      </c>
      <c r="K1517" t="str">
        <f>"01434478"</f>
        <v>01434478</v>
      </c>
    </row>
    <row r="1518" spans="1:11" x14ac:dyDescent="0.25">
      <c r="A1518">
        <v>2021</v>
      </c>
      <c r="B1518" t="s">
        <v>9151</v>
      </c>
      <c r="C1518" t="s">
        <v>9152</v>
      </c>
      <c r="D1518" t="s">
        <v>125</v>
      </c>
      <c r="E1518" t="s">
        <v>20</v>
      </c>
      <c r="F1518" t="str">
        <f t="shared" si="41"/>
        <v>43537</v>
      </c>
      <c r="G1518" t="str">
        <f t="shared" si="42"/>
        <v>Bwucf4621</v>
      </c>
      <c r="H1518" s="2">
        <f>76.5</f>
        <v>76.5</v>
      </c>
      <c r="I1518" t="s">
        <v>15</v>
      </c>
      <c r="J1518" t="s">
        <v>295</v>
      </c>
      <c r="K1518" t="str">
        <f>"01434478"</f>
        <v>01434478</v>
      </c>
    </row>
    <row r="1519" spans="1:11" x14ac:dyDescent="0.25">
      <c r="A1519">
        <v>2021</v>
      </c>
      <c r="B1519" t="s">
        <v>9151</v>
      </c>
      <c r="C1519" t="s">
        <v>9152</v>
      </c>
      <c r="D1519" t="s">
        <v>125</v>
      </c>
      <c r="E1519" t="s">
        <v>20</v>
      </c>
      <c r="F1519" t="str">
        <f t="shared" si="41"/>
        <v>43537</v>
      </c>
      <c r="G1519" t="str">
        <f t="shared" si="42"/>
        <v>Bwucf4621</v>
      </c>
      <c r="H1519" s="2">
        <f>76.5</f>
        <v>76.5</v>
      </c>
      <c r="I1519" t="s">
        <v>15</v>
      </c>
      <c r="J1519" t="s">
        <v>295</v>
      </c>
      <c r="K1519" t="str">
        <f>"01436994"</f>
        <v>01436994</v>
      </c>
    </row>
    <row r="1520" spans="1:11" x14ac:dyDescent="0.25">
      <c r="A1520">
        <v>2021</v>
      </c>
      <c r="B1520" t="s">
        <v>9151</v>
      </c>
      <c r="C1520" t="s">
        <v>9152</v>
      </c>
      <c r="D1520" t="s">
        <v>125</v>
      </c>
      <c r="E1520" t="s">
        <v>20</v>
      </c>
      <c r="F1520" t="str">
        <f t="shared" si="41"/>
        <v>43537</v>
      </c>
      <c r="G1520" t="str">
        <f t="shared" si="42"/>
        <v>Bwucf4621</v>
      </c>
      <c r="H1520" s="2">
        <f>216</f>
        <v>216</v>
      </c>
      <c r="I1520" t="s">
        <v>15</v>
      </c>
      <c r="J1520" t="s">
        <v>295</v>
      </c>
      <c r="K1520" t="str">
        <f>"01436995"</f>
        <v>01436995</v>
      </c>
    </row>
    <row r="1521" spans="1:11" x14ac:dyDescent="0.25">
      <c r="A1521">
        <v>2021</v>
      </c>
      <c r="B1521" t="s">
        <v>9151</v>
      </c>
      <c r="C1521" t="s">
        <v>9152</v>
      </c>
      <c r="D1521" t="s">
        <v>125</v>
      </c>
      <c r="E1521" t="s">
        <v>20</v>
      </c>
      <c r="F1521" t="str">
        <f t="shared" si="41"/>
        <v>43537</v>
      </c>
      <c r="G1521" t="str">
        <f t="shared" si="42"/>
        <v>Bwucf4621</v>
      </c>
      <c r="H1521" s="2">
        <f>76.5</f>
        <v>76.5</v>
      </c>
      <c r="I1521" t="s">
        <v>15</v>
      </c>
      <c r="J1521" t="s">
        <v>295</v>
      </c>
      <c r="K1521" t="str">
        <f>"01440016"</f>
        <v>01440016</v>
      </c>
    </row>
    <row r="1522" spans="1:11" x14ac:dyDescent="0.25">
      <c r="A1522">
        <v>2021</v>
      </c>
      <c r="B1522" t="s">
        <v>9151</v>
      </c>
      <c r="C1522" t="s">
        <v>9152</v>
      </c>
      <c r="D1522" t="s">
        <v>125</v>
      </c>
      <c r="E1522" t="s">
        <v>20</v>
      </c>
      <c r="F1522" t="str">
        <f t="shared" si="41"/>
        <v>43537</v>
      </c>
      <c r="G1522" t="str">
        <f t="shared" si="42"/>
        <v>Bwucf4621</v>
      </c>
      <c r="H1522" s="2">
        <f>162</f>
        <v>162</v>
      </c>
      <c r="I1522" t="s">
        <v>15</v>
      </c>
      <c r="J1522" t="s">
        <v>295</v>
      </c>
      <c r="K1522" t="str">
        <f>"01440017"</f>
        <v>01440017</v>
      </c>
    </row>
    <row r="1523" spans="1:11" x14ac:dyDescent="0.25">
      <c r="A1523">
        <v>2021</v>
      </c>
      <c r="B1523" t="s">
        <v>9151</v>
      </c>
      <c r="C1523" t="s">
        <v>9152</v>
      </c>
      <c r="D1523" t="s">
        <v>125</v>
      </c>
      <c r="E1523" t="s">
        <v>20</v>
      </c>
      <c r="F1523" t="str">
        <f t="shared" si="41"/>
        <v>43537</v>
      </c>
      <c r="G1523" t="str">
        <f t="shared" si="42"/>
        <v>Bwucf4621</v>
      </c>
      <c r="H1523" s="2">
        <f>51</f>
        <v>51</v>
      </c>
      <c r="I1523" t="s">
        <v>15</v>
      </c>
      <c r="J1523" t="s">
        <v>295</v>
      </c>
      <c r="K1523" t="str">
        <f>"01442356"</f>
        <v>01442356</v>
      </c>
    </row>
    <row r="1524" spans="1:11" x14ac:dyDescent="0.25">
      <c r="A1524">
        <v>2021</v>
      </c>
      <c r="B1524" t="s">
        <v>9151</v>
      </c>
      <c r="C1524" t="s">
        <v>9152</v>
      </c>
      <c r="D1524" t="s">
        <v>125</v>
      </c>
      <c r="E1524" t="s">
        <v>20</v>
      </c>
      <c r="F1524" t="str">
        <f t="shared" si="41"/>
        <v>43537</v>
      </c>
      <c r="G1524" t="str">
        <f t="shared" si="42"/>
        <v>Bwucf4621</v>
      </c>
      <c r="H1524" s="2">
        <f>243</f>
        <v>243</v>
      </c>
      <c r="I1524" t="s">
        <v>15</v>
      </c>
      <c r="J1524" t="s">
        <v>295</v>
      </c>
      <c r="K1524" t="str">
        <f>"01442357"</f>
        <v>01442357</v>
      </c>
    </row>
    <row r="1525" spans="1:11" x14ac:dyDescent="0.25">
      <c r="A1525">
        <v>2021</v>
      </c>
      <c r="B1525" t="s">
        <v>9151</v>
      </c>
      <c r="C1525" t="s">
        <v>9152</v>
      </c>
      <c r="D1525" t="s">
        <v>125</v>
      </c>
      <c r="E1525" t="s">
        <v>20</v>
      </c>
      <c r="F1525" t="str">
        <f t="shared" si="41"/>
        <v>43537</v>
      </c>
      <c r="G1525" t="str">
        <f t="shared" si="42"/>
        <v>Bwucf4621</v>
      </c>
      <c r="H1525" s="2">
        <f>51</f>
        <v>51</v>
      </c>
      <c r="I1525" t="s">
        <v>15</v>
      </c>
      <c r="J1525" t="s">
        <v>295</v>
      </c>
      <c r="K1525" t="str">
        <f>"01445445"</f>
        <v>01445445</v>
      </c>
    </row>
    <row r="1526" spans="1:11" x14ac:dyDescent="0.25">
      <c r="A1526">
        <v>2021</v>
      </c>
      <c r="B1526" t="s">
        <v>9151</v>
      </c>
      <c r="C1526" t="s">
        <v>9152</v>
      </c>
      <c r="D1526" t="s">
        <v>125</v>
      </c>
      <c r="E1526" t="s">
        <v>20</v>
      </c>
      <c r="F1526" t="str">
        <f t="shared" si="41"/>
        <v>43537</v>
      </c>
      <c r="G1526" t="str">
        <f t="shared" si="42"/>
        <v>Bwucf4621</v>
      </c>
      <c r="H1526" s="2">
        <f>162</f>
        <v>162</v>
      </c>
      <c r="I1526" t="s">
        <v>15</v>
      </c>
      <c r="J1526" t="s">
        <v>295</v>
      </c>
      <c r="K1526" t="str">
        <f>"01445446"</f>
        <v>01445446</v>
      </c>
    </row>
    <row r="1527" spans="1:11" x14ac:dyDescent="0.25">
      <c r="A1527">
        <v>2021</v>
      </c>
      <c r="B1527" t="s">
        <v>9151</v>
      </c>
      <c r="C1527" t="s">
        <v>9152</v>
      </c>
      <c r="D1527" t="s">
        <v>125</v>
      </c>
      <c r="E1527" t="s">
        <v>20</v>
      </c>
      <c r="F1527" t="str">
        <f t="shared" si="41"/>
        <v>43537</v>
      </c>
      <c r="G1527" t="str">
        <f t="shared" si="42"/>
        <v>Bwucf4621</v>
      </c>
      <c r="H1527" s="2">
        <f>51</f>
        <v>51</v>
      </c>
      <c r="I1527" t="s">
        <v>15</v>
      </c>
      <c r="J1527" t="s">
        <v>295</v>
      </c>
      <c r="K1527" t="str">
        <f>"01447629"</f>
        <v>01447629</v>
      </c>
    </row>
    <row r="1528" spans="1:11" x14ac:dyDescent="0.25">
      <c r="A1528">
        <v>2021</v>
      </c>
      <c r="B1528" t="s">
        <v>9151</v>
      </c>
      <c r="C1528" t="s">
        <v>9152</v>
      </c>
      <c r="D1528" t="s">
        <v>125</v>
      </c>
      <c r="E1528" t="s">
        <v>20</v>
      </c>
      <c r="F1528" t="str">
        <f t="shared" si="41"/>
        <v>43537</v>
      </c>
      <c r="G1528" t="str">
        <f t="shared" si="42"/>
        <v>Bwucf4621</v>
      </c>
      <c r="H1528" s="2">
        <f>270</f>
        <v>270</v>
      </c>
      <c r="I1528" t="s">
        <v>15</v>
      </c>
      <c r="J1528" t="s">
        <v>295</v>
      </c>
      <c r="K1528" t="str">
        <f>"01447629"</f>
        <v>01447629</v>
      </c>
    </row>
    <row r="1529" spans="1:11" x14ac:dyDescent="0.25">
      <c r="A1529">
        <v>2021</v>
      </c>
      <c r="B1529" t="s">
        <v>9155</v>
      </c>
      <c r="C1529" t="s">
        <v>2657</v>
      </c>
      <c r="D1529" t="s">
        <v>19</v>
      </c>
      <c r="E1529" t="s">
        <v>20</v>
      </c>
      <c r="F1529" t="str">
        <f>"43606"</f>
        <v>43606</v>
      </c>
      <c r="G1529" t="str">
        <f>"402017"</f>
        <v>402017</v>
      </c>
      <c r="H1529" s="2">
        <f>1.91</f>
        <v>1.91</v>
      </c>
      <c r="I1529" t="s">
        <v>27</v>
      </c>
      <c r="J1529" t="s">
        <v>212</v>
      </c>
      <c r="K1529" t="str">
        <f>"34155"</f>
        <v>34155</v>
      </c>
    </row>
    <row r="1530" spans="1:11" x14ac:dyDescent="0.25">
      <c r="A1530">
        <v>2021</v>
      </c>
      <c r="B1530" t="s">
        <v>9162</v>
      </c>
      <c r="C1530" t="s">
        <v>9163</v>
      </c>
      <c r="D1530" t="s">
        <v>19</v>
      </c>
      <c r="E1530" t="s">
        <v>20</v>
      </c>
      <c r="F1530" t="str">
        <f>"43604-8290"</f>
        <v>43604-8290</v>
      </c>
      <c r="G1530" t="str">
        <f>"402019"</f>
        <v>402019</v>
      </c>
      <c r="H1530" s="2">
        <f>10</f>
        <v>10</v>
      </c>
      <c r="I1530" t="s">
        <v>27</v>
      </c>
      <c r="J1530" t="s">
        <v>42</v>
      </c>
      <c r="K1530" t="str">
        <f>"111425"</f>
        <v>111425</v>
      </c>
    </row>
    <row r="1531" spans="1:11" x14ac:dyDescent="0.25">
      <c r="A1531">
        <v>2021</v>
      </c>
      <c r="B1531" t="s">
        <v>9168</v>
      </c>
      <c r="C1531" t="s">
        <v>9169</v>
      </c>
      <c r="D1531" t="s">
        <v>19</v>
      </c>
      <c r="E1531" t="s">
        <v>20</v>
      </c>
      <c r="F1531" t="str">
        <f>"43613"</f>
        <v>43613</v>
      </c>
      <c r="G1531" t="str">
        <f>"Pio448069"</f>
        <v>Pio448069</v>
      </c>
      <c r="H1531" s="2">
        <f>8.54</f>
        <v>8.5399999999999991</v>
      </c>
      <c r="I1531" t="s">
        <v>86</v>
      </c>
      <c r="J1531" t="s">
        <v>87</v>
      </c>
      <c r="K1531" t="str">
        <f>"0"</f>
        <v>0</v>
      </c>
    </row>
    <row r="1532" spans="1:11" x14ac:dyDescent="0.25">
      <c r="A1532">
        <v>2021</v>
      </c>
      <c r="B1532" t="s">
        <v>9177</v>
      </c>
      <c r="C1532" t="s">
        <v>9178</v>
      </c>
      <c r="D1532" t="s">
        <v>19</v>
      </c>
      <c r="E1532" t="s">
        <v>20</v>
      </c>
      <c r="F1532" t="str">
        <f>"43615"</f>
        <v>43615</v>
      </c>
      <c r="G1532" t="str">
        <f>"402018"</f>
        <v>402018</v>
      </c>
      <c r="H1532" s="2">
        <f>20</f>
        <v>20</v>
      </c>
      <c r="I1532" t="s">
        <v>27</v>
      </c>
      <c r="J1532" t="s">
        <v>171</v>
      </c>
      <c r="K1532" t="str">
        <f>"515713"</f>
        <v>515713</v>
      </c>
    </row>
    <row r="1533" spans="1:11" x14ac:dyDescent="0.25">
      <c r="A1533">
        <v>2021</v>
      </c>
      <c r="B1533" t="s">
        <v>9205</v>
      </c>
      <c r="C1533" t="s">
        <v>9206</v>
      </c>
      <c r="D1533" t="s">
        <v>19</v>
      </c>
      <c r="E1533" t="s">
        <v>20</v>
      </c>
      <c r="F1533" t="str">
        <f>"43613-3337"</f>
        <v>43613-3337</v>
      </c>
      <c r="G1533" t="str">
        <f>"402019"</f>
        <v>402019</v>
      </c>
      <c r="H1533" s="2">
        <f>10</f>
        <v>10</v>
      </c>
      <c r="I1533" t="s">
        <v>27</v>
      </c>
      <c r="J1533" t="s">
        <v>42</v>
      </c>
      <c r="K1533" t="str">
        <f>"115115"</f>
        <v>115115</v>
      </c>
    </row>
    <row r="1534" spans="1:11" x14ac:dyDescent="0.25">
      <c r="A1534">
        <v>2021</v>
      </c>
      <c r="B1534" t="s">
        <v>9212</v>
      </c>
      <c r="C1534" t="s">
        <v>9213</v>
      </c>
      <c r="D1534" t="s">
        <v>19</v>
      </c>
      <c r="E1534" t="s">
        <v>20</v>
      </c>
      <c r="F1534" t="str">
        <f>"43613-3807"</f>
        <v>43613-3807</v>
      </c>
      <c r="G1534" t="str">
        <f>"402019"</f>
        <v>402019</v>
      </c>
      <c r="H1534" s="2">
        <f>10</f>
        <v>10</v>
      </c>
      <c r="I1534" t="s">
        <v>27</v>
      </c>
      <c r="J1534" t="s">
        <v>42</v>
      </c>
      <c r="K1534" t="str">
        <f>"111164"</f>
        <v>111164</v>
      </c>
    </row>
    <row r="1535" spans="1:11" x14ac:dyDescent="0.25">
      <c r="A1535">
        <v>2021</v>
      </c>
      <c r="B1535" t="s">
        <v>9228</v>
      </c>
      <c r="C1535" t="s">
        <v>9229</v>
      </c>
      <c r="D1535" t="s">
        <v>105</v>
      </c>
      <c r="E1535" t="s">
        <v>20</v>
      </c>
      <c r="F1535" t="str">
        <f>"43528"</f>
        <v>43528</v>
      </c>
      <c r="G1535" t="str">
        <f>"Swucf4621"</f>
        <v>Swucf4621</v>
      </c>
      <c r="H1535" s="2">
        <f>86.38</f>
        <v>86.38</v>
      </c>
      <c r="I1535" t="s">
        <v>15</v>
      </c>
      <c r="J1535" t="s">
        <v>81</v>
      </c>
      <c r="K1535" t="str">
        <f>"6290116"</f>
        <v>6290116</v>
      </c>
    </row>
    <row r="1536" spans="1:11" x14ac:dyDescent="0.25">
      <c r="A1536">
        <v>2021</v>
      </c>
      <c r="B1536" t="s">
        <v>9228</v>
      </c>
      <c r="C1536" t="s">
        <v>9229</v>
      </c>
      <c r="D1536" t="s">
        <v>105</v>
      </c>
      <c r="E1536" t="s">
        <v>20</v>
      </c>
      <c r="F1536" t="str">
        <f>"43528"</f>
        <v>43528</v>
      </c>
      <c r="G1536" t="str">
        <f>"Swucf4621"</f>
        <v>Swucf4621</v>
      </c>
      <c r="H1536" s="2">
        <f>20</f>
        <v>20</v>
      </c>
      <c r="I1536" t="s">
        <v>15</v>
      </c>
      <c r="J1536" t="s">
        <v>81</v>
      </c>
      <c r="K1536" t="str">
        <f>"6291151"</f>
        <v>6291151</v>
      </c>
    </row>
    <row r="1537" spans="1:11" x14ac:dyDescent="0.25">
      <c r="A1537">
        <v>2021</v>
      </c>
      <c r="B1537" t="s">
        <v>9232</v>
      </c>
      <c r="C1537" t="s">
        <v>9233</v>
      </c>
      <c r="D1537" t="s">
        <v>19</v>
      </c>
      <c r="E1537" t="s">
        <v>20</v>
      </c>
      <c r="F1537" t="str">
        <f t="shared" ref="F1537:F1542" si="43">"43614"</f>
        <v>43614</v>
      </c>
      <c r="G1537" t="str">
        <f t="shared" ref="G1537:G1542" si="44">"402018"</f>
        <v>402018</v>
      </c>
      <c r="H1537" s="2">
        <f>1.67</f>
        <v>1.67</v>
      </c>
      <c r="I1537" t="s">
        <v>27</v>
      </c>
      <c r="J1537" t="s">
        <v>171</v>
      </c>
      <c r="K1537" t="str">
        <f>"515662"</f>
        <v>515662</v>
      </c>
    </row>
    <row r="1538" spans="1:11" x14ac:dyDescent="0.25">
      <c r="A1538">
        <v>2021</v>
      </c>
      <c r="B1538" t="s">
        <v>9232</v>
      </c>
      <c r="C1538" t="s">
        <v>9233</v>
      </c>
      <c r="D1538" t="s">
        <v>19</v>
      </c>
      <c r="E1538" t="s">
        <v>20</v>
      </c>
      <c r="F1538" t="str">
        <f t="shared" si="43"/>
        <v>43614</v>
      </c>
      <c r="G1538" t="str">
        <f t="shared" si="44"/>
        <v>402018</v>
      </c>
      <c r="H1538" s="2">
        <f>1.82</f>
        <v>1.82</v>
      </c>
      <c r="I1538" t="s">
        <v>27</v>
      </c>
      <c r="J1538" t="s">
        <v>171</v>
      </c>
      <c r="K1538" t="str">
        <f>"517788"</f>
        <v>517788</v>
      </c>
    </row>
    <row r="1539" spans="1:11" x14ac:dyDescent="0.25">
      <c r="A1539">
        <v>2021</v>
      </c>
      <c r="B1539" t="s">
        <v>9232</v>
      </c>
      <c r="C1539" t="s">
        <v>9233</v>
      </c>
      <c r="D1539" t="s">
        <v>19</v>
      </c>
      <c r="E1539" t="s">
        <v>20</v>
      </c>
      <c r="F1539" t="str">
        <f t="shared" si="43"/>
        <v>43614</v>
      </c>
      <c r="G1539" t="str">
        <f t="shared" si="44"/>
        <v>402018</v>
      </c>
      <c r="H1539" s="2">
        <f>3.33</f>
        <v>3.33</v>
      </c>
      <c r="I1539" t="s">
        <v>27</v>
      </c>
      <c r="J1539" t="s">
        <v>171</v>
      </c>
      <c r="K1539" t="str">
        <f>"516362"</f>
        <v>516362</v>
      </c>
    </row>
    <row r="1540" spans="1:11" x14ac:dyDescent="0.25">
      <c r="A1540">
        <v>2021</v>
      </c>
      <c r="B1540" t="s">
        <v>9232</v>
      </c>
      <c r="C1540" t="s">
        <v>9233</v>
      </c>
      <c r="D1540" t="s">
        <v>19</v>
      </c>
      <c r="E1540" t="s">
        <v>20</v>
      </c>
      <c r="F1540" t="str">
        <f t="shared" si="43"/>
        <v>43614</v>
      </c>
      <c r="G1540" t="str">
        <f t="shared" si="44"/>
        <v>402018</v>
      </c>
      <c r="H1540" s="2">
        <f>1.82</f>
        <v>1.82</v>
      </c>
      <c r="I1540" t="s">
        <v>27</v>
      </c>
      <c r="J1540" t="s">
        <v>171</v>
      </c>
      <c r="K1540" t="str">
        <f>"516993"</f>
        <v>516993</v>
      </c>
    </row>
    <row r="1541" spans="1:11" x14ac:dyDescent="0.25">
      <c r="A1541">
        <v>2021</v>
      </c>
      <c r="B1541" t="s">
        <v>9232</v>
      </c>
      <c r="C1541" t="s">
        <v>9233</v>
      </c>
      <c r="D1541" t="s">
        <v>19</v>
      </c>
      <c r="E1541" t="s">
        <v>20</v>
      </c>
      <c r="F1541" t="str">
        <f t="shared" si="43"/>
        <v>43614</v>
      </c>
      <c r="G1541" t="str">
        <f t="shared" si="44"/>
        <v>402018</v>
      </c>
      <c r="H1541" s="2">
        <f>2.08</f>
        <v>2.08</v>
      </c>
      <c r="I1541" t="s">
        <v>27</v>
      </c>
      <c r="J1541" t="s">
        <v>171</v>
      </c>
      <c r="K1541" t="str">
        <f>"516556"</f>
        <v>516556</v>
      </c>
    </row>
    <row r="1542" spans="1:11" x14ac:dyDescent="0.25">
      <c r="A1542">
        <v>2021</v>
      </c>
      <c r="B1542" t="s">
        <v>9232</v>
      </c>
      <c r="C1542" t="s">
        <v>9233</v>
      </c>
      <c r="D1542" t="s">
        <v>19</v>
      </c>
      <c r="E1542" t="s">
        <v>20</v>
      </c>
      <c r="F1542" t="str">
        <f t="shared" si="43"/>
        <v>43614</v>
      </c>
      <c r="G1542" t="str">
        <f t="shared" si="44"/>
        <v>402018</v>
      </c>
      <c r="H1542" s="2">
        <f>1.82</f>
        <v>1.82</v>
      </c>
      <c r="I1542" t="s">
        <v>27</v>
      </c>
      <c r="J1542" t="s">
        <v>171</v>
      </c>
      <c r="K1542" t="str">
        <f>"517930"</f>
        <v>517930</v>
      </c>
    </row>
    <row r="1543" spans="1:11" x14ac:dyDescent="0.25">
      <c r="A1543">
        <v>2021</v>
      </c>
      <c r="B1543" t="s">
        <v>9239</v>
      </c>
      <c r="C1543" t="s">
        <v>153</v>
      </c>
      <c r="D1543" t="s">
        <v>19</v>
      </c>
      <c r="E1543" t="s">
        <v>20</v>
      </c>
      <c r="F1543" t="str">
        <f>"11111"</f>
        <v>11111</v>
      </c>
      <c r="G1543" t="str">
        <f>"Pio448069"</f>
        <v>Pio448069</v>
      </c>
      <c r="H1543" s="2">
        <f>5</f>
        <v>5</v>
      </c>
      <c r="I1543" t="s">
        <v>86</v>
      </c>
      <c r="J1543" t="s">
        <v>87</v>
      </c>
      <c r="K1543" t="str">
        <f>"0"</f>
        <v>0</v>
      </c>
    </row>
    <row r="1544" spans="1:11" x14ac:dyDescent="0.25">
      <c r="A1544">
        <v>2021</v>
      </c>
      <c r="B1544" t="s">
        <v>9276</v>
      </c>
      <c r="C1544" t="s">
        <v>9277</v>
      </c>
      <c r="D1544" t="s">
        <v>19</v>
      </c>
      <c r="E1544" t="s">
        <v>20</v>
      </c>
      <c r="F1544" t="str">
        <f>"43611"</f>
        <v>43611</v>
      </c>
      <c r="G1544" t="str">
        <f>"Je061721"</f>
        <v>Je061721</v>
      </c>
      <c r="H1544" s="2">
        <f>127.73</f>
        <v>127.73</v>
      </c>
      <c r="I1544" t="s">
        <v>15</v>
      </c>
      <c r="J1544" t="s">
        <v>137</v>
      </c>
      <c r="K1544" t="str">
        <f>"60003168"</f>
        <v>60003168</v>
      </c>
    </row>
    <row r="1545" spans="1:11" x14ac:dyDescent="0.25">
      <c r="A1545">
        <v>2021</v>
      </c>
      <c r="B1545" t="s">
        <v>9299</v>
      </c>
      <c r="C1545" t="s">
        <v>9300</v>
      </c>
      <c r="D1545" t="s">
        <v>19</v>
      </c>
      <c r="E1545" t="s">
        <v>20</v>
      </c>
      <c r="F1545" t="str">
        <f>"43604"</f>
        <v>43604</v>
      </c>
      <c r="G1545" t="str">
        <f>"Pio448069"</f>
        <v>Pio448069</v>
      </c>
      <c r="H1545" s="2">
        <f>361</f>
        <v>361</v>
      </c>
      <c r="I1545" t="s">
        <v>86</v>
      </c>
      <c r="J1545" t="s">
        <v>87</v>
      </c>
      <c r="K1545" t="str">
        <f>"0"</f>
        <v>0</v>
      </c>
    </row>
    <row r="1546" spans="1:11" x14ac:dyDescent="0.25">
      <c r="A1546">
        <v>2021</v>
      </c>
      <c r="B1546" t="s">
        <v>9304</v>
      </c>
      <c r="C1546" t="s">
        <v>9305</v>
      </c>
      <c r="D1546" t="s">
        <v>9306</v>
      </c>
      <c r="E1546" t="s">
        <v>923</v>
      </c>
      <c r="F1546" t="str">
        <f>"94502"</f>
        <v>94502</v>
      </c>
      <c r="G1546" t="str">
        <f t="shared" ref="G1546:G1553" si="45">"402018"</f>
        <v>402018</v>
      </c>
      <c r="H1546" s="2">
        <f>9.08</f>
        <v>9.08</v>
      </c>
      <c r="I1546" t="s">
        <v>27</v>
      </c>
      <c r="J1546" t="s">
        <v>171</v>
      </c>
      <c r="K1546" t="str">
        <f>"517696"</f>
        <v>517696</v>
      </c>
    </row>
    <row r="1547" spans="1:11" x14ac:dyDescent="0.25">
      <c r="A1547">
        <v>2021</v>
      </c>
      <c r="B1547" t="s">
        <v>9307</v>
      </c>
      <c r="C1547" t="s">
        <v>9308</v>
      </c>
      <c r="D1547" t="s">
        <v>420</v>
      </c>
      <c r="E1547" t="s">
        <v>14</v>
      </c>
      <c r="F1547" t="str">
        <f>"48336"</f>
        <v>48336</v>
      </c>
      <c r="G1547" t="str">
        <f t="shared" si="45"/>
        <v>402018</v>
      </c>
      <c r="H1547" s="2">
        <f>2.5</f>
        <v>2.5</v>
      </c>
      <c r="I1547" t="s">
        <v>27</v>
      </c>
      <c r="J1547" t="s">
        <v>171</v>
      </c>
      <c r="K1547" t="str">
        <f>"518124"</f>
        <v>518124</v>
      </c>
    </row>
    <row r="1548" spans="1:11" x14ac:dyDescent="0.25">
      <c r="A1548">
        <v>2021</v>
      </c>
      <c r="B1548" t="s">
        <v>9309</v>
      </c>
      <c r="C1548" t="s">
        <v>9310</v>
      </c>
      <c r="D1548" t="s">
        <v>19</v>
      </c>
      <c r="E1548" t="s">
        <v>20</v>
      </c>
      <c r="F1548" t="str">
        <f t="shared" ref="F1548:F1553" si="46">"43609"</f>
        <v>43609</v>
      </c>
      <c r="G1548" t="str">
        <f t="shared" si="45"/>
        <v>402018</v>
      </c>
      <c r="H1548" s="2">
        <f>1.82</f>
        <v>1.82</v>
      </c>
      <c r="I1548" t="s">
        <v>27</v>
      </c>
      <c r="J1548" t="s">
        <v>171</v>
      </c>
      <c r="K1548" t="str">
        <f>"517928"</f>
        <v>517928</v>
      </c>
    </row>
    <row r="1549" spans="1:11" x14ac:dyDescent="0.25">
      <c r="A1549">
        <v>2021</v>
      </c>
      <c r="B1549" t="s">
        <v>9309</v>
      </c>
      <c r="C1549" t="s">
        <v>9310</v>
      </c>
      <c r="D1549" t="s">
        <v>19</v>
      </c>
      <c r="E1549" t="s">
        <v>20</v>
      </c>
      <c r="F1549" t="str">
        <f t="shared" si="46"/>
        <v>43609</v>
      </c>
      <c r="G1549" t="str">
        <f t="shared" si="45"/>
        <v>402018</v>
      </c>
      <c r="H1549" s="2">
        <f>1.82</f>
        <v>1.82</v>
      </c>
      <c r="I1549" t="s">
        <v>27</v>
      </c>
      <c r="J1549" t="s">
        <v>171</v>
      </c>
      <c r="K1549" t="str">
        <f>"517786"</f>
        <v>517786</v>
      </c>
    </row>
    <row r="1550" spans="1:11" x14ac:dyDescent="0.25">
      <c r="A1550">
        <v>2021</v>
      </c>
      <c r="B1550" t="s">
        <v>9309</v>
      </c>
      <c r="C1550" t="s">
        <v>9310</v>
      </c>
      <c r="D1550" t="s">
        <v>19</v>
      </c>
      <c r="E1550" t="s">
        <v>20</v>
      </c>
      <c r="F1550" t="str">
        <f t="shared" si="46"/>
        <v>43609</v>
      </c>
      <c r="G1550" t="str">
        <f t="shared" si="45"/>
        <v>402018</v>
      </c>
      <c r="H1550" s="2">
        <f>2.08</f>
        <v>2.08</v>
      </c>
      <c r="I1550" t="s">
        <v>27</v>
      </c>
      <c r="J1550" t="s">
        <v>171</v>
      </c>
      <c r="K1550" t="str">
        <f>"516554"</f>
        <v>516554</v>
      </c>
    </row>
    <row r="1551" spans="1:11" x14ac:dyDescent="0.25">
      <c r="A1551">
        <v>2021</v>
      </c>
      <c r="B1551" t="s">
        <v>9309</v>
      </c>
      <c r="C1551" t="s">
        <v>9310</v>
      </c>
      <c r="D1551" t="s">
        <v>19</v>
      </c>
      <c r="E1551" t="s">
        <v>20</v>
      </c>
      <c r="F1551" t="str">
        <f t="shared" si="46"/>
        <v>43609</v>
      </c>
      <c r="G1551" t="str">
        <f t="shared" si="45"/>
        <v>402018</v>
      </c>
      <c r="H1551" s="2">
        <f>1.82</f>
        <v>1.82</v>
      </c>
      <c r="I1551" t="s">
        <v>27</v>
      </c>
      <c r="J1551" t="s">
        <v>171</v>
      </c>
      <c r="K1551" t="str">
        <f>"516991"</f>
        <v>516991</v>
      </c>
    </row>
    <row r="1552" spans="1:11" x14ac:dyDescent="0.25">
      <c r="A1552">
        <v>2021</v>
      </c>
      <c r="B1552" t="s">
        <v>9309</v>
      </c>
      <c r="C1552" t="s">
        <v>9310</v>
      </c>
      <c r="D1552" t="s">
        <v>19</v>
      </c>
      <c r="E1552" t="s">
        <v>20</v>
      </c>
      <c r="F1552" t="str">
        <f t="shared" si="46"/>
        <v>43609</v>
      </c>
      <c r="G1552" t="str">
        <f t="shared" si="45"/>
        <v>402018</v>
      </c>
      <c r="H1552" s="2">
        <f>3.33</f>
        <v>3.33</v>
      </c>
      <c r="I1552" t="s">
        <v>27</v>
      </c>
      <c r="J1552" t="s">
        <v>171</v>
      </c>
      <c r="K1552" t="str">
        <f>"516360"</f>
        <v>516360</v>
      </c>
    </row>
    <row r="1553" spans="1:11" x14ac:dyDescent="0.25">
      <c r="A1553">
        <v>2021</v>
      </c>
      <c r="B1553" t="s">
        <v>9309</v>
      </c>
      <c r="C1553" t="s">
        <v>9310</v>
      </c>
      <c r="D1553" t="s">
        <v>19</v>
      </c>
      <c r="E1553" t="s">
        <v>20</v>
      </c>
      <c r="F1553" t="str">
        <f t="shared" si="46"/>
        <v>43609</v>
      </c>
      <c r="G1553" t="str">
        <f t="shared" si="45"/>
        <v>402018</v>
      </c>
      <c r="H1553" s="2">
        <f>1.67</f>
        <v>1.67</v>
      </c>
      <c r="I1553" t="s">
        <v>27</v>
      </c>
      <c r="J1553" t="s">
        <v>171</v>
      </c>
      <c r="K1553" t="str">
        <f>"515660"</f>
        <v>515660</v>
      </c>
    </row>
    <row r="1554" spans="1:11" x14ac:dyDescent="0.25">
      <c r="A1554">
        <v>2021</v>
      </c>
      <c r="B1554" t="s">
        <v>9318</v>
      </c>
      <c r="C1554" t="s">
        <v>9319</v>
      </c>
      <c r="D1554" t="s">
        <v>19</v>
      </c>
      <c r="E1554" t="s">
        <v>20</v>
      </c>
      <c r="F1554" t="str">
        <f>"43607-2529"</f>
        <v>43607-2529</v>
      </c>
      <c r="G1554" t="str">
        <f>"402019"</f>
        <v>402019</v>
      </c>
      <c r="H1554" s="2">
        <f>20</f>
        <v>20</v>
      </c>
      <c r="I1554" t="s">
        <v>27</v>
      </c>
      <c r="J1554" t="s">
        <v>42</v>
      </c>
      <c r="K1554" t="str">
        <f>"114054"</f>
        <v>114054</v>
      </c>
    </row>
    <row r="1555" spans="1:11" x14ac:dyDescent="0.25">
      <c r="A1555">
        <v>2021</v>
      </c>
      <c r="B1555" t="s">
        <v>9326</v>
      </c>
      <c r="C1555" t="s">
        <v>9327</v>
      </c>
      <c r="D1555" t="s">
        <v>19</v>
      </c>
      <c r="E1555" t="s">
        <v>20</v>
      </c>
      <c r="F1555" t="str">
        <f>"43613"</f>
        <v>43613</v>
      </c>
      <c r="G1555" t="str">
        <f>"402017"</f>
        <v>402017</v>
      </c>
      <c r="H1555" s="2">
        <f>4.8</f>
        <v>4.8</v>
      </c>
      <c r="I1555" t="s">
        <v>27</v>
      </c>
      <c r="J1555" t="s">
        <v>212</v>
      </c>
      <c r="K1555" t="str">
        <f>"34576"</f>
        <v>34576</v>
      </c>
    </row>
    <row r="1556" spans="1:11" x14ac:dyDescent="0.25">
      <c r="A1556">
        <v>2021</v>
      </c>
      <c r="B1556" t="s">
        <v>9330</v>
      </c>
      <c r="C1556" t="s">
        <v>9332</v>
      </c>
      <c r="D1556" t="s">
        <v>19</v>
      </c>
      <c r="E1556" t="s">
        <v>20</v>
      </c>
      <c r="F1556" t="str">
        <f>"43609"</f>
        <v>43609</v>
      </c>
      <c r="G1556" t="str">
        <f>"402018"</f>
        <v>402018</v>
      </c>
      <c r="H1556" s="2">
        <f>10</f>
        <v>10</v>
      </c>
      <c r="I1556" t="s">
        <v>27</v>
      </c>
      <c r="J1556" t="s">
        <v>171</v>
      </c>
      <c r="K1556" t="str">
        <f>"516665"</f>
        <v>516665</v>
      </c>
    </row>
    <row r="1557" spans="1:11" x14ac:dyDescent="0.25">
      <c r="A1557">
        <v>2021</v>
      </c>
      <c r="B1557" t="s">
        <v>9340</v>
      </c>
      <c r="C1557" t="s">
        <v>9341</v>
      </c>
      <c r="D1557" t="s">
        <v>19</v>
      </c>
      <c r="E1557" t="s">
        <v>20</v>
      </c>
      <c r="F1557" t="str">
        <f>"43605"</f>
        <v>43605</v>
      </c>
      <c r="G1557" t="str">
        <f>"402018"</f>
        <v>402018</v>
      </c>
      <c r="H1557" s="2">
        <f>25</f>
        <v>25</v>
      </c>
      <c r="I1557" t="s">
        <v>27</v>
      </c>
      <c r="J1557" t="s">
        <v>171</v>
      </c>
      <c r="K1557" t="str">
        <f>"517314"</f>
        <v>517314</v>
      </c>
    </row>
    <row r="1558" spans="1:11" x14ac:dyDescent="0.25">
      <c r="A1558">
        <v>2021</v>
      </c>
      <c r="B1558" t="s">
        <v>9340</v>
      </c>
      <c r="C1558" t="s">
        <v>9341</v>
      </c>
      <c r="D1558" t="s">
        <v>19</v>
      </c>
      <c r="E1558" t="s">
        <v>20</v>
      </c>
      <c r="F1558" t="str">
        <f>"43605"</f>
        <v>43605</v>
      </c>
      <c r="G1558" t="str">
        <f>"402018"</f>
        <v>402018</v>
      </c>
      <c r="H1558" s="2">
        <f>25</f>
        <v>25</v>
      </c>
      <c r="I1558" t="s">
        <v>27</v>
      </c>
      <c r="J1558" t="s">
        <v>171</v>
      </c>
      <c r="K1558" t="str">
        <f>"517315"</f>
        <v>517315</v>
      </c>
    </row>
    <row r="1559" spans="1:11" x14ac:dyDescent="0.25">
      <c r="A1559">
        <v>2021</v>
      </c>
      <c r="B1559" t="s">
        <v>9342</v>
      </c>
      <c r="C1559" t="s">
        <v>4568</v>
      </c>
      <c r="D1559" t="s">
        <v>19</v>
      </c>
      <c r="E1559" t="s">
        <v>20</v>
      </c>
      <c r="F1559" t="str">
        <f>"43617"</f>
        <v>43617</v>
      </c>
      <c r="G1559" t="str">
        <f>"402017"</f>
        <v>402017</v>
      </c>
      <c r="H1559" s="2">
        <f>6.54</f>
        <v>6.54</v>
      </c>
      <c r="I1559" t="s">
        <v>27</v>
      </c>
      <c r="J1559" t="s">
        <v>212</v>
      </c>
      <c r="K1559" t="str">
        <f>"35224"</f>
        <v>35224</v>
      </c>
    </row>
    <row r="1560" spans="1:11" x14ac:dyDescent="0.25">
      <c r="A1560">
        <v>2021</v>
      </c>
      <c r="B1560" t="s">
        <v>9348</v>
      </c>
      <c r="C1560" t="s">
        <v>9349</v>
      </c>
      <c r="D1560" t="s">
        <v>19</v>
      </c>
      <c r="E1560" t="s">
        <v>20</v>
      </c>
      <c r="F1560" t="str">
        <f>"43607"</f>
        <v>43607</v>
      </c>
      <c r="G1560" t="str">
        <f>"Pio448069"</f>
        <v>Pio448069</v>
      </c>
      <c r="H1560" s="2">
        <f>0.3</f>
        <v>0.3</v>
      </c>
      <c r="I1560" t="s">
        <v>86</v>
      </c>
      <c r="J1560" t="s">
        <v>87</v>
      </c>
      <c r="K1560" t="str">
        <f>"0"</f>
        <v>0</v>
      </c>
    </row>
    <row r="1561" spans="1:11" x14ac:dyDescent="0.25">
      <c r="A1561">
        <v>2021</v>
      </c>
      <c r="B1561" t="s">
        <v>9350</v>
      </c>
      <c r="C1561" t="s">
        <v>9351</v>
      </c>
      <c r="D1561" t="s">
        <v>19</v>
      </c>
      <c r="E1561" t="s">
        <v>20</v>
      </c>
      <c r="F1561" t="str">
        <f>"43615"</f>
        <v>43615</v>
      </c>
      <c r="G1561" t="str">
        <f>"Swucf4621"</f>
        <v>Swucf4621</v>
      </c>
      <c r="H1561" s="2">
        <f>15</f>
        <v>15</v>
      </c>
      <c r="I1561" t="s">
        <v>15</v>
      </c>
      <c r="J1561" t="s">
        <v>81</v>
      </c>
      <c r="K1561" t="str">
        <f>"6297552"</f>
        <v>6297552</v>
      </c>
    </row>
    <row r="1562" spans="1:11" x14ac:dyDescent="0.25">
      <c r="A1562">
        <v>2021</v>
      </c>
      <c r="B1562" t="s">
        <v>9352</v>
      </c>
      <c r="C1562" t="s">
        <v>9353</v>
      </c>
      <c r="D1562" t="s">
        <v>19</v>
      </c>
      <c r="E1562" t="s">
        <v>20</v>
      </c>
      <c r="F1562" t="str">
        <f>"43607"</f>
        <v>43607</v>
      </c>
      <c r="G1562" t="str">
        <f>"Pio448069"</f>
        <v>Pio448069</v>
      </c>
      <c r="H1562" s="2">
        <f>1.3</f>
        <v>1.3</v>
      </c>
      <c r="I1562" t="s">
        <v>86</v>
      </c>
      <c r="J1562" t="s">
        <v>87</v>
      </c>
      <c r="K1562" t="str">
        <f>"0"</f>
        <v>0</v>
      </c>
    </row>
    <row r="1563" spans="1:11" x14ac:dyDescent="0.25">
      <c r="A1563">
        <v>2021</v>
      </c>
      <c r="B1563" t="s">
        <v>9354</v>
      </c>
      <c r="C1563" t="s">
        <v>9355</v>
      </c>
      <c r="D1563" t="s">
        <v>1239</v>
      </c>
      <c r="E1563" t="s">
        <v>20</v>
      </c>
      <c r="F1563" t="str">
        <f>"43402"</f>
        <v>43402</v>
      </c>
      <c r="G1563" t="str">
        <f>"Pio448069"</f>
        <v>Pio448069</v>
      </c>
      <c r="H1563" s="2">
        <f>33.36</f>
        <v>33.36</v>
      </c>
      <c r="I1563" t="s">
        <v>86</v>
      </c>
      <c r="J1563" t="s">
        <v>87</v>
      </c>
      <c r="K1563" t="str">
        <f>"0"</f>
        <v>0</v>
      </c>
    </row>
    <row r="1564" spans="1:11" x14ac:dyDescent="0.25">
      <c r="A1564">
        <v>2021</v>
      </c>
      <c r="B1564" t="s">
        <v>9374</v>
      </c>
      <c r="C1564" t="s">
        <v>9375</v>
      </c>
      <c r="D1564" t="s">
        <v>19</v>
      </c>
      <c r="E1564" t="s">
        <v>20</v>
      </c>
      <c r="F1564" t="str">
        <f>"43606"</f>
        <v>43606</v>
      </c>
      <c r="G1564" t="str">
        <f>"402018"</f>
        <v>402018</v>
      </c>
      <c r="H1564" s="2">
        <f>12.5</f>
        <v>12.5</v>
      </c>
      <c r="I1564" t="s">
        <v>27</v>
      </c>
      <c r="J1564" t="s">
        <v>171</v>
      </c>
      <c r="K1564" t="str">
        <f>"517272"</f>
        <v>517272</v>
      </c>
    </row>
    <row r="1565" spans="1:11" x14ac:dyDescent="0.25">
      <c r="A1565">
        <v>2021</v>
      </c>
      <c r="B1565" t="s">
        <v>9376</v>
      </c>
      <c r="C1565" t="s">
        <v>9377</v>
      </c>
      <c r="D1565" t="s">
        <v>19</v>
      </c>
      <c r="E1565" t="s">
        <v>20</v>
      </c>
      <c r="F1565" t="str">
        <f>"43605"</f>
        <v>43605</v>
      </c>
      <c r="G1565" t="str">
        <f>"Pio448069"</f>
        <v>Pio448069</v>
      </c>
      <c r="H1565" s="2">
        <f>0.12</f>
        <v>0.12</v>
      </c>
      <c r="I1565" t="s">
        <v>86</v>
      </c>
      <c r="J1565" t="s">
        <v>87</v>
      </c>
      <c r="K1565" t="str">
        <f>"0"</f>
        <v>0</v>
      </c>
    </row>
    <row r="1566" spans="1:11" x14ac:dyDescent="0.25">
      <c r="A1566">
        <v>2021</v>
      </c>
      <c r="B1566" t="s">
        <v>9378</v>
      </c>
      <c r="C1566" t="s">
        <v>9379</v>
      </c>
      <c r="D1566" t="s">
        <v>105</v>
      </c>
      <c r="E1566" t="s">
        <v>20</v>
      </c>
      <c r="F1566" t="str">
        <f>"43528"</f>
        <v>43528</v>
      </c>
      <c r="G1566" t="str">
        <f>"402018"</f>
        <v>402018</v>
      </c>
      <c r="H1566" s="2">
        <f>25</f>
        <v>25</v>
      </c>
      <c r="I1566" t="s">
        <v>27</v>
      </c>
      <c r="J1566" t="s">
        <v>171</v>
      </c>
      <c r="K1566" t="str">
        <f>"517322"</f>
        <v>517322</v>
      </c>
    </row>
    <row r="1567" spans="1:11" x14ac:dyDescent="0.25">
      <c r="A1567">
        <v>2021</v>
      </c>
      <c r="B1567" t="s">
        <v>9391</v>
      </c>
      <c r="C1567" t="s">
        <v>9392</v>
      </c>
      <c r="D1567" t="s">
        <v>125</v>
      </c>
      <c r="E1567" t="s">
        <v>20</v>
      </c>
      <c r="F1567" t="str">
        <f>"43537"</f>
        <v>43537</v>
      </c>
      <c r="G1567" t="str">
        <f>"Pio448069"</f>
        <v>Pio448069</v>
      </c>
      <c r="H1567" s="2">
        <f>2</f>
        <v>2</v>
      </c>
      <c r="I1567" t="s">
        <v>86</v>
      </c>
      <c r="J1567" t="s">
        <v>87</v>
      </c>
      <c r="K1567" t="str">
        <f>"0"</f>
        <v>0</v>
      </c>
    </row>
    <row r="1568" spans="1:11" x14ac:dyDescent="0.25">
      <c r="A1568">
        <v>2021</v>
      </c>
      <c r="B1568" t="s">
        <v>9395</v>
      </c>
      <c r="C1568" t="s">
        <v>9396</v>
      </c>
      <c r="D1568" t="s">
        <v>19</v>
      </c>
      <c r="E1568" t="s">
        <v>20</v>
      </c>
      <c r="F1568" t="str">
        <f>"43613-2113"</f>
        <v>43613-2113</v>
      </c>
      <c r="G1568" t="str">
        <f>"402019"</f>
        <v>402019</v>
      </c>
      <c r="H1568" s="2">
        <f>30</f>
        <v>30</v>
      </c>
      <c r="I1568" t="s">
        <v>27</v>
      </c>
      <c r="J1568" t="s">
        <v>42</v>
      </c>
      <c r="K1568" t="str">
        <f>"111368"</f>
        <v>111368</v>
      </c>
    </row>
    <row r="1569" spans="1:11" x14ac:dyDescent="0.25">
      <c r="A1569">
        <v>2021</v>
      </c>
      <c r="B1569" t="s">
        <v>9407</v>
      </c>
      <c r="C1569" t="s">
        <v>9408</v>
      </c>
      <c r="D1569" t="s">
        <v>4762</v>
      </c>
      <c r="E1569" t="s">
        <v>14</v>
      </c>
      <c r="F1569" t="str">
        <f>"48503"</f>
        <v>48503</v>
      </c>
      <c r="G1569" t="str">
        <f>"Pio448069"</f>
        <v>Pio448069</v>
      </c>
      <c r="H1569" s="2">
        <f>282</f>
        <v>282</v>
      </c>
      <c r="I1569" t="s">
        <v>86</v>
      </c>
      <c r="J1569" t="s">
        <v>87</v>
      </c>
      <c r="K1569" t="str">
        <f>"0"</f>
        <v>0</v>
      </c>
    </row>
    <row r="1570" spans="1:11" x14ac:dyDescent="0.25">
      <c r="A1570">
        <v>2021</v>
      </c>
      <c r="B1570" t="s">
        <v>9414</v>
      </c>
      <c r="C1570" t="s">
        <v>9415</v>
      </c>
      <c r="D1570" t="s">
        <v>9416</v>
      </c>
      <c r="E1570" t="s">
        <v>85</v>
      </c>
      <c r="F1570" t="str">
        <f>"98333"</f>
        <v>98333</v>
      </c>
      <c r="G1570" t="str">
        <f>"Bwucf4621"</f>
        <v>Bwucf4621</v>
      </c>
      <c r="H1570" s="2">
        <f>400.95</f>
        <v>400.95</v>
      </c>
      <c r="I1570" t="s">
        <v>15</v>
      </c>
      <c r="J1570" t="s">
        <v>295</v>
      </c>
      <c r="K1570" t="str">
        <f>"01444659"</f>
        <v>01444659</v>
      </c>
    </row>
    <row r="1571" spans="1:11" x14ac:dyDescent="0.25">
      <c r="A1571">
        <v>2021</v>
      </c>
      <c r="B1571" t="s">
        <v>9417</v>
      </c>
      <c r="C1571" t="s">
        <v>9418</v>
      </c>
      <c r="D1571" t="s">
        <v>6820</v>
      </c>
      <c r="E1571" t="s">
        <v>20</v>
      </c>
      <c r="F1571" t="str">
        <f>"45840"</f>
        <v>45840</v>
      </c>
      <c r="G1571" t="str">
        <f>"402018"</f>
        <v>402018</v>
      </c>
      <c r="H1571" s="2">
        <f>2.25</f>
        <v>2.25</v>
      </c>
      <c r="I1571" t="s">
        <v>27</v>
      </c>
      <c r="J1571" t="s">
        <v>171</v>
      </c>
      <c r="K1571" t="str">
        <f>"516739"</f>
        <v>516739</v>
      </c>
    </row>
    <row r="1572" spans="1:11" x14ac:dyDescent="0.25">
      <c r="A1572">
        <v>2021</v>
      </c>
      <c r="B1572" t="s">
        <v>9419</v>
      </c>
      <c r="C1572" t="s">
        <v>9420</v>
      </c>
      <c r="D1572" t="s">
        <v>19</v>
      </c>
      <c r="E1572" t="s">
        <v>20</v>
      </c>
      <c r="F1572" t="str">
        <f>"43612"</f>
        <v>43612</v>
      </c>
      <c r="G1572" t="str">
        <f>"402018"</f>
        <v>402018</v>
      </c>
      <c r="H1572" s="2">
        <f>50</f>
        <v>50</v>
      </c>
      <c r="I1572" t="s">
        <v>27</v>
      </c>
      <c r="J1572" t="s">
        <v>171</v>
      </c>
      <c r="K1572" t="str">
        <f>"516386"</f>
        <v>516386</v>
      </c>
    </row>
    <row r="1573" spans="1:11" x14ac:dyDescent="0.25">
      <c r="A1573">
        <v>2021</v>
      </c>
      <c r="B1573" t="s">
        <v>9419</v>
      </c>
      <c r="C1573" t="s">
        <v>9420</v>
      </c>
      <c r="D1573" t="s">
        <v>19</v>
      </c>
      <c r="E1573" t="s">
        <v>20</v>
      </c>
      <c r="F1573" t="str">
        <f>"43612"</f>
        <v>43612</v>
      </c>
      <c r="G1573" t="str">
        <f>"402018"</f>
        <v>402018</v>
      </c>
      <c r="H1573" s="2">
        <f>324</f>
        <v>324</v>
      </c>
      <c r="I1573" t="s">
        <v>27</v>
      </c>
      <c r="J1573" t="s">
        <v>171</v>
      </c>
      <c r="K1573" t="str">
        <f>"517809"</f>
        <v>517809</v>
      </c>
    </row>
    <row r="1574" spans="1:11" x14ac:dyDescent="0.25">
      <c r="A1574">
        <v>2021</v>
      </c>
      <c r="B1574" t="s">
        <v>9421</v>
      </c>
      <c r="C1574" t="s">
        <v>9422</v>
      </c>
      <c r="D1574" t="s">
        <v>9423</v>
      </c>
      <c r="E1574" t="s">
        <v>20</v>
      </c>
      <c r="F1574" t="str">
        <f>"45342"</f>
        <v>45342</v>
      </c>
      <c r="G1574" t="str">
        <f>"Je061721"</f>
        <v>Je061721</v>
      </c>
      <c r="H1574" s="2">
        <f>3804.58</f>
        <v>3804.58</v>
      </c>
      <c r="I1574" t="s">
        <v>15</v>
      </c>
      <c r="J1574" t="s">
        <v>137</v>
      </c>
      <c r="K1574" t="str">
        <f>"60005791"</f>
        <v>60005791</v>
      </c>
    </row>
    <row r="1575" spans="1:11" x14ac:dyDescent="0.25">
      <c r="A1575">
        <v>2021</v>
      </c>
      <c r="B1575" t="s">
        <v>9424</v>
      </c>
      <c r="C1575" t="s">
        <v>9425</v>
      </c>
      <c r="D1575" t="s">
        <v>19</v>
      </c>
      <c r="E1575" t="s">
        <v>20</v>
      </c>
      <c r="F1575" t="str">
        <f>"43604"</f>
        <v>43604</v>
      </c>
      <c r="G1575" t="str">
        <f>"402018"</f>
        <v>402018</v>
      </c>
      <c r="H1575" s="2">
        <f>45</f>
        <v>45</v>
      </c>
      <c r="I1575" t="s">
        <v>27</v>
      </c>
      <c r="J1575" t="s">
        <v>171</v>
      </c>
      <c r="K1575" t="str">
        <f>"517770"</f>
        <v>517770</v>
      </c>
    </row>
    <row r="1576" spans="1:11" x14ac:dyDescent="0.25">
      <c r="A1576">
        <v>2021</v>
      </c>
      <c r="B1576" t="s">
        <v>9424</v>
      </c>
      <c r="C1576" t="s">
        <v>9425</v>
      </c>
      <c r="D1576" t="s">
        <v>19</v>
      </c>
      <c r="E1576" t="s">
        <v>20</v>
      </c>
      <c r="F1576" t="str">
        <f>"43604"</f>
        <v>43604</v>
      </c>
      <c r="G1576" t="str">
        <f>"402018"</f>
        <v>402018</v>
      </c>
      <c r="H1576" s="2">
        <f>20</f>
        <v>20</v>
      </c>
      <c r="I1576" t="s">
        <v>27</v>
      </c>
      <c r="J1576" t="s">
        <v>171</v>
      </c>
      <c r="K1576" t="str">
        <f>"515938"</f>
        <v>515938</v>
      </c>
    </row>
    <row r="1577" spans="1:11" x14ac:dyDescent="0.25">
      <c r="A1577">
        <v>2021</v>
      </c>
      <c r="B1577" t="s">
        <v>9424</v>
      </c>
      <c r="C1577" t="s">
        <v>9425</v>
      </c>
      <c r="D1577" t="s">
        <v>19</v>
      </c>
      <c r="E1577" t="s">
        <v>20</v>
      </c>
      <c r="F1577" t="str">
        <f>"43604"</f>
        <v>43604</v>
      </c>
      <c r="G1577" t="str">
        <f>"402018"</f>
        <v>402018</v>
      </c>
      <c r="H1577" s="2">
        <f>20</f>
        <v>20</v>
      </c>
      <c r="I1577" t="s">
        <v>27</v>
      </c>
      <c r="J1577" t="s">
        <v>171</v>
      </c>
      <c r="K1577" t="str">
        <f>"516979"</f>
        <v>516979</v>
      </c>
    </row>
    <row r="1578" spans="1:11" x14ac:dyDescent="0.25">
      <c r="A1578">
        <v>2021</v>
      </c>
      <c r="B1578" t="s">
        <v>9424</v>
      </c>
      <c r="C1578" t="s">
        <v>9425</v>
      </c>
      <c r="D1578" t="s">
        <v>19</v>
      </c>
      <c r="E1578" t="s">
        <v>20</v>
      </c>
      <c r="F1578" t="str">
        <f>"43604"</f>
        <v>43604</v>
      </c>
      <c r="G1578" t="str">
        <f>"402018"</f>
        <v>402018</v>
      </c>
      <c r="H1578" s="2">
        <f>20</f>
        <v>20</v>
      </c>
      <c r="I1578" t="s">
        <v>27</v>
      </c>
      <c r="J1578" t="s">
        <v>171</v>
      </c>
      <c r="K1578" t="str">
        <f>"516543"</f>
        <v>516543</v>
      </c>
    </row>
    <row r="1579" spans="1:11" x14ac:dyDescent="0.25">
      <c r="A1579">
        <v>2021</v>
      </c>
      <c r="B1579" t="s">
        <v>9424</v>
      </c>
      <c r="C1579" t="s">
        <v>9425</v>
      </c>
      <c r="D1579" t="s">
        <v>19</v>
      </c>
      <c r="E1579" t="s">
        <v>20</v>
      </c>
      <c r="F1579" t="str">
        <f>"43604"</f>
        <v>43604</v>
      </c>
      <c r="G1579" t="str">
        <f>"402018"</f>
        <v>402018</v>
      </c>
      <c r="H1579" s="2">
        <f>40</f>
        <v>40</v>
      </c>
      <c r="I1579" t="s">
        <v>27</v>
      </c>
      <c r="J1579" t="s">
        <v>171</v>
      </c>
      <c r="K1579" t="str">
        <f>"515434"</f>
        <v>515434</v>
      </c>
    </row>
    <row r="1580" spans="1:11" x14ac:dyDescent="0.25">
      <c r="A1580">
        <v>2021</v>
      </c>
      <c r="B1580" t="s">
        <v>9430</v>
      </c>
      <c r="C1580" t="s">
        <v>9431</v>
      </c>
      <c r="D1580" t="s">
        <v>19</v>
      </c>
      <c r="E1580" t="s">
        <v>20</v>
      </c>
      <c r="F1580" t="str">
        <f>"43608"</f>
        <v>43608</v>
      </c>
      <c r="G1580" t="str">
        <f>"Pio448069"</f>
        <v>Pio448069</v>
      </c>
      <c r="H1580" s="2">
        <f>20</f>
        <v>20</v>
      </c>
      <c r="I1580" t="s">
        <v>86</v>
      </c>
      <c r="J1580" t="s">
        <v>87</v>
      </c>
      <c r="K1580" t="str">
        <f>"0"</f>
        <v>0</v>
      </c>
    </row>
    <row r="1581" spans="1:11" x14ac:dyDescent="0.25">
      <c r="A1581">
        <v>2021</v>
      </c>
      <c r="B1581" t="s">
        <v>9432</v>
      </c>
      <c r="C1581" t="s">
        <v>9433</v>
      </c>
      <c r="D1581" t="s">
        <v>19</v>
      </c>
      <c r="E1581" t="s">
        <v>20</v>
      </c>
      <c r="F1581" t="str">
        <f>"43608"</f>
        <v>43608</v>
      </c>
      <c r="G1581" t="str">
        <f>"Pio448069"</f>
        <v>Pio448069</v>
      </c>
      <c r="H1581" s="2">
        <f>0.25</f>
        <v>0.25</v>
      </c>
      <c r="I1581" t="s">
        <v>86</v>
      </c>
      <c r="J1581" t="s">
        <v>87</v>
      </c>
      <c r="K1581" t="str">
        <f>"0"</f>
        <v>0</v>
      </c>
    </row>
    <row r="1582" spans="1:11" x14ac:dyDescent="0.25">
      <c r="A1582">
        <v>2021</v>
      </c>
      <c r="B1582" t="s">
        <v>9434</v>
      </c>
      <c r="C1582" t="s">
        <v>9435</v>
      </c>
      <c r="D1582" t="s">
        <v>19</v>
      </c>
      <c r="E1582" t="s">
        <v>20</v>
      </c>
      <c r="F1582" t="str">
        <f>"43608"</f>
        <v>43608</v>
      </c>
      <c r="G1582" t="str">
        <f>"Pio448069"</f>
        <v>Pio448069</v>
      </c>
      <c r="H1582" s="2">
        <f>5.85</f>
        <v>5.85</v>
      </c>
      <c r="I1582" t="s">
        <v>86</v>
      </c>
      <c r="J1582" t="s">
        <v>87</v>
      </c>
      <c r="K1582" t="str">
        <f>"0"</f>
        <v>0</v>
      </c>
    </row>
    <row r="1583" spans="1:11" x14ac:dyDescent="0.25">
      <c r="A1583">
        <v>2021</v>
      </c>
      <c r="B1583" t="s">
        <v>9438</v>
      </c>
      <c r="C1583" t="s">
        <v>9439</v>
      </c>
      <c r="D1583" t="s">
        <v>19</v>
      </c>
      <c r="E1583" t="s">
        <v>20</v>
      </c>
      <c r="F1583" t="str">
        <f>"43606"</f>
        <v>43606</v>
      </c>
      <c r="G1583" t="str">
        <f>"Bwucf4621"</f>
        <v>Bwucf4621</v>
      </c>
      <c r="H1583" s="2">
        <f>400</f>
        <v>400</v>
      </c>
      <c r="I1583" t="s">
        <v>15</v>
      </c>
      <c r="J1583" t="s">
        <v>295</v>
      </c>
      <c r="K1583" t="str">
        <f>"01439306"</f>
        <v>01439306</v>
      </c>
    </row>
    <row r="1584" spans="1:11" x14ac:dyDescent="0.25">
      <c r="A1584">
        <v>2021</v>
      </c>
      <c r="B1584" t="s">
        <v>9438</v>
      </c>
      <c r="C1584" t="s">
        <v>9439</v>
      </c>
      <c r="D1584" t="s">
        <v>19</v>
      </c>
      <c r="E1584" t="s">
        <v>20</v>
      </c>
      <c r="F1584" t="str">
        <f>"43606"</f>
        <v>43606</v>
      </c>
      <c r="G1584" t="str">
        <f>"Bwucf4621"</f>
        <v>Bwucf4621</v>
      </c>
      <c r="H1584" s="2">
        <f>400</f>
        <v>400</v>
      </c>
      <c r="I1584" t="s">
        <v>15</v>
      </c>
      <c r="J1584" t="s">
        <v>295</v>
      </c>
      <c r="K1584" t="str">
        <f>"01439306"</f>
        <v>01439306</v>
      </c>
    </row>
    <row r="1585" spans="1:11" x14ac:dyDescent="0.25">
      <c r="A1585">
        <v>2021</v>
      </c>
      <c r="B1585" t="s">
        <v>9440</v>
      </c>
      <c r="C1585" t="s">
        <v>9441</v>
      </c>
      <c r="D1585" t="s">
        <v>19</v>
      </c>
      <c r="E1585" t="s">
        <v>20</v>
      </c>
      <c r="F1585" t="str">
        <f>"43612"</f>
        <v>43612</v>
      </c>
      <c r="G1585" t="str">
        <f>"Pio448069"</f>
        <v>Pio448069</v>
      </c>
      <c r="H1585" s="2">
        <f>1</f>
        <v>1</v>
      </c>
      <c r="I1585" t="s">
        <v>86</v>
      </c>
      <c r="J1585" t="s">
        <v>87</v>
      </c>
      <c r="K1585" t="str">
        <f>"0"</f>
        <v>0</v>
      </c>
    </row>
    <row r="1586" spans="1:11" x14ac:dyDescent="0.25">
      <c r="A1586">
        <v>2021</v>
      </c>
      <c r="B1586" t="s">
        <v>9445</v>
      </c>
      <c r="C1586" t="s">
        <v>9446</v>
      </c>
      <c r="D1586" t="s">
        <v>9444</v>
      </c>
      <c r="E1586" t="s">
        <v>1664</v>
      </c>
      <c r="F1586" t="str">
        <f>"23513"</f>
        <v>23513</v>
      </c>
      <c r="G1586" t="str">
        <f>"402017"</f>
        <v>402017</v>
      </c>
      <c r="H1586" s="2">
        <f>3.4</f>
        <v>3.4</v>
      </c>
      <c r="I1586" t="s">
        <v>27</v>
      </c>
      <c r="J1586" t="s">
        <v>212</v>
      </c>
      <c r="K1586" t="str">
        <f>"35357"</f>
        <v>35357</v>
      </c>
    </row>
    <row r="1587" spans="1:11" x14ac:dyDescent="0.25">
      <c r="A1587">
        <v>2021</v>
      </c>
      <c r="B1587" t="s">
        <v>9447</v>
      </c>
      <c r="C1587" t="s">
        <v>9448</v>
      </c>
      <c r="D1587" t="s">
        <v>19</v>
      </c>
      <c r="E1587" t="s">
        <v>20</v>
      </c>
      <c r="F1587" t="str">
        <f>"43613"</f>
        <v>43613</v>
      </c>
      <c r="G1587" t="str">
        <f>"402018"</f>
        <v>402018</v>
      </c>
      <c r="H1587" s="2">
        <f>25</f>
        <v>25</v>
      </c>
      <c r="I1587" t="s">
        <v>27</v>
      </c>
      <c r="J1587" t="s">
        <v>171</v>
      </c>
      <c r="K1587" t="str">
        <f>"517996"</f>
        <v>517996</v>
      </c>
    </row>
    <row r="1588" spans="1:11" x14ac:dyDescent="0.25">
      <c r="A1588">
        <v>2021</v>
      </c>
      <c r="B1588" t="s">
        <v>9450</v>
      </c>
      <c r="C1588" t="s">
        <v>6086</v>
      </c>
      <c r="D1588" t="s">
        <v>19</v>
      </c>
      <c r="E1588" t="s">
        <v>20</v>
      </c>
      <c r="F1588" t="str">
        <f>"43607"</f>
        <v>43607</v>
      </c>
      <c r="G1588" t="str">
        <f>"Pio448069"</f>
        <v>Pio448069</v>
      </c>
      <c r="H1588" s="2">
        <f>6</f>
        <v>6</v>
      </c>
      <c r="I1588" t="s">
        <v>86</v>
      </c>
      <c r="J1588" t="s">
        <v>87</v>
      </c>
      <c r="K1588" t="str">
        <f>"0"</f>
        <v>0</v>
      </c>
    </row>
    <row r="1589" spans="1:11" x14ac:dyDescent="0.25">
      <c r="A1589">
        <v>2021</v>
      </c>
      <c r="B1589" t="s">
        <v>9451</v>
      </c>
      <c r="C1589" t="s">
        <v>9452</v>
      </c>
      <c r="D1589" t="s">
        <v>19</v>
      </c>
      <c r="E1589" t="s">
        <v>20</v>
      </c>
      <c r="F1589" t="str">
        <f>"43607-4416"</f>
        <v>43607-4416</v>
      </c>
      <c r="G1589" t="str">
        <f>"402019"</f>
        <v>402019</v>
      </c>
      <c r="H1589" s="2">
        <f>10</f>
        <v>10</v>
      </c>
      <c r="I1589" t="s">
        <v>27</v>
      </c>
      <c r="J1589" t="s">
        <v>42</v>
      </c>
      <c r="K1589" t="str">
        <f>"111357"</f>
        <v>111357</v>
      </c>
    </row>
    <row r="1590" spans="1:11" x14ac:dyDescent="0.25">
      <c r="A1590">
        <v>2021</v>
      </c>
      <c r="B1590" t="s">
        <v>9453</v>
      </c>
      <c r="C1590" t="s">
        <v>9454</v>
      </c>
      <c r="D1590" t="s">
        <v>19</v>
      </c>
      <c r="E1590" t="s">
        <v>20</v>
      </c>
      <c r="F1590" t="str">
        <f>"43614"</f>
        <v>43614</v>
      </c>
      <c r="G1590" t="str">
        <f>"Je092221"</f>
        <v>Je092221</v>
      </c>
      <c r="H1590" s="2">
        <f>35</f>
        <v>35</v>
      </c>
      <c r="I1590" t="s">
        <v>15</v>
      </c>
      <c r="J1590" t="s">
        <v>114</v>
      </c>
      <c r="K1590" t="str">
        <f>"60011441"</f>
        <v>60011441</v>
      </c>
    </row>
    <row r="1591" spans="1:11" x14ac:dyDescent="0.25">
      <c r="A1591">
        <v>2021</v>
      </c>
      <c r="B1591" t="s">
        <v>9455</v>
      </c>
      <c r="C1591" t="s">
        <v>9456</v>
      </c>
      <c r="D1591" t="s">
        <v>19</v>
      </c>
      <c r="E1591" t="s">
        <v>20</v>
      </c>
      <c r="F1591" t="str">
        <f>"43611"</f>
        <v>43611</v>
      </c>
      <c r="G1591" t="str">
        <f>"402018"</f>
        <v>402018</v>
      </c>
      <c r="H1591" s="2">
        <f>300</f>
        <v>300</v>
      </c>
      <c r="I1591" t="s">
        <v>27</v>
      </c>
      <c r="J1591" t="s">
        <v>171</v>
      </c>
      <c r="K1591" t="str">
        <f>"517061"</f>
        <v>517061</v>
      </c>
    </row>
    <row r="1592" spans="1:11" x14ac:dyDescent="0.25">
      <c r="A1592">
        <v>2021</v>
      </c>
      <c r="B1592" t="s">
        <v>9461</v>
      </c>
      <c r="C1592" t="s">
        <v>9463</v>
      </c>
      <c r="D1592" t="s">
        <v>4271</v>
      </c>
      <c r="E1592" t="s">
        <v>14</v>
      </c>
      <c r="F1592" t="str">
        <f>"48144"</f>
        <v>48144</v>
      </c>
      <c r="G1592" t="str">
        <f>"402018"</f>
        <v>402018</v>
      </c>
      <c r="H1592" s="2">
        <f>9.08</f>
        <v>9.08</v>
      </c>
      <c r="I1592" t="s">
        <v>27</v>
      </c>
      <c r="J1592" t="s">
        <v>171</v>
      </c>
      <c r="K1592" t="str">
        <f>"517700"</f>
        <v>517700</v>
      </c>
    </row>
    <row r="1593" spans="1:11" x14ac:dyDescent="0.25">
      <c r="A1593">
        <v>2021</v>
      </c>
      <c r="B1593" t="s">
        <v>9464</v>
      </c>
      <c r="C1593" t="s">
        <v>9465</v>
      </c>
      <c r="D1593" t="s">
        <v>19</v>
      </c>
      <c r="E1593" t="s">
        <v>20</v>
      </c>
      <c r="F1593" t="str">
        <f>"43607"</f>
        <v>43607</v>
      </c>
      <c r="G1593" t="str">
        <f>"402018"</f>
        <v>402018</v>
      </c>
      <c r="H1593" s="2">
        <f>2.08</f>
        <v>2.08</v>
      </c>
      <c r="I1593" t="s">
        <v>27</v>
      </c>
      <c r="J1593" t="s">
        <v>171</v>
      </c>
      <c r="K1593" t="str">
        <f>"516559"</f>
        <v>516559</v>
      </c>
    </row>
    <row r="1594" spans="1:11" x14ac:dyDescent="0.25">
      <c r="A1594">
        <v>2021</v>
      </c>
      <c r="B1594" t="s">
        <v>9464</v>
      </c>
      <c r="C1594" t="s">
        <v>9465</v>
      </c>
      <c r="D1594" t="s">
        <v>19</v>
      </c>
      <c r="E1594" t="s">
        <v>20</v>
      </c>
      <c r="F1594" t="str">
        <f>"43607"</f>
        <v>43607</v>
      </c>
      <c r="G1594" t="str">
        <f>"402018"</f>
        <v>402018</v>
      </c>
      <c r="H1594" s="2">
        <f>3.33</f>
        <v>3.33</v>
      </c>
      <c r="I1594" t="s">
        <v>27</v>
      </c>
      <c r="J1594" t="s">
        <v>171</v>
      </c>
      <c r="K1594" t="str">
        <f>"516365"</f>
        <v>516365</v>
      </c>
    </row>
    <row r="1595" spans="1:11" x14ac:dyDescent="0.25">
      <c r="A1595">
        <v>2021</v>
      </c>
      <c r="B1595" t="s">
        <v>9464</v>
      </c>
      <c r="C1595" t="s">
        <v>9465</v>
      </c>
      <c r="D1595" t="s">
        <v>19</v>
      </c>
      <c r="E1595" t="s">
        <v>20</v>
      </c>
      <c r="F1595" t="str">
        <f>"43607"</f>
        <v>43607</v>
      </c>
      <c r="G1595" t="str">
        <f>"402018"</f>
        <v>402018</v>
      </c>
      <c r="H1595" s="2">
        <f>1.67</f>
        <v>1.67</v>
      </c>
      <c r="I1595" t="s">
        <v>27</v>
      </c>
      <c r="J1595" t="s">
        <v>171</v>
      </c>
      <c r="K1595" t="str">
        <f>"515665"</f>
        <v>515665</v>
      </c>
    </row>
    <row r="1596" spans="1:11" x14ac:dyDescent="0.25">
      <c r="A1596">
        <v>2021</v>
      </c>
      <c r="B1596" t="s">
        <v>9466</v>
      </c>
      <c r="C1596" t="s">
        <v>9467</v>
      </c>
      <c r="D1596" t="s">
        <v>125</v>
      </c>
      <c r="E1596" t="s">
        <v>20</v>
      </c>
      <c r="F1596" t="str">
        <f>"43537"</f>
        <v>43537</v>
      </c>
      <c r="G1596" t="str">
        <f>"402063"</f>
        <v>402063</v>
      </c>
      <c r="H1596" s="2">
        <f>974.4</f>
        <v>974.4</v>
      </c>
      <c r="I1596" t="s">
        <v>27</v>
      </c>
      <c r="J1596" t="s">
        <v>71</v>
      </c>
      <c r="K1596" t="str">
        <f>"33006509"</f>
        <v>33006509</v>
      </c>
    </row>
    <row r="1597" spans="1:11" x14ac:dyDescent="0.25">
      <c r="A1597">
        <v>2021</v>
      </c>
      <c r="B1597" t="s">
        <v>9477</v>
      </c>
      <c r="C1597" t="s">
        <v>9478</v>
      </c>
      <c r="D1597" t="s">
        <v>1870</v>
      </c>
      <c r="E1597" t="s">
        <v>204</v>
      </c>
      <c r="F1597" t="str">
        <f>"30077"</f>
        <v>30077</v>
      </c>
      <c r="G1597" t="str">
        <f>"396747"</f>
        <v>396747</v>
      </c>
      <c r="H1597" s="2">
        <f>1000</f>
        <v>1000</v>
      </c>
      <c r="I1597" t="s">
        <v>86</v>
      </c>
      <c r="J1597" t="s">
        <v>1075</v>
      </c>
      <c r="K1597" t="str">
        <f>"29312"</f>
        <v>29312</v>
      </c>
    </row>
    <row r="1598" spans="1:11" x14ac:dyDescent="0.25">
      <c r="A1598">
        <v>2021</v>
      </c>
      <c r="B1598" t="s">
        <v>9481</v>
      </c>
      <c r="C1598" t="s">
        <v>9482</v>
      </c>
      <c r="D1598" t="s">
        <v>111</v>
      </c>
      <c r="E1598" t="s">
        <v>20</v>
      </c>
      <c r="F1598" t="str">
        <f>"43223"</f>
        <v>43223</v>
      </c>
      <c r="G1598" t="str">
        <f>"Pio448069"</f>
        <v>Pio448069</v>
      </c>
      <c r="H1598" s="2">
        <f>0.42</f>
        <v>0.42</v>
      </c>
      <c r="I1598" t="s">
        <v>86</v>
      </c>
      <c r="J1598" t="s">
        <v>87</v>
      </c>
      <c r="K1598" t="str">
        <f>"0"</f>
        <v>0</v>
      </c>
    </row>
    <row r="1599" spans="1:11" x14ac:dyDescent="0.25">
      <c r="A1599">
        <v>2021</v>
      </c>
      <c r="B1599" t="s">
        <v>9483</v>
      </c>
      <c r="C1599" t="s">
        <v>9484</v>
      </c>
      <c r="D1599" t="s">
        <v>19</v>
      </c>
      <c r="E1599" t="s">
        <v>20</v>
      </c>
      <c r="F1599" t="str">
        <f>"43609-1227"</f>
        <v>43609-1227</v>
      </c>
      <c r="G1599" t="str">
        <f>"402019"</f>
        <v>402019</v>
      </c>
      <c r="H1599" s="2">
        <f>20</f>
        <v>20</v>
      </c>
      <c r="I1599" t="s">
        <v>27</v>
      </c>
      <c r="J1599" t="s">
        <v>42</v>
      </c>
      <c r="K1599" t="str">
        <f>"111986"</f>
        <v>111986</v>
      </c>
    </row>
    <row r="1600" spans="1:11" x14ac:dyDescent="0.25">
      <c r="A1600">
        <v>2021</v>
      </c>
      <c r="B1600" t="s">
        <v>9485</v>
      </c>
      <c r="C1600" t="s">
        <v>1578</v>
      </c>
      <c r="D1600" t="s">
        <v>19</v>
      </c>
      <c r="E1600" t="s">
        <v>20</v>
      </c>
      <c r="F1600" t="str">
        <f>"43604"</f>
        <v>43604</v>
      </c>
      <c r="G1600" t="str">
        <f>"Swucf4621"</f>
        <v>Swucf4621</v>
      </c>
      <c r="H1600" s="2">
        <f>160</f>
        <v>160</v>
      </c>
      <c r="I1600" t="s">
        <v>15</v>
      </c>
      <c r="J1600" t="s">
        <v>81</v>
      </c>
      <c r="K1600" t="str">
        <f>"6294752"</f>
        <v>6294752</v>
      </c>
    </row>
    <row r="1601" spans="1:11" x14ac:dyDescent="0.25">
      <c r="A1601">
        <v>2021</v>
      </c>
      <c r="B1601" t="s">
        <v>9488</v>
      </c>
      <c r="C1601" t="s">
        <v>9489</v>
      </c>
      <c r="D1601" t="s">
        <v>19</v>
      </c>
      <c r="E1601" t="s">
        <v>20</v>
      </c>
      <c r="F1601" t="str">
        <f>"43608-3007"</f>
        <v>43608-3007</v>
      </c>
      <c r="G1601" t="str">
        <f>"402019"</f>
        <v>402019</v>
      </c>
      <c r="H1601" s="2">
        <f>10</f>
        <v>10</v>
      </c>
      <c r="I1601" t="s">
        <v>27</v>
      </c>
      <c r="J1601" t="s">
        <v>42</v>
      </c>
      <c r="K1601" t="str">
        <f>"111484"</f>
        <v>111484</v>
      </c>
    </row>
    <row r="1602" spans="1:11" x14ac:dyDescent="0.25">
      <c r="A1602">
        <v>2021</v>
      </c>
      <c r="B1602" t="s">
        <v>9497</v>
      </c>
      <c r="C1602" t="s">
        <v>9498</v>
      </c>
      <c r="D1602" t="s">
        <v>19</v>
      </c>
      <c r="E1602" t="s">
        <v>20</v>
      </c>
      <c r="F1602" t="str">
        <f>"43608-2641"</f>
        <v>43608-2641</v>
      </c>
      <c r="G1602" t="str">
        <f>"402019"</f>
        <v>402019</v>
      </c>
      <c r="H1602" s="2">
        <f>10</f>
        <v>10</v>
      </c>
      <c r="I1602" t="s">
        <v>27</v>
      </c>
      <c r="J1602" t="s">
        <v>42</v>
      </c>
      <c r="K1602" t="str">
        <f>"114137"</f>
        <v>114137</v>
      </c>
    </row>
    <row r="1603" spans="1:11" x14ac:dyDescent="0.25">
      <c r="A1603">
        <v>2021</v>
      </c>
      <c r="B1603" t="s">
        <v>9503</v>
      </c>
      <c r="C1603" t="s">
        <v>9504</v>
      </c>
      <c r="D1603" t="s">
        <v>19</v>
      </c>
      <c r="E1603" t="s">
        <v>20</v>
      </c>
      <c r="F1603" t="str">
        <f>"43614-5213"</f>
        <v>43614-5213</v>
      </c>
      <c r="G1603" t="str">
        <f>"402019"</f>
        <v>402019</v>
      </c>
      <c r="H1603" s="2">
        <f>20</f>
        <v>20</v>
      </c>
      <c r="I1603" t="s">
        <v>27</v>
      </c>
      <c r="J1603" t="s">
        <v>42</v>
      </c>
      <c r="K1603" t="str">
        <f>"114159"</f>
        <v>114159</v>
      </c>
    </row>
    <row r="1604" spans="1:11" x14ac:dyDescent="0.25">
      <c r="A1604">
        <v>2021</v>
      </c>
      <c r="B1604" t="s">
        <v>9515</v>
      </c>
      <c r="C1604" t="s">
        <v>9516</v>
      </c>
      <c r="D1604" t="s">
        <v>19</v>
      </c>
      <c r="E1604" t="s">
        <v>20</v>
      </c>
      <c r="F1604" t="str">
        <f>"43607"</f>
        <v>43607</v>
      </c>
      <c r="G1604" t="str">
        <f>"Je110321"</f>
        <v>Je110321</v>
      </c>
      <c r="H1604" s="2">
        <f>130.81</f>
        <v>130.81</v>
      </c>
      <c r="I1604" t="s">
        <v>15</v>
      </c>
      <c r="J1604" t="s">
        <v>596</v>
      </c>
      <c r="K1604" t="str">
        <f>"60023936"</f>
        <v>60023936</v>
      </c>
    </row>
    <row r="1605" spans="1:11" x14ac:dyDescent="0.25">
      <c r="A1605">
        <v>2021</v>
      </c>
      <c r="B1605" t="s">
        <v>9517</v>
      </c>
      <c r="C1605" t="s">
        <v>9518</v>
      </c>
      <c r="D1605" t="s">
        <v>125</v>
      </c>
      <c r="E1605" t="s">
        <v>20</v>
      </c>
      <c r="F1605" t="str">
        <f>"43537-3733"</f>
        <v>43537-3733</v>
      </c>
      <c r="G1605" t="str">
        <f>"Swucf4621"</f>
        <v>Swucf4621</v>
      </c>
      <c r="H1605" s="2">
        <f>156.86</f>
        <v>156.86000000000001</v>
      </c>
      <c r="I1605" t="s">
        <v>15</v>
      </c>
      <c r="J1605" t="s">
        <v>81</v>
      </c>
      <c r="K1605" t="str">
        <f>"6289229"</f>
        <v>6289229</v>
      </c>
    </row>
    <row r="1606" spans="1:11" x14ac:dyDescent="0.25">
      <c r="A1606">
        <v>2021</v>
      </c>
      <c r="B1606" t="s">
        <v>9523</v>
      </c>
      <c r="C1606" t="s">
        <v>9524</v>
      </c>
      <c r="D1606" t="s">
        <v>50</v>
      </c>
      <c r="E1606" t="s">
        <v>20</v>
      </c>
      <c r="F1606" t="str">
        <f>"43560-3313"</f>
        <v>43560-3313</v>
      </c>
      <c r="G1606" t="str">
        <f>"402019"</f>
        <v>402019</v>
      </c>
      <c r="H1606" s="2">
        <f>10</f>
        <v>10</v>
      </c>
      <c r="I1606" t="s">
        <v>27</v>
      </c>
      <c r="J1606" t="s">
        <v>42</v>
      </c>
      <c r="K1606" t="str">
        <f>"113525"</f>
        <v>113525</v>
      </c>
    </row>
    <row r="1607" spans="1:11" x14ac:dyDescent="0.25">
      <c r="A1607">
        <v>2021</v>
      </c>
      <c r="B1607" t="s">
        <v>9525</v>
      </c>
      <c r="C1607" t="s">
        <v>9526</v>
      </c>
      <c r="D1607" t="s">
        <v>19</v>
      </c>
      <c r="E1607" t="s">
        <v>20</v>
      </c>
      <c r="F1607" t="str">
        <f>"43609"</f>
        <v>43609</v>
      </c>
      <c r="G1607" t="str">
        <f>"Je061721"</f>
        <v>Je061721</v>
      </c>
      <c r="H1607" s="2">
        <f>27.73</f>
        <v>27.73</v>
      </c>
      <c r="I1607" t="s">
        <v>15</v>
      </c>
      <c r="J1607" t="s">
        <v>137</v>
      </c>
      <c r="K1607" t="str">
        <f>"60007005"</f>
        <v>60007005</v>
      </c>
    </row>
    <row r="1608" spans="1:11" x14ac:dyDescent="0.25">
      <c r="A1608">
        <v>2021</v>
      </c>
      <c r="B1608" t="s">
        <v>9531</v>
      </c>
      <c r="C1608" t="s">
        <v>9532</v>
      </c>
      <c r="D1608" t="s">
        <v>1074</v>
      </c>
      <c r="E1608" t="s">
        <v>20</v>
      </c>
      <c r="F1608" t="str">
        <f>"43551"</f>
        <v>43551</v>
      </c>
      <c r="G1608" t="str">
        <f>"Je110321"</f>
        <v>Je110321</v>
      </c>
      <c r="H1608" s="2">
        <f>67.1</f>
        <v>67.099999999999994</v>
      </c>
      <c r="I1608" t="s">
        <v>15</v>
      </c>
      <c r="J1608" t="s">
        <v>596</v>
      </c>
      <c r="K1608" t="str">
        <f>"60023940"</f>
        <v>60023940</v>
      </c>
    </row>
    <row r="1609" spans="1:11" x14ac:dyDescent="0.25">
      <c r="A1609">
        <v>2021</v>
      </c>
      <c r="B1609" t="s">
        <v>9539</v>
      </c>
      <c r="C1609" t="s">
        <v>9540</v>
      </c>
      <c r="D1609" t="s">
        <v>19</v>
      </c>
      <c r="E1609" t="s">
        <v>20</v>
      </c>
      <c r="F1609" t="str">
        <f>"43615-6453"</f>
        <v>43615-6453</v>
      </c>
      <c r="G1609" t="str">
        <f>"Swucf4621"</f>
        <v>Swucf4621</v>
      </c>
      <c r="H1609" s="2">
        <f>20.3</f>
        <v>20.3</v>
      </c>
      <c r="I1609" t="s">
        <v>15</v>
      </c>
      <c r="J1609" t="s">
        <v>81</v>
      </c>
      <c r="K1609" t="str">
        <f>"6290828"</f>
        <v>6290828</v>
      </c>
    </row>
    <row r="1610" spans="1:11" x14ac:dyDescent="0.25">
      <c r="A1610">
        <v>2021</v>
      </c>
      <c r="B1610" t="s">
        <v>9555</v>
      </c>
      <c r="C1610" t="s">
        <v>9556</v>
      </c>
      <c r="D1610" t="s">
        <v>19</v>
      </c>
      <c r="E1610" t="s">
        <v>20</v>
      </c>
      <c r="F1610" t="str">
        <f>"43608"</f>
        <v>43608</v>
      </c>
      <c r="G1610" t="str">
        <f>"Pio448069"</f>
        <v>Pio448069</v>
      </c>
      <c r="H1610" s="2">
        <f>34</f>
        <v>34</v>
      </c>
      <c r="I1610" t="s">
        <v>86</v>
      </c>
      <c r="J1610" t="s">
        <v>87</v>
      </c>
      <c r="K1610" t="str">
        <f>"0"</f>
        <v>0</v>
      </c>
    </row>
    <row r="1611" spans="1:11" x14ac:dyDescent="0.25">
      <c r="A1611">
        <v>2021</v>
      </c>
      <c r="B1611" t="s">
        <v>9557</v>
      </c>
      <c r="C1611" t="s">
        <v>9558</v>
      </c>
      <c r="D1611" t="s">
        <v>19</v>
      </c>
      <c r="E1611" t="s">
        <v>20</v>
      </c>
      <c r="F1611" t="str">
        <f>"43615-3839"</f>
        <v>43615-3839</v>
      </c>
      <c r="G1611" t="str">
        <f>"402019"</f>
        <v>402019</v>
      </c>
      <c r="H1611" s="2">
        <f>50</f>
        <v>50</v>
      </c>
      <c r="I1611" t="s">
        <v>27</v>
      </c>
      <c r="J1611" t="s">
        <v>42</v>
      </c>
      <c r="K1611" t="str">
        <f>"115460"</f>
        <v>115460</v>
      </c>
    </row>
    <row r="1612" spans="1:11" x14ac:dyDescent="0.25">
      <c r="A1612">
        <v>2021</v>
      </c>
      <c r="B1612" t="s">
        <v>9561</v>
      </c>
      <c r="C1612" t="s">
        <v>9562</v>
      </c>
      <c r="D1612" t="s">
        <v>19</v>
      </c>
      <c r="E1612" t="s">
        <v>20</v>
      </c>
      <c r="F1612" t="str">
        <f>"43605"</f>
        <v>43605</v>
      </c>
      <c r="G1612" t="str">
        <f>"Pio448069"</f>
        <v>Pio448069</v>
      </c>
      <c r="H1612" s="2">
        <f>6.82</f>
        <v>6.82</v>
      </c>
      <c r="I1612" t="s">
        <v>86</v>
      </c>
      <c r="J1612" t="s">
        <v>87</v>
      </c>
      <c r="K1612" t="str">
        <f>"0"</f>
        <v>0</v>
      </c>
    </row>
    <row r="1613" spans="1:11" x14ac:dyDescent="0.25">
      <c r="A1613">
        <v>2021</v>
      </c>
      <c r="B1613" t="s">
        <v>9563</v>
      </c>
      <c r="C1613" t="s">
        <v>9564</v>
      </c>
      <c r="D1613" t="s">
        <v>19</v>
      </c>
      <c r="E1613" t="s">
        <v>20</v>
      </c>
      <c r="F1613" t="str">
        <f>"43612"</f>
        <v>43612</v>
      </c>
      <c r="G1613" t="str">
        <f>"Pio448069"</f>
        <v>Pio448069</v>
      </c>
      <c r="H1613" s="2">
        <f>10</f>
        <v>10</v>
      </c>
      <c r="I1613" t="s">
        <v>86</v>
      </c>
      <c r="J1613" t="s">
        <v>87</v>
      </c>
      <c r="K1613" t="str">
        <f>"0"</f>
        <v>0</v>
      </c>
    </row>
    <row r="1614" spans="1:11" x14ac:dyDescent="0.25">
      <c r="A1614">
        <v>2021</v>
      </c>
      <c r="B1614" t="s">
        <v>9563</v>
      </c>
      <c r="C1614" t="s">
        <v>9565</v>
      </c>
      <c r="D1614" t="s">
        <v>9566</v>
      </c>
      <c r="E1614" t="s">
        <v>20</v>
      </c>
      <c r="F1614" t="str">
        <f>"43017"</f>
        <v>43017</v>
      </c>
      <c r="G1614" t="str">
        <f>"402017"</f>
        <v>402017</v>
      </c>
      <c r="H1614" s="2">
        <f>20</f>
        <v>20</v>
      </c>
      <c r="I1614" t="s">
        <v>27</v>
      </c>
      <c r="J1614" t="s">
        <v>212</v>
      </c>
      <c r="K1614" t="str">
        <f>"33593"</f>
        <v>33593</v>
      </c>
    </row>
    <row r="1615" spans="1:11" x14ac:dyDescent="0.25">
      <c r="A1615">
        <v>2021</v>
      </c>
      <c r="B1615" t="s">
        <v>9572</v>
      </c>
      <c r="C1615" t="s">
        <v>9573</v>
      </c>
      <c r="D1615" t="s">
        <v>19</v>
      </c>
      <c r="E1615" t="s">
        <v>20</v>
      </c>
      <c r="F1615" t="str">
        <f>"43604"</f>
        <v>43604</v>
      </c>
      <c r="G1615" t="str">
        <f>"Pio448069"</f>
        <v>Pio448069</v>
      </c>
      <c r="H1615" s="2">
        <f>29</f>
        <v>29</v>
      </c>
      <c r="I1615" t="s">
        <v>86</v>
      </c>
      <c r="J1615" t="s">
        <v>87</v>
      </c>
      <c r="K1615" t="str">
        <f>"0"</f>
        <v>0</v>
      </c>
    </row>
    <row r="1616" spans="1:11" x14ac:dyDescent="0.25">
      <c r="A1616">
        <v>2021</v>
      </c>
      <c r="B1616" t="s">
        <v>9574</v>
      </c>
      <c r="C1616" t="s">
        <v>9575</v>
      </c>
      <c r="D1616" t="s">
        <v>19</v>
      </c>
      <c r="E1616" t="s">
        <v>20</v>
      </c>
      <c r="F1616" t="str">
        <f>"43604"</f>
        <v>43604</v>
      </c>
      <c r="G1616" t="str">
        <f>"Pio448069"</f>
        <v>Pio448069</v>
      </c>
      <c r="H1616" s="2">
        <f>1</f>
        <v>1</v>
      </c>
      <c r="I1616" t="s">
        <v>86</v>
      </c>
      <c r="J1616" t="s">
        <v>87</v>
      </c>
      <c r="K1616" t="str">
        <f>"0"</f>
        <v>0</v>
      </c>
    </row>
    <row r="1617" spans="1:11" x14ac:dyDescent="0.25">
      <c r="A1617">
        <v>2021</v>
      </c>
      <c r="B1617" t="s">
        <v>9576</v>
      </c>
      <c r="C1617" t="s">
        <v>9577</v>
      </c>
      <c r="D1617" t="s">
        <v>19</v>
      </c>
      <c r="E1617" t="s">
        <v>20</v>
      </c>
      <c r="F1617" t="str">
        <f>"43623-2219"</f>
        <v>43623-2219</v>
      </c>
      <c r="G1617" t="str">
        <f>"402019"</f>
        <v>402019</v>
      </c>
      <c r="H1617" s="2">
        <f>10</f>
        <v>10</v>
      </c>
      <c r="I1617" t="s">
        <v>27</v>
      </c>
      <c r="J1617" t="s">
        <v>42</v>
      </c>
      <c r="K1617" t="str">
        <f>"114982"</f>
        <v>114982</v>
      </c>
    </row>
    <row r="1618" spans="1:11" x14ac:dyDescent="0.25">
      <c r="A1618">
        <v>2021</v>
      </c>
      <c r="B1618" t="s">
        <v>9587</v>
      </c>
      <c r="C1618" t="s">
        <v>9588</v>
      </c>
      <c r="D1618" t="s">
        <v>19</v>
      </c>
      <c r="E1618" t="s">
        <v>20</v>
      </c>
      <c r="F1618" t="str">
        <f>"43612-2318"</f>
        <v>43612-2318</v>
      </c>
      <c r="G1618" t="str">
        <f>"402019"</f>
        <v>402019</v>
      </c>
      <c r="H1618" s="2">
        <f>10</f>
        <v>10</v>
      </c>
      <c r="I1618" t="s">
        <v>27</v>
      </c>
      <c r="J1618" t="s">
        <v>42</v>
      </c>
      <c r="K1618" t="str">
        <f>"115870"</f>
        <v>115870</v>
      </c>
    </row>
    <row r="1619" spans="1:11" x14ac:dyDescent="0.25">
      <c r="A1619">
        <v>2021</v>
      </c>
      <c r="B1619" t="s">
        <v>9596</v>
      </c>
      <c r="C1619" t="s">
        <v>9595</v>
      </c>
      <c r="D1619" t="s">
        <v>19</v>
      </c>
      <c r="E1619" t="s">
        <v>20</v>
      </c>
      <c r="F1619" t="str">
        <f>"43613"</f>
        <v>43613</v>
      </c>
      <c r="G1619" t="str">
        <f>"Je092221"</f>
        <v>Je092221</v>
      </c>
      <c r="H1619" s="2">
        <f>35</f>
        <v>35</v>
      </c>
      <c r="I1619" t="s">
        <v>15</v>
      </c>
      <c r="J1619" t="s">
        <v>114</v>
      </c>
      <c r="K1619" t="str">
        <f>"60011452"</f>
        <v>60011452</v>
      </c>
    </row>
    <row r="1620" spans="1:11" x14ac:dyDescent="0.25">
      <c r="A1620">
        <v>2021</v>
      </c>
      <c r="B1620" t="s">
        <v>9597</v>
      </c>
      <c r="C1620" t="s">
        <v>8952</v>
      </c>
      <c r="D1620" t="s">
        <v>19</v>
      </c>
      <c r="E1620" t="s">
        <v>20</v>
      </c>
      <c r="F1620" t="str">
        <f>"43611"</f>
        <v>43611</v>
      </c>
      <c r="G1620" t="str">
        <f>"402063"</f>
        <v>402063</v>
      </c>
      <c r="H1620" s="2">
        <f>68.5</f>
        <v>68.5</v>
      </c>
      <c r="I1620" t="s">
        <v>27</v>
      </c>
      <c r="J1620" t="s">
        <v>71</v>
      </c>
      <c r="K1620" t="str">
        <f>"22022235"</f>
        <v>22022235</v>
      </c>
    </row>
    <row r="1621" spans="1:11" x14ac:dyDescent="0.25">
      <c r="A1621">
        <v>2021</v>
      </c>
      <c r="B1621" t="s">
        <v>9597</v>
      </c>
      <c r="C1621" t="s">
        <v>8952</v>
      </c>
      <c r="D1621" t="s">
        <v>19</v>
      </c>
      <c r="E1621" t="s">
        <v>20</v>
      </c>
      <c r="F1621" t="str">
        <f>"43611"</f>
        <v>43611</v>
      </c>
      <c r="G1621" t="str">
        <f>"402063"</f>
        <v>402063</v>
      </c>
      <c r="H1621" s="2">
        <f>306.79</f>
        <v>306.79000000000002</v>
      </c>
      <c r="I1621" t="s">
        <v>27</v>
      </c>
      <c r="J1621" t="s">
        <v>71</v>
      </c>
      <c r="K1621" t="str">
        <f>"22019063"</f>
        <v>22019063</v>
      </c>
    </row>
    <row r="1622" spans="1:11" x14ac:dyDescent="0.25">
      <c r="A1622">
        <v>2021</v>
      </c>
      <c r="B1622" t="s">
        <v>9609</v>
      </c>
      <c r="C1622" t="s">
        <v>9610</v>
      </c>
      <c r="D1622" t="s">
        <v>19</v>
      </c>
      <c r="E1622" t="s">
        <v>20</v>
      </c>
      <c r="F1622" t="str">
        <f>"43615"</f>
        <v>43615</v>
      </c>
      <c r="G1622" t="str">
        <f>"Swucf4621"</f>
        <v>Swucf4621</v>
      </c>
      <c r="H1622" s="2">
        <f>160</f>
        <v>160</v>
      </c>
      <c r="I1622" t="s">
        <v>15</v>
      </c>
      <c r="J1622" t="s">
        <v>81</v>
      </c>
      <c r="K1622" t="str">
        <f>"6294757"</f>
        <v>6294757</v>
      </c>
    </row>
    <row r="1623" spans="1:11" x14ac:dyDescent="0.25">
      <c r="A1623">
        <v>2021</v>
      </c>
      <c r="B1623" t="s">
        <v>9611</v>
      </c>
      <c r="C1623" t="s">
        <v>9612</v>
      </c>
      <c r="D1623" t="s">
        <v>19</v>
      </c>
      <c r="E1623" t="s">
        <v>20</v>
      </c>
      <c r="F1623" t="str">
        <f>"43607"</f>
        <v>43607</v>
      </c>
      <c r="G1623" t="str">
        <f>"Pio448069"</f>
        <v>Pio448069</v>
      </c>
      <c r="H1623" s="2">
        <f>22.85</f>
        <v>22.85</v>
      </c>
      <c r="I1623" t="s">
        <v>86</v>
      </c>
      <c r="J1623" t="s">
        <v>87</v>
      </c>
      <c r="K1623" t="str">
        <f>"0"</f>
        <v>0</v>
      </c>
    </row>
    <row r="1624" spans="1:11" x14ac:dyDescent="0.25">
      <c r="A1624">
        <v>2021</v>
      </c>
      <c r="B1624" t="s">
        <v>9613</v>
      </c>
      <c r="C1624" t="s">
        <v>9614</v>
      </c>
      <c r="D1624" t="s">
        <v>19</v>
      </c>
      <c r="E1624" t="s">
        <v>20</v>
      </c>
      <c r="F1624" t="str">
        <f>"43609"</f>
        <v>43609</v>
      </c>
      <c r="G1624" t="str">
        <f>"Pio448069"</f>
        <v>Pio448069</v>
      </c>
      <c r="H1624" s="2">
        <f>0.26</f>
        <v>0.26</v>
      </c>
      <c r="I1624" t="s">
        <v>86</v>
      </c>
      <c r="J1624" t="s">
        <v>87</v>
      </c>
      <c r="K1624" t="str">
        <f>"0"</f>
        <v>0</v>
      </c>
    </row>
    <row r="1625" spans="1:11" x14ac:dyDescent="0.25">
      <c r="A1625">
        <v>2021</v>
      </c>
      <c r="B1625" t="s">
        <v>9626</v>
      </c>
      <c r="C1625" t="s">
        <v>9627</v>
      </c>
      <c r="D1625" t="s">
        <v>19</v>
      </c>
      <c r="E1625" t="s">
        <v>20</v>
      </c>
      <c r="F1625" t="str">
        <f>"43609-3011"</f>
        <v>43609-3011</v>
      </c>
      <c r="G1625" t="str">
        <f>"402019"</f>
        <v>402019</v>
      </c>
      <c r="H1625" s="2">
        <f>10</f>
        <v>10</v>
      </c>
      <c r="I1625" t="s">
        <v>27</v>
      </c>
      <c r="J1625" t="s">
        <v>42</v>
      </c>
      <c r="K1625" t="str">
        <f>"111750"</f>
        <v>111750</v>
      </c>
    </row>
    <row r="1626" spans="1:11" x14ac:dyDescent="0.25">
      <c r="A1626">
        <v>2021</v>
      </c>
      <c r="B1626" t="s">
        <v>9632</v>
      </c>
      <c r="C1626" t="s">
        <v>9633</v>
      </c>
      <c r="D1626" t="s">
        <v>19</v>
      </c>
      <c r="E1626" t="s">
        <v>20</v>
      </c>
      <c r="F1626" t="str">
        <f>"43615"</f>
        <v>43615</v>
      </c>
      <c r="G1626" t="str">
        <f>"389596"</f>
        <v>389596</v>
      </c>
      <c r="H1626" s="2">
        <f>61</f>
        <v>61</v>
      </c>
      <c r="I1626" t="s">
        <v>148</v>
      </c>
      <c r="J1626" t="s">
        <v>9634</v>
      </c>
      <c r="K1626" t="str">
        <f>"24880"</f>
        <v>24880</v>
      </c>
    </row>
    <row r="1627" spans="1:11" x14ac:dyDescent="0.25">
      <c r="A1627">
        <v>2021</v>
      </c>
      <c r="B1627" t="s">
        <v>9645</v>
      </c>
      <c r="C1627" t="s">
        <v>9646</v>
      </c>
      <c r="D1627" t="s">
        <v>19</v>
      </c>
      <c r="E1627" t="s">
        <v>20</v>
      </c>
      <c r="F1627" t="str">
        <f>"43613-2651"</f>
        <v>43613-2651</v>
      </c>
      <c r="G1627" t="str">
        <f>"402019"</f>
        <v>402019</v>
      </c>
      <c r="H1627" s="2">
        <f>40</f>
        <v>40</v>
      </c>
      <c r="I1627" t="s">
        <v>27</v>
      </c>
      <c r="J1627" t="s">
        <v>42</v>
      </c>
      <c r="K1627" t="str">
        <f>"112831"</f>
        <v>112831</v>
      </c>
    </row>
    <row r="1628" spans="1:11" x14ac:dyDescent="0.25">
      <c r="A1628">
        <v>2021</v>
      </c>
      <c r="B1628" t="s">
        <v>9656</v>
      </c>
      <c r="C1628" t="s">
        <v>9657</v>
      </c>
      <c r="D1628" t="s">
        <v>19</v>
      </c>
      <c r="E1628" t="s">
        <v>20</v>
      </c>
      <c r="F1628" t="str">
        <f>"43615-1136"</f>
        <v>43615-1136</v>
      </c>
      <c r="G1628" t="str">
        <f>"402019"</f>
        <v>402019</v>
      </c>
      <c r="H1628" s="2">
        <f>10</f>
        <v>10</v>
      </c>
      <c r="I1628" t="s">
        <v>27</v>
      </c>
      <c r="J1628" t="s">
        <v>42</v>
      </c>
      <c r="K1628" t="str">
        <f>"115259"</f>
        <v>115259</v>
      </c>
    </row>
    <row r="1629" spans="1:11" x14ac:dyDescent="0.25">
      <c r="A1629">
        <v>2021</v>
      </c>
      <c r="B1629" t="s">
        <v>9665</v>
      </c>
      <c r="C1629" t="s">
        <v>9666</v>
      </c>
      <c r="D1629" t="s">
        <v>323</v>
      </c>
      <c r="E1629" t="s">
        <v>20</v>
      </c>
      <c r="F1629" t="str">
        <f>"43571-8504"</f>
        <v>43571-8504</v>
      </c>
      <c r="G1629" t="str">
        <f>"402019"</f>
        <v>402019</v>
      </c>
      <c r="H1629" s="2">
        <f>10</f>
        <v>10</v>
      </c>
      <c r="I1629" t="s">
        <v>27</v>
      </c>
      <c r="J1629" t="s">
        <v>42</v>
      </c>
      <c r="K1629" t="str">
        <f>"111162"</f>
        <v>111162</v>
      </c>
    </row>
    <row r="1630" spans="1:11" x14ac:dyDescent="0.25">
      <c r="A1630">
        <v>2021</v>
      </c>
      <c r="B1630" t="s">
        <v>9673</v>
      </c>
      <c r="C1630" t="s">
        <v>9674</v>
      </c>
      <c r="D1630" t="s">
        <v>19</v>
      </c>
      <c r="E1630" t="s">
        <v>20</v>
      </c>
      <c r="F1630" t="str">
        <f>"43617-1729"</f>
        <v>43617-1729</v>
      </c>
      <c r="G1630" t="str">
        <f>"402019"</f>
        <v>402019</v>
      </c>
      <c r="H1630" s="2">
        <f>10</f>
        <v>10</v>
      </c>
      <c r="I1630" t="s">
        <v>27</v>
      </c>
      <c r="J1630" t="s">
        <v>42</v>
      </c>
      <c r="K1630" t="str">
        <f>"114853"</f>
        <v>114853</v>
      </c>
    </row>
    <row r="1631" spans="1:11" x14ac:dyDescent="0.25">
      <c r="A1631">
        <v>2021</v>
      </c>
      <c r="B1631" t="s">
        <v>9697</v>
      </c>
      <c r="C1631" t="s">
        <v>9698</v>
      </c>
      <c r="D1631" t="s">
        <v>19</v>
      </c>
      <c r="E1631" t="s">
        <v>20</v>
      </c>
      <c r="F1631" t="str">
        <f>"43617"</f>
        <v>43617</v>
      </c>
      <c r="G1631" t="str">
        <f>"Je092221"</f>
        <v>Je092221</v>
      </c>
      <c r="H1631" s="2">
        <f>1500</f>
        <v>1500</v>
      </c>
      <c r="I1631" t="s">
        <v>15</v>
      </c>
      <c r="J1631" t="s">
        <v>114</v>
      </c>
      <c r="K1631" t="str">
        <f>"60011840"</f>
        <v>60011840</v>
      </c>
    </row>
    <row r="1632" spans="1:11" x14ac:dyDescent="0.25">
      <c r="A1632">
        <v>2021</v>
      </c>
      <c r="B1632" t="s">
        <v>9701</v>
      </c>
      <c r="C1632" t="s">
        <v>9702</v>
      </c>
      <c r="D1632" t="s">
        <v>19</v>
      </c>
      <c r="E1632" t="s">
        <v>20</v>
      </c>
      <c r="F1632" t="str">
        <f>"43612"</f>
        <v>43612</v>
      </c>
      <c r="G1632" t="str">
        <f>"402017"</f>
        <v>402017</v>
      </c>
      <c r="H1632" s="2">
        <f>2.41</f>
        <v>2.41</v>
      </c>
      <c r="I1632" t="s">
        <v>27</v>
      </c>
      <c r="J1632" t="s">
        <v>212</v>
      </c>
      <c r="K1632" t="str">
        <f>"34940"</f>
        <v>34940</v>
      </c>
    </row>
    <row r="1633" spans="1:11" x14ac:dyDescent="0.25">
      <c r="A1633">
        <v>2021</v>
      </c>
      <c r="B1633" t="s">
        <v>9715</v>
      </c>
      <c r="C1633" t="s">
        <v>9716</v>
      </c>
      <c r="D1633" t="s">
        <v>9717</v>
      </c>
      <c r="E1633" t="s">
        <v>923</v>
      </c>
      <c r="F1633" t="str">
        <f>"92154"</f>
        <v>92154</v>
      </c>
      <c r="G1633" t="str">
        <f>"402063"</f>
        <v>402063</v>
      </c>
      <c r="H1633" s="2">
        <f>3</f>
        <v>3</v>
      </c>
      <c r="I1633" t="s">
        <v>27</v>
      </c>
      <c r="J1633" t="s">
        <v>71</v>
      </c>
      <c r="K1633" t="str">
        <f>"33007688"</f>
        <v>33007688</v>
      </c>
    </row>
    <row r="1634" spans="1:11" x14ac:dyDescent="0.25">
      <c r="A1634">
        <v>2021</v>
      </c>
      <c r="B1634" t="s">
        <v>9718</v>
      </c>
      <c r="C1634" t="s">
        <v>9719</v>
      </c>
      <c r="D1634" t="s">
        <v>323</v>
      </c>
      <c r="E1634" t="s">
        <v>20</v>
      </c>
      <c r="F1634" t="str">
        <f>"43571-9010"</f>
        <v>43571-9010</v>
      </c>
      <c r="G1634" t="str">
        <f>"402019"</f>
        <v>402019</v>
      </c>
      <c r="H1634" s="2">
        <f>20</f>
        <v>20</v>
      </c>
      <c r="I1634" t="s">
        <v>27</v>
      </c>
      <c r="J1634" t="s">
        <v>42</v>
      </c>
      <c r="K1634" t="str">
        <f>"114312"</f>
        <v>114312</v>
      </c>
    </row>
    <row r="1635" spans="1:11" x14ac:dyDescent="0.25">
      <c r="A1635">
        <v>2021</v>
      </c>
      <c r="B1635" t="s">
        <v>9736</v>
      </c>
      <c r="C1635" t="s">
        <v>438</v>
      </c>
      <c r="D1635" t="s">
        <v>19</v>
      </c>
      <c r="E1635" t="s">
        <v>20</v>
      </c>
      <c r="F1635" t="str">
        <f>"43604"</f>
        <v>43604</v>
      </c>
      <c r="G1635" t="str">
        <f>"Pio448069"</f>
        <v>Pio448069</v>
      </c>
      <c r="H1635" s="2">
        <f>0.19</f>
        <v>0.19</v>
      </c>
      <c r="I1635" t="s">
        <v>86</v>
      </c>
      <c r="J1635" t="s">
        <v>87</v>
      </c>
      <c r="K1635" t="str">
        <f>"0"</f>
        <v>0</v>
      </c>
    </row>
    <row r="1636" spans="1:11" x14ac:dyDescent="0.25">
      <c r="A1636">
        <v>2021</v>
      </c>
      <c r="B1636" t="s">
        <v>9740</v>
      </c>
      <c r="C1636" t="s">
        <v>9741</v>
      </c>
      <c r="D1636" t="s">
        <v>64</v>
      </c>
      <c r="E1636" t="s">
        <v>20</v>
      </c>
      <c r="F1636" t="str">
        <f>"43566-1124"</f>
        <v>43566-1124</v>
      </c>
      <c r="G1636" t="str">
        <f>"Swucf4621"</f>
        <v>Swucf4621</v>
      </c>
      <c r="H1636" s="2">
        <f>42.53</f>
        <v>42.53</v>
      </c>
      <c r="I1636" t="s">
        <v>15</v>
      </c>
      <c r="J1636" t="s">
        <v>81</v>
      </c>
      <c r="K1636" t="str">
        <f>"6293984"</f>
        <v>6293984</v>
      </c>
    </row>
    <row r="1637" spans="1:11" x14ac:dyDescent="0.25">
      <c r="A1637">
        <v>2021</v>
      </c>
      <c r="B1637" t="s">
        <v>9752</v>
      </c>
      <c r="C1637" t="s">
        <v>9753</v>
      </c>
      <c r="D1637" t="s">
        <v>128</v>
      </c>
      <c r="E1637" t="s">
        <v>20</v>
      </c>
      <c r="F1637" t="str">
        <f>"43619"</f>
        <v>43619</v>
      </c>
      <c r="G1637" t="str">
        <f>"Pio448069"</f>
        <v>Pio448069</v>
      </c>
      <c r="H1637" s="2">
        <f>76</f>
        <v>76</v>
      </c>
      <c r="I1637" t="s">
        <v>86</v>
      </c>
      <c r="J1637" t="s">
        <v>87</v>
      </c>
      <c r="K1637" t="str">
        <f>"0"</f>
        <v>0</v>
      </c>
    </row>
    <row r="1638" spans="1:11" x14ac:dyDescent="0.25">
      <c r="A1638">
        <v>2021</v>
      </c>
      <c r="B1638" t="s">
        <v>9754</v>
      </c>
      <c r="C1638" t="s">
        <v>9755</v>
      </c>
      <c r="D1638" t="s">
        <v>19</v>
      </c>
      <c r="E1638" t="s">
        <v>20</v>
      </c>
      <c r="F1638" t="str">
        <f>"43609-2727"</f>
        <v>43609-2727</v>
      </c>
      <c r="G1638" t="str">
        <f>"402019"</f>
        <v>402019</v>
      </c>
      <c r="H1638" s="2">
        <f>10</f>
        <v>10</v>
      </c>
      <c r="I1638" t="s">
        <v>27</v>
      </c>
      <c r="J1638" t="s">
        <v>42</v>
      </c>
      <c r="K1638" t="str">
        <f>"111856"</f>
        <v>111856</v>
      </c>
    </row>
    <row r="1639" spans="1:11" x14ac:dyDescent="0.25">
      <c r="A1639">
        <v>2021</v>
      </c>
      <c r="B1639" t="s">
        <v>9758</v>
      </c>
      <c r="C1639" t="s">
        <v>9759</v>
      </c>
      <c r="D1639" t="s">
        <v>19</v>
      </c>
      <c r="E1639" t="s">
        <v>20</v>
      </c>
      <c r="F1639" t="str">
        <f>"43604"</f>
        <v>43604</v>
      </c>
      <c r="G1639" t="str">
        <f>"402017"</f>
        <v>402017</v>
      </c>
      <c r="H1639" s="2">
        <f>20</f>
        <v>20</v>
      </c>
      <c r="I1639" t="s">
        <v>27</v>
      </c>
      <c r="J1639" t="s">
        <v>212</v>
      </c>
      <c r="K1639" t="str">
        <f>"33512"</f>
        <v>33512</v>
      </c>
    </row>
    <row r="1640" spans="1:11" x14ac:dyDescent="0.25">
      <c r="A1640">
        <v>2021</v>
      </c>
      <c r="B1640" t="s">
        <v>9760</v>
      </c>
      <c r="C1640" t="s">
        <v>9761</v>
      </c>
      <c r="D1640" t="s">
        <v>19</v>
      </c>
      <c r="E1640" t="s">
        <v>20</v>
      </c>
      <c r="F1640" t="str">
        <f>"43612"</f>
        <v>43612</v>
      </c>
      <c r="G1640" t="str">
        <f>"402018"</f>
        <v>402018</v>
      </c>
      <c r="H1640" s="2">
        <f>5.56</f>
        <v>5.56</v>
      </c>
      <c r="I1640" t="s">
        <v>27</v>
      </c>
      <c r="J1640" t="s">
        <v>171</v>
      </c>
      <c r="K1640" t="str">
        <f>"516301"</f>
        <v>516301</v>
      </c>
    </row>
    <row r="1641" spans="1:11" x14ac:dyDescent="0.25">
      <c r="A1641">
        <v>2021</v>
      </c>
      <c r="B1641" t="s">
        <v>9760</v>
      </c>
      <c r="C1641" t="s">
        <v>9761</v>
      </c>
      <c r="D1641" t="s">
        <v>19</v>
      </c>
      <c r="E1641" t="s">
        <v>20</v>
      </c>
      <c r="F1641" t="str">
        <f>"43612"</f>
        <v>43612</v>
      </c>
      <c r="G1641" t="str">
        <f>"402018"</f>
        <v>402018</v>
      </c>
      <c r="H1641" s="2">
        <f>5.56</f>
        <v>5.56</v>
      </c>
      <c r="I1641" t="s">
        <v>27</v>
      </c>
      <c r="J1641" t="s">
        <v>171</v>
      </c>
      <c r="K1641" t="str">
        <f>"516037"</f>
        <v>516037</v>
      </c>
    </row>
    <row r="1642" spans="1:11" x14ac:dyDescent="0.25">
      <c r="A1642">
        <v>2021</v>
      </c>
      <c r="B1642" t="s">
        <v>9760</v>
      </c>
      <c r="C1642" t="s">
        <v>9761</v>
      </c>
      <c r="D1642" t="s">
        <v>19</v>
      </c>
      <c r="E1642" t="s">
        <v>20</v>
      </c>
      <c r="F1642" t="str">
        <f>"43612"</f>
        <v>43612</v>
      </c>
      <c r="G1642" t="str">
        <f>"402018"</f>
        <v>402018</v>
      </c>
      <c r="H1642" s="2">
        <f>5.56</f>
        <v>5.56</v>
      </c>
      <c r="I1642" t="s">
        <v>27</v>
      </c>
      <c r="J1642" t="s">
        <v>171</v>
      </c>
      <c r="K1642" t="str">
        <f>"517217"</f>
        <v>517217</v>
      </c>
    </row>
    <row r="1643" spans="1:11" x14ac:dyDescent="0.25">
      <c r="A1643">
        <v>2021</v>
      </c>
      <c r="B1643" t="s">
        <v>9760</v>
      </c>
      <c r="C1643" t="s">
        <v>9761</v>
      </c>
      <c r="D1643" t="s">
        <v>19</v>
      </c>
      <c r="E1643" t="s">
        <v>20</v>
      </c>
      <c r="F1643" t="str">
        <f>"43612"</f>
        <v>43612</v>
      </c>
      <c r="G1643" t="str">
        <f>"402018"</f>
        <v>402018</v>
      </c>
      <c r="H1643" s="2">
        <f>38.89</f>
        <v>38.89</v>
      </c>
      <c r="I1643" t="s">
        <v>27</v>
      </c>
      <c r="J1643" t="s">
        <v>171</v>
      </c>
      <c r="K1643" t="str">
        <f>"517580"</f>
        <v>517580</v>
      </c>
    </row>
    <row r="1644" spans="1:11" x14ac:dyDescent="0.25">
      <c r="A1644">
        <v>2021</v>
      </c>
      <c r="B1644" t="s">
        <v>9760</v>
      </c>
      <c r="C1644" t="s">
        <v>9761</v>
      </c>
      <c r="D1644" t="s">
        <v>19</v>
      </c>
      <c r="E1644" t="s">
        <v>20</v>
      </c>
      <c r="F1644" t="str">
        <f>"43612"</f>
        <v>43612</v>
      </c>
      <c r="G1644" t="str">
        <f>"402018"</f>
        <v>402018</v>
      </c>
      <c r="H1644" s="2">
        <f>5.56</f>
        <v>5.56</v>
      </c>
      <c r="I1644" t="s">
        <v>27</v>
      </c>
      <c r="J1644" t="s">
        <v>171</v>
      </c>
      <c r="K1644" t="str">
        <f>"515761"</f>
        <v>515761</v>
      </c>
    </row>
    <row r="1645" spans="1:11" x14ac:dyDescent="0.25">
      <c r="A1645">
        <v>2021</v>
      </c>
      <c r="B1645" t="s">
        <v>9789</v>
      </c>
      <c r="C1645" t="s">
        <v>9790</v>
      </c>
      <c r="D1645" t="s">
        <v>323</v>
      </c>
      <c r="E1645" t="s">
        <v>20</v>
      </c>
      <c r="F1645" t="str">
        <f>"43571-9646"</f>
        <v>43571-9646</v>
      </c>
      <c r="G1645" t="str">
        <f>"402019"</f>
        <v>402019</v>
      </c>
      <c r="H1645" s="2">
        <f>10</f>
        <v>10</v>
      </c>
      <c r="I1645" t="s">
        <v>27</v>
      </c>
      <c r="J1645" t="s">
        <v>42</v>
      </c>
      <c r="K1645" t="str">
        <f>"114683"</f>
        <v>114683</v>
      </c>
    </row>
    <row r="1646" spans="1:11" x14ac:dyDescent="0.25">
      <c r="A1646">
        <v>2021</v>
      </c>
      <c r="B1646" t="s">
        <v>9791</v>
      </c>
      <c r="C1646" t="s">
        <v>9792</v>
      </c>
      <c r="D1646" t="s">
        <v>19</v>
      </c>
      <c r="E1646" t="s">
        <v>20</v>
      </c>
      <c r="F1646" t="str">
        <f>"43615-5963"</f>
        <v>43615-5963</v>
      </c>
      <c r="G1646" t="str">
        <f>"402017"</f>
        <v>402017</v>
      </c>
      <c r="H1646" s="2">
        <f>42.5</f>
        <v>42.5</v>
      </c>
      <c r="I1646" t="s">
        <v>27</v>
      </c>
      <c r="J1646" t="s">
        <v>212</v>
      </c>
      <c r="K1646" t="str">
        <f>"34558"</f>
        <v>34558</v>
      </c>
    </row>
    <row r="1647" spans="1:11" x14ac:dyDescent="0.25">
      <c r="A1647">
        <v>2021</v>
      </c>
      <c r="B1647" t="s">
        <v>9805</v>
      </c>
      <c r="C1647" t="s">
        <v>9806</v>
      </c>
      <c r="D1647" t="s">
        <v>19</v>
      </c>
      <c r="E1647" t="s">
        <v>20</v>
      </c>
      <c r="F1647" t="str">
        <f>"43615-3620"</f>
        <v>43615-3620</v>
      </c>
      <c r="G1647" t="str">
        <f>"Swucf4621"</f>
        <v>Swucf4621</v>
      </c>
      <c r="H1647" s="2">
        <f>18.49</f>
        <v>18.489999999999998</v>
      </c>
      <c r="I1647" t="s">
        <v>15</v>
      </c>
      <c r="J1647" t="s">
        <v>81</v>
      </c>
      <c r="K1647" t="str">
        <f>"6296254"</f>
        <v>6296254</v>
      </c>
    </row>
    <row r="1648" spans="1:11" x14ac:dyDescent="0.25">
      <c r="A1648">
        <v>2021</v>
      </c>
      <c r="B1648" t="s">
        <v>9811</v>
      </c>
      <c r="C1648" t="s">
        <v>9812</v>
      </c>
      <c r="D1648" t="s">
        <v>7070</v>
      </c>
      <c r="E1648" t="s">
        <v>14</v>
      </c>
      <c r="F1648" t="str">
        <f>"48103"</f>
        <v>48103</v>
      </c>
      <c r="G1648" t="str">
        <f>"Bwucf4621"</f>
        <v>Bwucf4621</v>
      </c>
      <c r="H1648" s="2">
        <f>1008</f>
        <v>1008</v>
      </c>
      <c r="I1648" t="s">
        <v>15</v>
      </c>
      <c r="J1648" t="s">
        <v>295</v>
      </c>
      <c r="K1648" t="str">
        <f>"01449698"</f>
        <v>01449698</v>
      </c>
    </row>
    <row r="1649" spans="1:11" x14ac:dyDescent="0.25">
      <c r="A1649">
        <v>2021</v>
      </c>
      <c r="B1649" t="s">
        <v>9813</v>
      </c>
      <c r="C1649" t="s">
        <v>9814</v>
      </c>
      <c r="D1649" t="s">
        <v>19</v>
      </c>
      <c r="E1649" t="s">
        <v>20</v>
      </c>
      <c r="F1649" t="str">
        <f>"43615-7044"</f>
        <v>43615-7044</v>
      </c>
      <c r="G1649" t="str">
        <f>"402019"</f>
        <v>402019</v>
      </c>
      <c r="H1649" s="2">
        <f>10</f>
        <v>10</v>
      </c>
      <c r="I1649" t="s">
        <v>27</v>
      </c>
      <c r="J1649" t="s">
        <v>42</v>
      </c>
      <c r="K1649" t="str">
        <f>"111312"</f>
        <v>111312</v>
      </c>
    </row>
    <row r="1650" spans="1:11" x14ac:dyDescent="0.25">
      <c r="A1650">
        <v>2021</v>
      </c>
      <c r="B1650" t="s">
        <v>9815</v>
      </c>
      <c r="C1650" t="s">
        <v>9816</v>
      </c>
      <c r="D1650" t="s">
        <v>19</v>
      </c>
      <c r="E1650" t="s">
        <v>20</v>
      </c>
      <c r="F1650" t="str">
        <f>"43610"</f>
        <v>43610</v>
      </c>
      <c r="G1650" t="str">
        <f>"Pio448069"</f>
        <v>Pio448069</v>
      </c>
      <c r="H1650" s="2">
        <f>1</f>
        <v>1</v>
      </c>
      <c r="I1650" t="s">
        <v>86</v>
      </c>
      <c r="J1650" t="s">
        <v>87</v>
      </c>
      <c r="K1650" t="str">
        <f>"0"</f>
        <v>0</v>
      </c>
    </row>
    <row r="1651" spans="1:11" x14ac:dyDescent="0.25">
      <c r="A1651">
        <v>2021</v>
      </c>
      <c r="B1651" t="s">
        <v>9827</v>
      </c>
      <c r="C1651" t="s">
        <v>9828</v>
      </c>
      <c r="D1651" t="s">
        <v>9829</v>
      </c>
      <c r="E1651" t="s">
        <v>20</v>
      </c>
      <c r="F1651" t="str">
        <f>"45322-8731"</f>
        <v>45322-8731</v>
      </c>
      <c r="G1651" t="str">
        <f>"Swucf4621"</f>
        <v>Swucf4621</v>
      </c>
      <c r="H1651" s="2">
        <f>129.43</f>
        <v>129.43</v>
      </c>
      <c r="I1651" t="s">
        <v>15</v>
      </c>
      <c r="J1651" t="s">
        <v>81</v>
      </c>
      <c r="K1651" t="str">
        <f>"6293997"</f>
        <v>6293997</v>
      </c>
    </row>
    <row r="1652" spans="1:11" x14ac:dyDescent="0.25">
      <c r="A1652">
        <v>2021</v>
      </c>
      <c r="B1652" t="s">
        <v>9832</v>
      </c>
      <c r="C1652" t="s">
        <v>9833</v>
      </c>
      <c r="D1652" t="s">
        <v>19</v>
      </c>
      <c r="E1652" t="s">
        <v>20</v>
      </c>
      <c r="F1652" t="str">
        <f>"43609"</f>
        <v>43609</v>
      </c>
      <c r="G1652" t="str">
        <f>"Pio448069"</f>
        <v>Pio448069</v>
      </c>
      <c r="H1652" s="2">
        <f>20</f>
        <v>20</v>
      </c>
      <c r="I1652" t="s">
        <v>86</v>
      </c>
      <c r="J1652" t="s">
        <v>87</v>
      </c>
      <c r="K1652" t="str">
        <f>"0"</f>
        <v>0</v>
      </c>
    </row>
    <row r="1653" spans="1:11" x14ac:dyDescent="0.25">
      <c r="A1653">
        <v>2021</v>
      </c>
      <c r="B1653" t="s">
        <v>9834</v>
      </c>
      <c r="C1653" t="s">
        <v>9835</v>
      </c>
      <c r="D1653" t="s">
        <v>512</v>
      </c>
      <c r="E1653" t="s">
        <v>20</v>
      </c>
      <c r="F1653" t="str">
        <f>"43512"</f>
        <v>43512</v>
      </c>
      <c r="G1653" t="str">
        <f>"Pio448069"</f>
        <v>Pio448069</v>
      </c>
      <c r="H1653" s="2">
        <f>73.81</f>
        <v>73.81</v>
      </c>
      <c r="I1653" t="s">
        <v>86</v>
      </c>
      <c r="J1653" t="s">
        <v>87</v>
      </c>
      <c r="K1653" t="str">
        <f>"0"</f>
        <v>0</v>
      </c>
    </row>
    <row r="1654" spans="1:11" x14ac:dyDescent="0.25">
      <c r="A1654">
        <v>2021</v>
      </c>
      <c r="B1654" t="s">
        <v>9838</v>
      </c>
      <c r="C1654" t="s">
        <v>9839</v>
      </c>
      <c r="D1654" t="s">
        <v>19</v>
      </c>
      <c r="E1654" t="s">
        <v>20</v>
      </c>
      <c r="F1654" t="str">
        <f>"43607"</f>
        <v>43607</v>
      </c>
      <c r="G1654" t="str">
        <f>"402017"</f>
        <v>402017</v>
      </c>
      <c r="H1654" s="2">
        <f>8.35</f>
        <v>8.35</v>
      </c>
      <c r="I1654" t="s">
        <v>27</v>
      </c>
      <c r="J1654" t="s">
        <v>212</v>
      </c>
      <c r="K1654" t="str">
        <f>"35795"</f>
        <v>35795</v>
      </c>
    </row>
    <row r="1655" spans="1:11" x14ac:dyDescent="0.25">
      <c r="A1655">
        <v>2021</v>
      </c>
      <c r="B1655" t="s">
        <v>9845</v>
      </c>
      <c r="C1655" t="s">
        <v>9846</v>
      </c>
      <c r="D1655" t="s">
        <v>50</v>
      </c>
      <c r="E1655" t="s">
        <v>20</v>
      </c>
      <c r="F1655" t="str">
        <f>"43560"</f>
        <v>43560</v>
      </c>
      <c r="G1655" t="str">
        <f>"402018"</f>
        <v>402018</v>
      </c>
      <c r="H1655" s="2">
        <f>9.08</f>
        <v>9.08</v>
      </c>
      <c r="I1655" t="s">
        <v>27</v>
      </c>
      <c r="J1655" t="s">
        <v>171</v>
      </c>
      <c r="K1655" t="str">
        <f>"517704"</f>
        <v>517704</v>
      </c>
    </row>
    <row r="1656" spans="1:11" x14ac:dyDescent="0.25">
      <c r="A1656">
        <v>2021</v>
      </c>
      <c r="B1656" t="s">
        <v>9853</v>
      </c>
      <c r="C1656" t="s">
        <v>9854</v>
      </c>
      <c r="D1656" t="s">
        <v>19</v>
      </c>
      <c r="E1656" t="s">
        <v>20</v>
      </c>
      <c r="F1656" t="str">
        <f>"43605"</f>
        <v>43605</v>
      </c>
      <c r="G1656" t="str">
        <f>"402018"</f>
        <v>402018</v>
      </c>
      <c r="H1656" s="2">
        <f>25</f>
        <v>25</v>
      </c>
      <c r="I1656" t="s">
        <v>27</v>
      </c>
      <c r="J1656" t="s">
        <v>171</v>
      </c>
      <c r="K1656" t="str">
        <f>"517766"</f>
        <v>517766</v>
      </c>
    </row>
    <row r="1657" spans="1:11" x14ac:dyDescent="0.25">
      <c r="A1657">
        <v>2021</v>
      </c>
      <c r="B1657" t="s">
        <v>9853</v>
      </c>
      <c r="C1657" t="s">
        <v>9854</v>
      </c>
      <c r="D1657" t="s">
        <v>19</v>
      </c>
      <c r="E1657" t="s">
        <v>20</v>
      </c>
      <c r="F1657" t="str">
        <f>"43605"</f>
        <v>43605</v>
      </c>
      <c r="G1657" t="str">
        <f>"402018"</f>
        <v>402018</v>
      </c>
      <c r="H1657" s="2">
        <f>25</f>
        <v>25</v>
      </c>
      <c r="I1657" t="s">
        <v>27</v>
      </c>
      <c r="J1657" t="s">
        <v>171</v>
      </c>
      <c r="K1657" t="str">
        <f>"517357"</f>
        <v>517357</v>
      </c>
    </row>
    <row r="1658" spans="1:11" x14ac:dyDescent="0.25">
      <c r="A1658">
        <v>2021</v>
      </c>
      <c r="B1658" t="s">
        <v>9853</v>
      </c>
      <c r="C1658" t="s">
        <v>9854</v>
      </c>
      <c r="D1658" t="s">
        <v>19</v>
      </c>
      <c r="E1658" t="s">
        <v>20</v>
      </c>
      <c r="F1658" t="str">
        <f>"43605"</f>
        <v>43605</v>
      </c>
      <c r="G1658" t="str">
        <f>"402018"</f>
        <v>402018</v>
      </c>
      <c r="H1658" s="2">
        <f>30</f>
        <v>30</v>
      </c>
      <c r="I1658" t="s">
        <v>27</v>
      </c>
      <c r="J1658" t="s">
        <v>171</v>
      </c>
      <c r="K1658" t="str">
        <f>"518263"</f>
        <v>518263</v>
      </c>
    </row>
    <row r="1659" spans="1:11" x14ac:dyDescent="0.25">
      <c r="A1659">
        <v>2021</v>
      </c>
      <c r="B1659" t="s">
        <v>9855</v>
      </c>
      <c r="C1659" t="s">
        <v>9856</v>
      </c>
      <c r="D1659" t="s">
        <v>19</v>
      </c>
      <c r="E1659" t="s">
        <v>20</v>
      </c>
      <c r="F1659" t="str">
        <f>"43609"</f>
        <v>43609</v>
      </c>
      <c r="G1659" t="str">
        <f>"Pio448069"</f>
        <v>Pio448069</v>
      </c>
      <c r="H1659" s="2">
        <f>5</f>
        <v>5</v>
      </c>
      <c r="I1659" t="s">
        <v>86</v>
      </c>
      <c r="J1659" t="s">
        <v>87</v>
      </c>
      <c r="K1659" t="str">
        <f>"0"</f>
        <v>0</v>
      </c>
    </row>
    <row r="1660" spans="1:11" x14ac:dyDescent="0.25">
      <c r="A1660">
        <v>2021</v>
      </c>
      <c r="B1660" t="s">
        <v>9862</v>
      </c>
      <c r="C1660" t="s">
        <v>153</v>
      </c>
      <c r="D1660" t="s">
        <v>19</v>
      </c>
      <c r="E1660" t="s">
        <v>20</v>
      </c>
      <c r="F1660" t="str">
        <f>"43604"</f>
        <v>43604</v>
      </c>
      <c r="G1660" t="str">
        <f>"Pio448069"</f>
        <v>Pio448069</v>
      </c>
      <c r="H1660" s="2">
        <f>8.81</f>
        <v>8.81</v>
      </c>
      <c r="I1660" t="s">
        <v>86</v>
      </c>
      <c r="J1660" t="s">
        <v>87</v>
      </c>
      <c r="K1660" t="str">
        <f>"0"</f>
        <v>0</v>
      </c>
    </row>
    <row r="1661" spans="1:11" x14ac:dyDescent="0.25">
      <c r="A1661">
        <v>2021</v>
      </c>
      <c r="B1661" t="s">
        <v>9871</v>
      </c>
      <c r="C1661" t="s">
        <v>9872</v>
      </c>
      <c r="D1661" t="s">
        <v>19</v>
      </c>
      <c r="E1661" t="s">
        <v>20</v>
      </c>
      <c r="F1661" t="str">
        <f>"43606-3010"</f>
        <v>43606-3010</v>
      </c>
      <c r="G1661" t="str">
        <f>"402019"</f>
        <v>402019</v>
      </c>
      <c r="H1661" s="2">
        <f>20</f>
        <v>20</v>
      </c>
      <c r="I1661" t="s">
        <v>27</v>
      </c>
      <c r="J1661" t="s">
        <v>42</v>
      </c>
      <c r="K1661" t="str">
        <f>"115853"</f>
        <v>115853</v>
      </c>
    </row>
    <row r="1662" spans="1:11" x14ac:dyDescent="0.25">
      <c r="A1662">
        <v>2021</v>
      </c>
      <c r="B1662" t="s">
        <v>9873</v>
      </c>
      <c r="C1662" t="s">
        <v>9874</v>
      </c>
      <c r="D1662" t="s">
        <v>58</v>
      </c>
      <c r="E1662" t="s">
        <v>20</v>
      </c>
      <c r="F1662" t="str">
        <f>"43616-4149"</f>
        <v>43616-4149</v>
      </c>
      <c r="G1662" t="str">
        <f>"402019"</f>
        <v>402019</v>
      </c>
      <c r="H1662" s="2">
        <f>10</f>
        <v>10</v>
      </c>
      <c r="I1662" t="s">
        <v>27</v>
      </c>
      <c r="J1662" t="s">
        <v>42</v>
      </c>
      <c r="K1662" t="str">
        <f>"114634"</f>
        <v>114634</v>
      </c>
    </row>
    <row r="1663" spans="1:11" x14ac:dyDescent="0.25">
      <c r="A1663">
        <v>2021</v>
      </c>
      <c r="B1663" t="s">
        <v>9877</v>
      </c>
      <c r="C1663" t="s">
        <v>9878</v>
      </c>
      <c r="D1663" t="s">
        <v>19</v>
      </c>
      <c r="E1663" t="s">
        <v>20</v>
      </c>
      <c r="F1663" t="str">
        <f>"43611-2543"</f>
        <v>43611-2543</v>
      </c>
      <c r="G1663" t="str">
        <f>"402019"</f>
        <v>402019</v>
      </c>
      <c r="H1663" s="2">
        <f>10</f>
        <v>10</v>
      </c>
      <c r="I1663" t="s">
        <v>27</v>
      </c>
      <c r="J1663" t="s">
        <v>42</v>
      </c>
      <c r="K1663" t="str">
        <f>"115600"</f>
        <v>115600</v>
      </c>
    </row>
    <row r="1664" spans="1:11" x14ac:dyDescent="0.25">
      <c r="A1664">
        <v>2021</v>
      </c>
      <c r="B1664" t="s">
        <v>9881</v>
      </c>
      <c r="C1664" t="s">
        <v>9882</v>
      </c>
      <c r="D1664" t="s">
        <v>1299</v>
      </c>
      <c r="E1664" t="s">
        <v>20</v>
      </c>
      <c r="F1664" t="str">
        <f>"43504"</f>
        <v>43504</v>
      </c>
      <c r="G1664" t="str">
        <f>"Je092221"</f>
        <v>Je092221</v>
      </c>
      <c r="H1664" s="2">
        <f>35</f>
        <v>35</v>
      </c>
      <c r="I1664" t="s">
        <v>15</v>
      </c>
      <c r="J1664" t="s">
        <v>114</v>
      </c>
      <c r="K1664" t="str">
        <f>"60011483"</f>
        <v>60011483</v>
      </c>
    </row>
    <row r="1665" spans="1:11" x14ac:dyDescent="0.25">
      <c r="A1665">
        <v>2021</v>
      </c>
      <c r="B1665" t="s">
        <v>9885</v>
      </c>
      <c r="C1665" t="s">
        <v>9886</v>
      </c>
      <c r="D1665" t="s">
        <v>125</v>
      </c>
      <c r="E1665" t="s">
        <v>20</v>
      </c>
      <c r="F1665" t="str">
        <f>"43537-9275"</f>
        <v>43537-9275</v>
      </c>
      <c r="G1665" t="str">
        <f t="shared" ref="G1665:G1670" si="47">"402019"</f>
        <v>402019</v>
      </c>
      <c r="H1665" s="2">
        <f>10</f>
        <v>10</v>
      </c>
      <c r="I1665" t="s">
        <v>27</v>
      </c>
      <c r="J1665" t="s">
        <v>42</v>
      </c>
      <c r="K1665" t="str">
        <f>"111918"</f>
        <v>111918</v>
      </c>
    </row>
    <row r="1666" spans="1:11" x14ac:dyDescent="0.25">
      <c r="A1666">
        <v>2021</v>
      </c>
      <c r="B1666" t="s">
        <v>9887</v>
      </c>
      <c r="C1666" t="s">
        <v>9888</v>
      </c>
      <c r="D1666" t="s">
        <v>58</v>
      </c>
      <c r="E1666" t="s">
        <v>20</v>
      </c>
      <c r="F1666" t="str">
        <f>"43616-4004"</f>
        <v>43616-4004</v>
      </c>
      <c r="G1666" t="str">
        <f t="shared" si="47"/>
        <v>402019</v>
      </c>
      <c r="H1666" s="2">
        <f>10</f>
        <v>10</v>
      </c>
      <c r="I1666" t="s">
        <v>27</v>
      </c>
      <c r="J1666" t="s">
        <v>42</v>
      </c>
      <c r="K1666" t="str">
        <f>"113937"</f>
        <v>113937</v>
      </c>
    </row>
    <row r="1667" spans="1:11" x14ac:dyDescent="0.25">
      <c r="A1667">
        <v>2021</v>
      </c>
      <c r="B1667" t="s">
        <v>9896</v>
      </c>
      <c r="C1667" t="s">
        <v>9897</v>
      </c>
      <c r="D1667" t="s">
        <v>19</v>
      </c>
      <c r="E1667" t="s">
        <v>20</v>
      </c>
      <c r="F1667" t="str">
        <f>"43613-1038"</f>
        <v>43613-1038</v>
      </c>
      <c r="G1667" t="str">
        <f t="shared" si="47"/>
        <v>402019</v>
      </c>
      <c r="H1667" s="2">
        <f>10</f>
        <v>10</v>
      </c>
      <c r="I1667" t="s">
        <v>27</v>
      </c>
      <c r="J1667" t="s">
        <v>42</v>
      </c>
      <c r="K1667" t="str">
        <f>"112200"</f>
        <v>112200</v>
      </c>
    </row>
    <row r="1668" spans="1:11" x14ac:dyDescent="0.25">
      <c r="A1668">
        <v>2021</v>
      </c>
      <c r="B1668" t="s">
        <v>9898</v>
      </c>
      <c r="C1668" t="s">
        <v>9899</v>
      </c>
      <c r="D1668" t="s">
        <v>19</v>
      </c>
      <c r="E1668" t="s">
        <v>20</v>
      </c>
      <c r="F1668" t="str">
        <f>"43623-1133"</f>
        <v>43623-1133</v>
      </c>
      <c r="G1668" t="str">
        <f t="shared" si="47"/>
        <v>402019</v>
      </c>
      <c r="H1668" s="2">
        <f>10</f>
        <v>10</v>
      </c>
      <c r="I1668" t="s">
        <v>27</v>
      </c>
      <c r="J1668" t="s">
        <v>42</v>
      </c>
      <c r="K1668" t="str">
        <f>"115194"</f>
        <v>115194</v>
      </c>
    </row>
    <row r="1669" spans="1:11" x14ac:dyDescent="0.25">
      <c r="A1669">
        <v>2021</v>
      </c>
      <c r="B1669" t="s">
        <v>9902</v>
      </c>
      <c r="C1669" t="s">
        <v>9903</v>
      </c>
      <c r="D1669" t="s">
        <v>19</v>
      </c>
      <c r="E1669" t="s">
        <v>20</v>
      </c>
      <c r="F1669" t="str">
        <f>"43611-1174"</f>
        <v>43611-1174</v>
      </c>
      <c r="G1669" t="str">
        <f t="shared" si="47"/>
        <v>402019</v>
      </c>
      <c r="H1669" s="2">
        <f>10</f>
        <v>10</v>
      </c>
      <c r="I1669" t="s">
        <v>27</v>
      </c>
      <c r="J1669" t="s">
        <v>42</v>
      </c>
      <c r="K1669" t="str">
        <f>"113422"</f>
        <v>113422</v>
      </c>
    </row>
    <row r="1670" spans="1:11" x14ac:dyDescent="0.25">
      <c r="A1670">
        <v>2021</v>
      </c>
      <c r="B1670" t="s">
        <v>9908</v>
      </c>
      <c r="C1670" t="s">
        <v>9909</v>
      </c>
      <c r="D1670" t="s">
        <v>125</v>
      </c>
      <c r="E1670" t="s">
        <v>20</v>
      </c>
      <c r="F1670" t="str">
        <f>"43537-8693"</f>
        <v>43537-8693</v>
      </c>
      <c r="G1670" t="str">
        <f t="shared" si="47"/>
        <v>402019</v>
      </c>
      <c r="H1670" s="2">
        <f>20</f>
        <v>20</v>
      </c>
      <c r="I1670" t="s">
        <v>27</v>
      </c>
      <c r="J1670" t="s">
        <v>42</v>
      </c>
      <c r="K1670" t="str">
        <f>"114441"</f>
        <v>114441</v>
      </c>
    </row>
    <row r="1671" spans="1:11" x14ac:dyDescent="0.25">
      <c r="A1671">
        <v>2021</v>
      </c>
      <c r="B1671" t="s">
        <v>9913</v>
      </c>
      <c r="C1671" t="s">
        <v>9914</v>
      </c>
      <c r="D1671" t="s">
        <v>19</v>
      </c>
      <c r="E1671" t="s">
        <v>20</v>
      </c>
      <c r="F1671" t="str">
        <f>"43606"</f>
        <v>43606</v>
      </c>
      <c r="G1671" t="str">
        <f>"389595"</f>
        <v>389595</v>
      </c>
      <c r="H1671" s="2">
        <f>10</f>
        <v>10</v>
      </c>
      <c r="I1671" t="s">
        <v>148</v>
      </c>
      <c r="J1671" t="s">
        <v>9915</v>
      </c>
      <c r="K1671" t="str">
        <f>"24879"</f>
        <v>24879</v>
      </c>
    </row>
    <row r="1672" spans="1:11" x14ac:dyDescent="0.25">
      <c r="A1672">
        <v>2021</v>
      </c>
      <c r="B1672" t="s">
        <v>9918</v>
      </c>
      <c r="C1672" t="s">
        <v>9919</v>
      </c>
      <c r="D1672" t="s">
        <v>19</v>
      </c>
      <c r="E1672" t="s">
        <v>20</v>
      </c>
      <c r="F1672" t="str">
        <f>"43611"</f>
        <v>43611</v>
      </c>
      <c r="G1672" t="str">
        <f>"397019"</f>
        <v>397019</v>
      </c>
      <c r="H1672" s="2">
        <f>3</f>
        <v>3</v>
      </c>
      <c r="I1672" t="s">
        <v>519</v>
      </c>
      <c r="J1672" t="s">
        <v>519</v>
      </c>
      <c r="K1672" t="str">
        <f>"9882"</f>
        <v>9882</v>
      </c>
    </row>
    <row r="1673" spans="1:11" x14ac:dyDescent="0.25">
      <c r="A1673">
        <v>2021</v>
      </c>
      <c r="B1673" t="s">
        <v>9924</v>
      </c>
      <c r="C1673" t="s">
        <v>9925</v>
      </c>
      <c r="D1673" t="s">
        <v>19</v>
      </c>
      <c r="E1673" t="s">
        <v>20</v>
      </c>
      <c r="F1673" t="str">
        <f>"43623-2805"</f>
        <v>43623-2805</v>
      </c>
      <c r="G1673" t="str">
        <f>"402019"</f>
        <v>402019</v>
      </c>
      <c r="H1673" s="2">
        <f>10</f>
        <v>10</v>
      </c>
      <c r="I1673" t="s">
        <v>27</v>
      </c>
      <c r="J1673" t="s">
        <v>42</v>
      </c>
      <c r="K1673" t="str">
        <f>"112573"</f>
        <v>112573</v>
      </c>
    </row>
    <row r="1674" spans="1:11" x14ac:dyDescent="0.25">
      <c r="A1674">
        <v>2021</v>
      </c>
      <c r="B1674" t="s">
        <v>9926</v>
      </c>
      <c r="C1674" t="s">
        <v>9927</v>
      </c>
      <c r="D1674" t="s">
        <v>19</v>
      </c>
      <c r="E1674" t="s">
        <v>20</v>
      </c>
      <c r="F1674" t="str">
        <f>"43612-2442"</f>
        <v>43612-2442</v>
      </c>
      <c r="G1674" t="str">
        <f>"402019"</f>
        <v>402019</v>
      </c>
      <c r="H1674" s="2">
        <f>10</f>
        <v>10</v>
      </c>
      <c r="I1674" t="s">
        <v>27</v>
      </c>
      <c r="J1674" t="s">
        <v>42</v>
      </c>
      <c r="K1674" t="str">
        <f>"115116"</f>
        <v>115116</v>
      </c>
    </row>
    <row r="1675" spans="1:11" x14ac:dyDescent="0.25">
      <c r="A1675">
        <v>2021</v>
      </c>
      <c r="B1675" t="s">
        <v>9930</v>
      </c>
      <c r="C1675" t="s">
        <v>9931</v>
      </c>
      <c r="D1675" t="s">
        <v>19</v>
      </c>
      <c r="E1675" t="s">
        <v>20</v>
      </c>
      <c r="F1675" t="str">
        <f>"43611-1911"</f>
        <v>43611-1911</v>
      </c>
      <c r="G1675" t="str">
        <f>"402019"</f>
        <v>402019</v>
      </c>
      <c r="H1675" s="2">
        <f>10</f>
        <v>10</v>
      </c>
      <c r="I1675" t="s">
        <v>27</v>
      </c>
      <c r="J1675" t="s">
        <v>42</v>
      </c>
      <c r="K1675" t="str">
        <f>"114751"</f>
        <v>114751</v>
      </c>
    </row>
    <row r="1676" spans="1:11" x14ac:dyDescent="0.25">
      <c r="A1676">
        <v>2021</v>
      </c>
      <c r="B1676" t="s">
        <v>9934</v>
      </c>
      <c r="C1676" t="s">
        <v>9935</v>
      </c>
      <c r="D1676" t="s">
        <v>19</v>
      </c>
      <c r="E1676" t="s">
        <v>20</v>
      </c>
      <c r="F1676" t="str">
        <f>"43608"</f>
        <v>43608</v>
      </c>
      <c r="G1676" t="str">
        <f>"Swucf4621"</f>
        <v>Swucf4621</v>
      </c>
      <c r="H1676" s="2">
        <f>145</f>
        <v>145</v>
      </c>
      <c r="I1676" t="s">
        <v>15</v>
      </c>
      <c r="J1676" t="s">
        <v>81</v>
      </c>
      <c r="K1676" t="str">
        <f>"6297230"</f>
        <v>6297230</v>
      </c>
    </row>
    <row r="1677" spans="1:11" x14ac:dyDescent="0.25">
      <c r="A1677">
        <v>2021</v>
      </c>
      <c r="B1677" t="s">
        <v>9952</v>
      </c>
      <c r="C1677" t="s">
        <v>9953</v>
      </c>
      <c r="D1677" t="s">
        <v>323</v>
      </c>
      <c r="E1677" t="s">
        <v>20</v>
      </c>
      <c r="F1677" t="str">
        <f>"43571-9721"</f>
        <v>43571-9721</v>
      </c>
      <c r="G1677" t="str">
        <f>"402019"</f>
        <v>402019</v>
      </c>
      <c r="H1677" s="2">
        <f>20</f>
        <v>20</v>
      </c>
      <c r="I1677" t="s">
        <v>27</v>
      </c>
      <c r="J1677" t="s">
        <v>42</v>
      </c>
      <c r="K1677" t="str">
        <f>"114262"</f>
        <v>114262</v>
      </c>
    </row>
    <row r="1678" spans="1:11" x14ac:dyDescent="0.25">
      <c r="A1678">
        <v>2021</v>
      </c>
      <c r="B1678" t="s">
        <v>9962</v>
      </c>
      <c r="C1678" t="s">
        <v>4957</v>
      </c>
      <c r="D1678" t="s">
        <v>4958</v>
      </c>
      <c r="E1678" t="s">
        <v>20</v>
      </c>
      <c r="F1678" t="str">
        <f>"43557-9451"</f>
        <v>43557-9451</v>
      </c>
      <c r="G1678" t="str">
        <f>"Swucf4621"</f>
        <v>Swucf4621</v>
      </c>
      <c r="H1678" s="2">
        <f>90</f>
        <v>90</v>
      </c>
      <c r="I1678" t="s">
        <v>15</v>
      </c>
      <c r="J1678" t="s">
        <v>81</v>
      </c>
      <c r="K1678" t="str">
        <f>"6290857"</f>
        <v>6290857</v>
      </c>
    </row>
    <row r="1679" spans="1:11" x14ac:dyDescent="0.25">
      <c r="A1679">
        <v>2021</v>
      </c>
      <c r="B1679" t="s">
        <v>9962</v>
      </c>
      <c r="C1679" t="s">
        <v>4957</v>
      </c>
      <c r="D1679" t="s">
        <v>4958</v>
      </c>
      <c r="E1679" t="s">
        <v>20</v>
      </c>
      <c r="F1679" t="str">
        <f>"43557-9451"</f>
        <v>43557-9451</v>
      </c>
      <c r="G1679" t="str">
        <f>"Swucf4621"</f>
        <v>Swucf4621</v>
      </c>
      <c r="H1679" s="2">
        <f>211.85</f>
        <v>211.85</v>
      </c>
      <c r="I1679" t="s">
        <v>15</v>
      </c>
      <c r="J1679" t="s">
        <v>81</v>
      </c>
      <c r="K1679" t="str">
        <f>"6290858"</f>
        <v>6290858</v>
      </c>
    </row>
    <row r="1680" spans="1:11" x14ac:dyDescent="0.25">
      <c r="A1680">
        <v>2021</v>
      </c>
      <c r="B1680" t="s">
        <v>9963</v>
      </c>
      <c r="C1680" t="s">
        <v>9143</v>
      </c>
      <c r="D1680" t="s">
        <v>323</v>
      </c>
      <c r="E1680" t="s">
        <v>20</v>
      </c>
      <c r="F1680" t="str">
        <f>"43571-9309"</f>
        <v>43571-9309</v>
      </c>
      <c r="G1680" t="str">
        <f>"402019"</f>
        <v>402019</v>
      </c>
      <c r="H1680" s="2">
        <f>10</f>
        <v>10</v>
      </c>
      <c r="I1680" t="s">
        <v>27</v>
      </c>
      <c r="J1680" t="s">
        <v>42</v>
      </c>
      <c r="K1680" t="str">
        <f>"112002"</f>
        <v>112002</v>
      </c>
    </row>
    <row r="1681" spans="1:11" x14ac:dyDescent="0.25">
      <c r="A1681">
        <v>2021</v>
      </c>
      <c r="B1681" t="s">
        <v>9980</v>
      </c>
      <c r="C1681" t="s">
        <v>9981</v>
      </c>
      <c r="D1681" t="s">
        <v>19</v>
      </c>
      <c r="E1681" t="s">
        <v>20</v>
      </c>
      <c r="F1681" t="str">
        <f>"43623"</f>
        <v>43623</v>
      </c>
      <c r="G1681" t="str">
        <f>"402017"</f>
        <v>402017</v>
      </c>
      <c r="H1681" s="2">
        <f>992.83</f>
        <v>992.83</v>
      </c>
      <c r="I1681" t="s">
        <v>27</v>
      </c>
      <c r="J1681" t="s">
        <v>212</v>
      </c>
      <c r="K1681" t="str">
        <f>"33531"</f>
        <v>33531</v>
      </c>
    </row>
    <row r="1682" spans="1:11" x14ac:dyDescent="0.25">
      <c r="A1682">
        <v>2021</v>
      </c>
      <c r="B1682" t="s">
        <v>9984</v>
      </c>
      <c r="C1682" t="s">
        <v>9985</v>
      </c>
      <c r="D1682" t="s">
        <v>1825</v>
      </c>
      <c r="E1682" t="s">
        <v>20</v>
      </c>
      <c r="F1682" t="str">
        <f>"43430"</f>
        <v>43430</v>
      </c>
      <c r="G1682" t="str">
        <f>"402063"</f>
        <v>402063</v>
      </c>
      <c r="H1682" s="2">
        <f>2</f>
        <v>2</v>
      </c>
      <c r="I1682" t="s">
        <v>27</v>
      </c>
      <c r="J1682" t="s">
        <v>71</v>
      </c>
      <c r="K1682" t="str">
        <f>"44007980"</f>
        <v>44007980</v>
      </c>
    </row>
    <row r="1683" spans="1:11" x14ac:dyDescent="0.25">
      <c r="A1683">
        <v>2021</v>
      </c>
      <c r="B1683" t="s">
        <v>9990</v>
      </c>
      <c r="C1683" t="s">
        <v>9991</v>
      </c>
      <c r="D1683" t="s">
        <v>19</v>
      </c>
      <c r="E1683" t="s">
        <v>20</v>
      </c>
      <c r="F1683" t="str">
        <f>"43609-3058"</f>
        <v>43609-3058</v>
      </c>
      <c r="G1683" t="str">
        <f>"402019"</f>
        <v>402019</v>
      </c>
      <c r="H1683" s="2">
        <f>10</f>
        <v>10</v>
      </c>
      <c r="I1683" t="s">
        <v>27</v>
      </c>
      <c r="J1683" t="s">
        <v>42</v>
      </c>
      <c r="K1683" t="str">
        <f>"115834"</f>
        <v>115834</v>
      </c>
    </row>
    <row r="1684" spans="1:11" x14ac:dyDescent="0.25">
      <c r="A1684">
        <v>2021</v>
      </c>
      <c r="B1684" t="s">
        <v>9994</v>
      </c>
      <c r="C1684" t="s">
        <v>9995</v>
      </c>
      <c r="D1684" t="s">
        <v>19</v>
      </c>
      <c r="E1684" t="s">
        <v>20</v>
      </c>
      <c r="F1684" t="str">
        <f>"43611"</f>
        <v>43611</v>
      </c>
      <c r="G1684" t="str">
        <f>"Pio448069"</f>
        <v>Pio448069</v>
      </c>
      <c r="H1684" s="2">
        <f>1.93</f>
        <v>1.93</v>
      </c>
      <c r="I1684" t="s">
        <v>86</v>
      </c>
      <c r="J1684" t="s">
        <v>87</v>
      </c>
      <c r="K1684" t="str">
        <f>"0"</f>
        <v>0</v>
      </c>
    </row>
    <row r="1685" spans="1:11" x14ac:dyDescent="0.25">
      <c r="A1685">
        <v>2021</v>
      </c>
      <c r="B1685" t="s">
        <v>10000</v>
      </c>
      <c r="C1685" t="s">
        <v>10001</v>
      </c>
      <c r="D1685" t="s">
        <v>19</v>
      </c>
      <c r="E1685" t="s">
        <v>20</v>
      </c>
      <c r="F1685" t="str">
        <f>"43604"</f>
        <v>43604</v>
      </c>
      <c r="G1685" t="str">
        <f>"Swucf4621"</f>
        <v>Swucf4621</v>
      </c>
      <c r="H1685" s="2">
        <f>160</f>
        <v>160</v>
      </c>
      <c r="I1685" t="s">
        <v>15</v>
      </c>
      <c r="J1685" t="s">
        <v>81</v>
      </c>
      <c r="K1685" t="str">
        <f>"6294779"</f>
        <v>6294779</v>
      </c>
    </row>
    <row r="1686" spans="1:11" x14ac:dyDescent="0.25">
      <c r="A1686">
        <v>2021</v>
      </c>
      <c r="B1686" t="s">
        <v>10002</v>
      </c>
      <c r="C1686" t="s">
        <v>10003</v>
      </c>
      <c r="D1686" t="s">
        <v>50</v>
      </c>
      <c r="E1686" t="s">
        <v>20</v>
      </c>
      <c r="F1686" t="str">
        <f>"43560-2705"</f>
        <v>43560-2705</v>
      </c>
      <c r="G1686" t="str">
        <f>"402019"</f>
        <v>402019</v>
      </c>
      <c r="H1686" s="2">
        <f>20</f>
        <v>20</v>
      </c>
      <c r="I1686" t="s">
        <v>27</v>
      </c>
      <c r="J1686" t="s">
        <v>42</v>
      </c>
      <c r="K1686" t="str">
        <f>"114244"</f>
        <v>114244</v>
      </c>
    </row>
    <row r="1687" spans="1:11" x14ac:dyDescent="0.25">
      <c r="A1687">
        <v>2021</v>
      </c>
      <c r="B1687" t="s">
        <v>10010</v>
      </c>
      <c r="C1687" t="s">
        <v>10011</v>
      </c>
      <c r="D1687" t="s">
        <v>19</v>
      </c>
      <c r="E1687" t="s">
        <v>20</v>
      </c>
      <c r="F1687" t="str">
        <f>"43610"</f>
        <v>43610</v>
      </c>
      <c r="G1687" t="str">
        <f>"Bwucf4621"</f>
        <v>Bwucf4621</v>
      </c>
      <c r="H1687" s="2">
        <f>16.46</f>
        <v>16.46</v>
      </c>
      <c r="I1687" t="s">
        <v>15</v>
      </c>
      <c r="J1687" t="s">
        <v>295</v>
      </c>
      <c r="K1687" t="str">
        <f>"01439965"</f>
        <v>01439965</v>
      </c>
    </row>
    <row r="1688" spans="1:11" x14ac:dyDescent="0.25">
      <c r="A1688">
        <v>2021</v>
      </c>
      <c r="B1688" t="s">
        <v>10018</v>
      </c>
      <c r="C1688" t="s">
        <v>10019</v>
      </c>
      <c r="D1688" t="s">
        <v>19</v>
      </c>
      <c r="E1688" t="s">
        <v>20</v>
      </c>
      <c r="F1688" t="str">
        <f>"43612"</f>
        <v>43612</v>
      </c>
      <c r="G1688" t="str">
        <f>"Pio448069"</f>
        <v>Pio448069</v>
      </c>
      <c r="H1688" s="2">
        <f>50</f>
        <v>50</v>
      </c>
      <c r="I1688" t="s">
        <v>86</v>
      </c>
      <c r="J1688" t="s">
        <v>87</v>
      </c>
      <c r="K1688" t="str">
        <f>"0"</f>
        <v>0</v>
      </c>
    </row>
    <row r="1689" spans="1:11" x14ac:dyDescent="0.25">
      <c r="A1689">
        <v>2021</v>
      </c>
      <c r="B1689" t="s">
        <v>10023</v>
      </c>
      <c r="C1689" t="s">
        <v>10024</v>
      </c>
      <c r="D1689" t="s">
        <v>50</v>
      </c>
      <c r="E1689" t="s">
        <v>20</v>
      </c>
      <c r="F1689" t="str">
        <f>"43560-2915"</f>
        <v>43560-2915</v>
      </c>
      <c r="G1689" t="str">
        <f>"402019"</f>
        <v>402019</v>
      </c>
      <c r="H1689" s="2">
        <f>70</f>
        <v>70</v>
      </c>
      <c r="I1689" t="s">
        <v>27</v>
      </c>
      <c r="J1689" t="s">
        <v>42</v>
      </c>
      <c r="K1689" t="str">
        <f>"114692"</f>
        <v>114692</v>
      </c>
    </row>
    <row r="1690" spans="1:11" x14ac:dyDescent="0.25">
      <c r="A1690">
        <v>2021</v>
      </c>
      <c r="B1690" t="s">
        <v>10034</v>
      </c>
      <c r="C1690" t="s">
        <v>10035</v>
      </c>
      <c r="D1690" t="s">
        <v>10036</v>
      </c>
      <c r="E1690" t="s">
        <v>20</v>
      </c>
      <c r="F1690" t="str">
        <f>"44460"</f>
        <v>44460</v>
      </c>
      <c r="G1690" t="str">
        <f>"402017"</f>
        <v>402017</v>
      </c>
      <c r="H1690" s="2">
        <f>1091.32</f>
        <v>1091.32</v>
      </c>
      <c r="I1690" t="s">
        <v>27</v>
      </c>
      <c r="J1690" t="s">
        <v>212</v>
      </c>
      <c r="K1690" t="str">
        <f>"34374"</f>
        <v>34374</v>
      </c>
    </row>
    <row r="1691" spans="1:11" x14ac:dyDescent="0.25">
      <c r="A1691">
        <v>2021</v>
      </c>
      <c r="B1691" t="s">
        <v>10037</v>
      </c>
      <c r="C1691" t="s">
        <v>10038</v>
      </c>
      <c r="D1691" t="s">
        <v>19</v>
      </c>
      <c r="E1691" t="s">
        <v>20</v>
      </c>
      <c r="F1691" t="str">
        <f>"43615"</f>
        <v>43615</v>
      </c>
      <c r="G1691" t="str">
        <f>"Je061721"</f>
        <v>Je061721</v>
      </c>
      <c r="H1691" s="2">
        <f>265.88</f>
        <v>265.88</v>
      </c>
      <c r="I1691" t="s">
        <v>15</v>
      </c>
      <c r="J1691" t="s">
        <v>137</v>
      </c>
      <c r="K1691" t="str">
        <f>"60005403"</f>
        <v>60005403</v>
      </c>
    </row>
    <row r="1692" spans="1:11" x14ac:dyDescent="0.25">
      <c r="A1692">
        <v>2021</v>
      </c>
      <c r="B1692" t="s">
        <v>10037</v>
      </c>
      <c r="C1692" t="s">
        <v>10038</v>
      </c>
      <c r="D1692" t="s">
        <v>19</v>
      </c>
      <c r="E1692" t="s">
        <v>20</v>
      </c>
      <c r="F1692" t="str">
        <f>"43615"</f>
        <v>43615</v>
      </c>
      <c r="G1692" t="str">
        <f>"Je061721"</f>
        <v>Je061721</v>
      </c>
      <c r="H1692" s="2">
        <f>90.32</f>
        <v>90.32</v>
      </c>
      <c r="I1692" t="s">
        <v>15</v>
      </c>
      <c r="J1692" t="s">
        <v>137</v>
      </c>
      <c r="K1692" t="str">
        <f>"60005404"</f>
        <v>60005404</v>
      </c>
    </row>
    <row r="1693" spans="1:11" x14ac:dyDescent="0.25">
      <c r="A1693">
        <v>2021</v>
      </c>
      <c r="B1693" t="s">
        <v>10043</v>
      </c>
      <c r="C1693" t="s">
        <v>10044</v>
      </c>
      <c r="D1693" t="s">
        <v>19</v>
      </c>
      <c r="E1693" t="s">
        <v>20</v>
      </c>
      <c r="F1693" t="str">
        <f>"43608"</f>
        <v>43608</v>
      </c>
      <c r="G1693" t="str">
        <f>"Pio448069"</f>
        <v>Pio448069</v>
      </c>
      <c r="H1693" s="2">
        <f>20</f>
        <v>20</v>
      </c>
      <c r="I1693" t="s">
        <v>86</v>
      </c>
      <c r="J1693" t="s">
        <v>87</v>
      </c>
      <c r="K1693" t="str">
        <f>"0"</f>
        <v>0</v>
      </c>
    </row>
    <row r="1694" spans="1:11" x14ac:dyDescent="0.25">
      <c r="A1694">
        <v>2021</v>
      </c>
      <c r="B1694" t="s">
        <v>10045</v>
      </c>
      <c r="C1694" t="s">
        <v>10046</v>
      </c>
      <c r="D1694" t="s">
        <v>19</v>
      </c>
      <c r="E1694" t="s">
        <v>20</v>
      </c>
      <c r="F1694" t="str">
        <f>"43623-2245"</f>
        <v>43623-2245</v>
      </c>
      <c r="G1694" t="str">
        <f>"402019"</f>
        <v>402019</v>
      </c>
      <c r="H1694" s="2">
        <f>10</f>
        <v>10</v>
      </c>
      <c r="I1694" t="s">
        <v>27</v>
      </c>
      <c r="J1694" t="s">
        <v>42</v>
      </c>
      <c r="K1694" t="str">
        <f>"115462"</f>
        <v>115462</v>
      </c>
    </row>
    <row r="1695" spans="1:11" x14ac:dyDescent="0.25">
      <c r="A1695">
        <v>2021</v>
      </c>
      <c r="B1695" t="s">
        <v>10051</v>
      </c>
      <c r="C1695" t="s">
        <v>10052</v>
      </c>
      <c r="D1695" t="s">
        <v>19</v>
      </c>
      <c r="E1695" t="s">
        <v>20</v>
      </c>
      <c r="F1695" t="str">
        <f>"43609"</f>
        <v>43609</v>
      </c>
      <c r="G1695" t="str">
        <f>"Pio448069"</f>
        <v>Pio448069</v>
      </c>
      <c r="H1695" s="2">
        <f>0.14</f>
        <v>0.14000000000000001</v>
      </c>
      <c r="I1695" t="s">
        <v>86</v>
      </c>
      <c r="J1695" t="s">
        <v>87</v>
      </c>
      <c r="K1695" t="str">
        <f>"0"</f>
        <v>0</v>
      </c>
    </row>
    <row r="1696" spans="1:11" x14ac:dyDescent="0.25">
      <c r="A1696">
        <v>2021</v>
      </c>
      <c r="B1696" t="s">
        <v>10053</v>
      </c>
      <c r="C1696" t="s">
        <v>10054</v>
      </c>
      <c r="D1696" t="s">
        <v>19</v>
      </c>
      <c r="E1696" t="s">
        <v>20</v>
      </c>
      <c r="F1696" t="str">
        <f>"43615"</f>
        <v>43615</v>
      </c>
      <c r="G1696" t="str">
        <f>"Pio448069"</f>
        <v>Pio448069</v>
      </c>
      <c r="H1696" s="2">
        <f>24</f>
        <v>24</v>
      </c>
      <c r="I1696" t="s">
        <v>86</v>
      </c>
      <c r="J1696" t="s">
        <v>87</v>
      </c>
      <c r="K1696" t="str">
        <f>"0"</f>
        <v>0</v>
      </c>
    </row>
    <row r="1697" spans="1:11" x14ac:dyDescent="0.25">
      <c r="A1697">
        <v>2021</v>
      </c>
      <c r="B1697" t="s">
        <v>10055</v>
      </c>
      <c r="C1697" t="s">
        <v>10056</v>
      </c>
      <c r="D1697" t="s">
        <v>19</v>
      </c>
      <c r="E1697" t="s">
        <v>20</v>
      </c>
      <c r="F1697" t="str">
        <f>"43611"</f>
        <v>43611</v>
      </c>
      <c r="G1697" t="str">
        <f>"Pio448069"</f>
        <v>Pio448069</v>
      </c>
      <c r="H1697" s="2">
        <f>15</f>
        <v>15</v>
      </c>
      <c r="I1697" t="s">
        <v>86</v>
      </c>
      <c r="J1697" t="s">
        <v>87</v>
      </c>
      <c r="K1697" t="str">
        <f>"0"</f>
        <v>0</v>
      </c>
    </row>
    <row r="1698" spans="1:11" x14ac:dyDescent="0.25">
      <c r="A1698">
        <v>2021</v>
      </c>
      <c r="B1698" t="s">
        <v>10063</v>
      </c>
      <c r="C1698" t="s">
        <v>10064</v>
      </c>
      <c r="D1698" t="s">
        <v>19</v>
      </c>
      <c r="E1698" t="s">
        <v>20</v>
      </c>
      <c r="F1698" t="str">
        <f>"43613-1082"</f>
        <v>43613-1082</v>
      </c>
      <c r="G1698" t="str">
        <f>"402019"</f>
        <v>402019</v>
      </c>
      <c r="H1698" s="2">
        <f>10</f>
        <v>10</v>
      </c>
      <c r="I1698" t="s">
        <v>27</v>
      </c>
      <c r="J1698" t="s">
        <v>42</v>
      </c>
      <c r="K1698" t="str">
        <f>"114014"</f>
        <v>114014</v>
      </c>
    </row>
    <row r="1699" spans="1:11" x14ac:dyDescent="0.25">
      <c r="A1699">
        <v>2021</v>
      </c>
      <c r="B1699" t="s">
        <v>10065</v>
      </c>
      <c r="C1699" t="s">
        <v>10066</v>
      </c>
      <c r="D1699" t="s">
        <v>19</v>
      </c>
      <c r="E1699" t="s">
        <v>20</v>
      </c>
      <c r="F1699" t="str">
        <f>"43614"</f>
        <v>43614</v>
      </c>
      <c r="G1699" t="str">
        <f>"Je092221"</f>
        <v>Je092221</v>
      </c>
      <c r="H1699" s="2">
        <f>41.81</f>
        <v>41.81</v>
      </c>
      <c r="I1699" t="s">
        <v>15</v>
      </c>
      <c r="J1699" t="s">
        <v>114</v>
      </c>
      <c r="K1699" t="str">
        <f>"60012065"</f>
        <v>60012065</v>
      </c>
    </row>
    <row r="1700" spans="1:11" x14ac:dyDescent="0.25">
      <c r="A1700">
        <v>2021</v>
      </c>
      <c r="B1700" t="s">
        <v>10080</v>
      </c>
      <c r="C1700" t="s">
        <v>10081</v>
      </c>
      <c r="D1700" t="s">
        <v>19</v>
      </c>
      <c r="E1700" t="s">
        <v>20</v>
      </c>
      <c r="F1700" t="str">
        <f>"43605"</f>
        <v>43605</v>
      </c>
      <c r="G1700" t="str">
        <f>"Pio448069"</f>
        <v>Pio448069</v>
      </c>
      <c r="H1700" s="2">
        <f>1.05</f>
        <v>1.05</v>
      </c>
      <c r="I1700" t="s">
        <v>86</v>
      </c>
      <c r="J1700" t="s">
        <v>87</v>
      </c>
      <c r="K1700" t="str">
        <f>"0"</f>
        <v>0</v>
      </c>
    </row>
    <row r="1701" spans="1:11" x14ac:dyDescent="0.25">
      <c r="A1701">
        <v>2021</v>
      </c>
      <c r="B1701" t="s">
        <v>10088</v>
      </c>
      <c r="C1701" t="s">
        <v>10089</v>
      </c>
      <c r="D1701" t="s">
        <v>19</v>
      </c>
      <c r="E1701" t="s">
        <v>20</v>
      </c>
      <c r="F1701" t="str">
        <f>"43613-2129"</f>
        <v>43613-2129</v>
      </c>
      <c r="G1701" t="str">
        <f t="shared" ref="G1701:G1706" si="48">"402019"</f>
        <v>402019</v>
      </c>
      <c r="H1701" s="2">
        <f>10</f>
        <v>10</v>
      </c>
      <c r="I1701" t="s">
        <v>27</v>
      </c>
      <c r="J1701" t="s">
        <v>42</v>
      </c>
      <c r="K1701" t="str">
        <f>"115568"</f>
        <v>115568</v>
      </c>
    </row>
    <row r="1702" spans="1:11" x14ac:dyDescent="0.25">
      <c r="A1702">
        <v>2021</v>
      </c>
      <c r="B1702" t="s">
        <v>10097</v>
      </c>
      <c r="C1702" t="s">
        <v>10098</v>
      </c>
      <c r="D1702" t="s">
        <v>58</v>
      </c>
      <c r="E1702" t="s">
        <v>20</v>
      </c>
      <c r="F1702" t="str">
        <f>"43616-2548"</f>
        <v>43616-2548</v>
      </c>
      <c r="G1702" t="str">
        <f t="shared" si="48"/>
        <v>402019</v>
      </c>
      <c r="H1702" s="2">
        <f>10</f>
        <v>10</v>
      </c>
      <c r="I1702" t="s">
        <v>27</v>
      </c>
      <c r="J1702" t="s">
        <v>42</v>
      </c>
      <c r="K1702" t="str">
        <f>"113985"</f>
        <v>113985</v>
      </c>
    </row>
    <row r="1703" spans="1:11" x14ac:dyDescent="0.25">
      <c r="A1703">
        <v>2021</v>
      </c>
      <c r="B1703" t="s">
        <v>10116</v>
      </c>
      <c r="C1703" t="s">
        <v>10117</v>
      </c>
      <c r="D1703" t="s">
        <v>58</v>
      </c>
      <c r="E1703" t="s">
        <v>20</v>
      </c>
      <c r="F1703" t="str">
        <f>"43616-4579"</f>
        <v>43616-4579</v>
      </c>
      <c r="G1703" t="str">
        <f t="shared" si="48"/>
        <v>402019</v>
      </c>
      <c r="H1703" s="2">
        <f>10</f>
        <v>10</v>
      </c>
      <c r="I1703" t="s">
        <v>27</v>
      </c>
      <c r="J1703" t="s">
        <v>42</v>
      </c>
      <c r="K1703" t="str">
        <f>"115909"</f>
        <v>115909</v>
      </c>
    </row>
    <row r="1704" spans="1:11" x14ac:dyDescent="0.25">
      <c r="A1704">
        <v>2021</v>
      </c>
      <c r="B1704" t="s">
        <v>10122</v>
      </c>
      <c r="C1704" t="s">
        <v>10123</v>
      </c>
      <c r="D1704" t="s">
        <v>19</v>
      </c>
      <c r="E1704" t="s">
        <v>20</v>
      </c>
      <c r="F1704" t="str">
        <f>"43615-3407"</f>
        <v>43615-3407</v>
      </c>
      <c r="G1704" t="str">
        <f t="shared" si="48"/>
        <v>402019</v>
      </c>
      <c r="H1704" s="2">
        <f>10</f>
        <v>10</v>
      </c>
      <c r="I1704" t="s">
        <v>27</v>
      </c>
      <c r="J1704" t="s">
        <v>42</v>
      </c>
      <c r="K1704" t="str">
        <f>"114800"</f>
        <v>114800</v>
      </c>
    </row>
    <row r="1705" spans="1:11" x14ac:dyDescent="0.25">
      <c r="A1705">
        <v>2021</v>
      </c>
      <c r="B1705" t="s">
        <v>10128</v>
      </c>
      <c r="C1705" t="s">
        <v>10129</v>
      </c>
      <c r="D1705" t="s">
        <v>19</v>
      </c>
      <c r="E1705" t="s">
        <v>20</v>
      </c>
      <c r="F1705" t="str">
        <f>"43612-1171"</f>
        <v>43612-1171</v>
      </c>
      <c r="G1705" t="str">
        <f t="shared" si="48"/>
        <v>402019</v>
      </c>
      <c r="H1705" s="2">
        <f>40</f>
        <v>40</v>
      </c>
      <c r="I1705" t="s">
        <v>27</v>
      </c>
      <c r="J1705" t="s">
        <v>42</v>
      </c>
      <c r="K1705" t="str">
        <f>"113690"</f>
        <v>113690</v>
      </c>
    </row>
    <row r="1706" spans="1:11" x14ac:dyDescent="0.25">
      <c r="A1706">
        <v>2021</v>
      </c>
      <c r="B1706" t="s">
        <v>10128</v>
      </c>
      <c r="C1706" t="s">
        <v>10129</v>
      </c>
      <c r="D1706" t="s">
        <v>19</v>
      </c>
      <c r="E1706" t="s">
        <v>20</v>
      </c>
      <c r="F1706" t="str">
        <f>"43612-1171"</f>
        <v>43612-1171</v>
      </c>
      <c r="G1706" t="str">
        <f t="shared" si="48"/>
        <v>402019</v>
      </c>
      <c r="H1706" s="2">
        <f>40</f>
        <v>40</v>
      </c>
      <c r="I1706" t="s">
        <v>27</v>
      </c>
      <c r="J1706" t="s">
        <v>42</v>
      </c>
      <c r="K1706" t="str">
        <f>"113658"</f>
        <v>113658</v>
      </c>
    </row>
    <row r="1707" spans="1:11" x14ac:dyDescent="0.25">
      <c r="A1707">
        <v>2021</v>
      </c>
      <c r="B1707" t="s">
        <v>10132</v>
      </c>
      <c r="C1707" t="s">
        <v>10133</v>
      </c>
      <c r="D1707" t="s">
        <v>19</v>
      </c>
      <c r="E1707" t="s">
        <v>20</v>
      </c>
      <c r="F1707" t="str">
        <f>"43606"</f>
        <v>43606</v>
      </c>
      <c r="G1707" t="str">
        <f>"402018"</f>
        <v>402018</v>
      </c>
      <c r="H1707" s="2">
        <f>25</f>
        <v>25</v>
      </c>
      <c r="I1707" t="s">
        <v>27</v>
      </c>
      <c r="J1707" t="s">
        <v>171</v>
      </c>
      <c r="K1707" t="str">
        <f>"515866"</f>
        <v>515866</v>
      </c>
    </row>
    <row r="1708" spans="1:11" x14ac:dyDescent="0.25">
      <c r="A1708">
        <v>2021</v>
      </c>
      <c r="B1708" t="s">
        <v>10145</v>
      </c>
      <c r="C1708" t="s">
        <v>10146</v>
      </c>
      <c r="D1708" t="s">
        <v>19</v>
      </c>
      <c r="E1708" t="s">
        <v>20</v>
      </c>
      <c r="F1708" t="str">
        <f>"43610-1428"</f>
        <v>43610-1428</v>
      </c>
      <c r="G1708" t="str">
        <f>"402019"</f>
        <v>402019</v>
      </c>
      <c r="H1708" s="2">
        <f>20</f>
        <v>20</v>
      </c>
      <c r="I1708" t="s">
        <v>27</v>
      </c>
      <c r="J1708" t="s">
        <v>42</v>
      </c>
      <c r="K1708" t="str">
        <f>"113262"</f>
        <v>113262</v>
      </c>
    </row>
    <row r="1709" spans="1:11" x14ac:dyDescent="0.25">
      <c r="A1709">
        <v>2021</v>
      </c>
      <c r="B1709" t="s">
        <v>10149</v>
      </c>
      <c r="C1709" t="s">
        <v>10150</v>
      </c>
      <c r="D1709" t="s">
        <v>19</v>
      </c>
      <c r="E1709" t="s">
        <v>20</v>
      </c>
      <c r="F1709" t="str">
        <f>"43615-1680"</f>
        <v>43615-1680</v>
      </c>
      <c r="G1709" t="str">
        <f>"402019"</f>
        <v>402019</v>
      </c>
      <c r="H1709" s="2">
        <f>20</f>
        <v>20</v>
      </c>
      <c r="I1709" t="s">
        <v>27</v>
      </c>
      <c r="J1709" t="s">
        <v>42</v>
      </c>
      <c r="K1709" t="str">
        <f>"113803"</f>
        <v>113803</v>
      </c>
    </row>
    <row r="1710" spans="1:11" x14ac:dyDescent="0.25">
      <c r="A1710">
        <v>2021</v>
      </c>
      <c r="B1710" t="s">
        <v>10151</v>
      </c>
      <c r="C1710" t="s">
        <v>10152</v>
      </c>
      <c r="D1710" t="s">
        <v>19</v>
      </c>
      <c r="E1710" t="s">
        <v>20</v>
      </c>
      <c r="F1710" t="str">
        <f>"43604"</f>
        <v>43604</v>
      </c>
      <c r="G1710" t="str">
        <f>"402017"</f>
        <v>402017</v>
      </c>
      <c r="H1710" s="2">
        <f>20</f>
        <v>20</v>
      </c>
      <c r="I1710" t="s">
        <v>27</v>
      </c>
      <c r="J1710" t="s">
        <v>212</v>
      </c>
      <c r="K1710" t="str">
        <f>"35495"</f>
        <v>35495</v>
      </c>
    </row>
    <row r="1711" spans="1:11" x14ac:dyDescent="0.25">
      <c r="A1711">
        <v>2021</v>
      </c>
      <c r="B1711" t="s">
        <v>10159</v>
      </c>
      <c r="C1711" t="s">
        <v>10160</v>
      </c>
      <c r="D1711" t="s">
        <v>19</v>
      </c>
      <c r="E1711" t="s">
        <v>20</v>
      </c>
      <c r="F1711" t="str">
        <f>"43616"</f>
        <v>43616</v>
      </c>
      <c r="G1711" t="str">
        <f>"402018"</f>
        <v>402018</v>
      </c>
      <c r="H1711" s="2">
        <f>40</f>
        <v>40</v>
      </c>
      <c r="I1711" t="s">
        <v>27</v>
      </c>
      <c r="J1711" t="s">
        <v>171</v>
      </c>
      <c r="K1711" t="str">
        <f>"518226"</f>
        <v>518226</v>
      </c>
    </row>
    <row r="1712" spans="1:11" x14ac:dyDescent="0.25">
      <c r="A1712">
        <v>2021</v>
      </c>
      <c r="B1712" t="s">
        <v>10159</v>
      </c>
      <c r="C1712" t="s">
        <v>10160</v>
      </c>
      <c r="D1712" t="s">
        <v>19</v>
      </c>
      <c r="E1712" t="s">
        <v>20</v>
      </c>
      <c r="F1712" t="str">
        <f>"43616"</f>
        <v>43616</v>
      </c>
      <c r="G1712" t="str">
        <f>"402018"</f>
        <v>402018</v>
      </c>
      <c r="H1712" s="2">
        <f>120</f>
        <v>120</v>
      </c>
      <c r="I1712" t="s">
        <v>27</v>
      </c>
      <c r="J1712" t="s">
        <v>171</v>
      </c>
      <c r="K1712" t="str">
        <f>"517898"</f>
        <v>517898</v>
      </c>
    </row>
    <row r="1713" spans="1:11" x14ac:dyDescent="0.25">
      <c r="A1713">
        <v>2021</v>
      </c>
      <c r="B1713" t="s">
        <v>10161</v>
      </c>
      <c r="C1713" t="s">
        <v>10162</v>
      </c>
      <c r="D1713" t="s">
        <v>19</v>
      </c>
      <c r="E1713" t="s">
        <v>20</v>
      </c>
      <c r="F1713" t="str">
        <f>"43614"</f>
        <v>43614</v>
      </c>
      <c r="G1713" t="str">
        <f>"Je110321"</f>
        <v>Je110321</v>
      </c>
      <c r="H1713" s="2">
        <f>227.77</f>
        <v>227.77</v>
      </c>
      <c r="I1713" t="s">
        <v>15</v>
      </c>
      <c r="J1713" t="s">
        <v>596</v>
      </c>
      <c r="K1713" t="str">
        <f>"60023981"</f>
        <v>60023981</v>
      </c>
    </row>
    <row r="1714" spans="1:11" x14ac:dyDescent="0.25">
      <c r="A1714">
        <v>2021</v>
      </c>
      <c r="B1714" t="s">
        <v>10165</v>
      </c>
      <c r="C1714" t="s">
        <v>10166</v>
      </c>
      <c r="D1714" t="s">
        <v>19</v>
      </c>
      <c r="E1714" t="s">
        <v>20</v>
      </c>
      <c r="F1714" t="str">
        <f>"43606"</f>
        <v>43606</v>
      </c>
      <c r="G1714" t="str">
        <f>"Pio448069"</f>
        <v>Pio448069</v>
      </c>
      <c r="H1714" s="2">
        <f>0.75</f>
        <v>0.75</v>
      </c>
      <c r="I1714" t="s">
        <v>86</v>
      </c>
      <c r="J1714" t="s">
        <v>87</v>
      </c>
      <c r="K1714" t="str">
        <f>"0"</f>
        <v>0</v>
      </c>
    </row>
    <row r="1715" spans="1:11" x14ac:dyDescent="0.25">
      <c r="A1715">
        <v>2021</v>
      </c>
      <c r="B1715" t="s">
        <v>10184</v>
      </c>
      <c r="C1715" t="s">
        <v>10185</v>
      </c>
      <c r="D1715" t="s">
        <v>19</v>
      </c>
      <c r="E1715" t="s">
        <v>20</v>
      </c>
      <c r="F1715" t="str">
        <f>"43607"</f>
        <v>43607</v>
      </c>
      <c r="G1715" t="str">
        <f>"Pio448069"</f>
        <v>Pio448069</v>
      </c>
      <c r="H1715" s="2">
        <f>2</f>
        <v>2</v>
      </c>
      <c r="I1715" t="s">
        <v>86</v>
      </c>
      <c r="J1715" t="s">
        <v>87</v>
      </c>
      <c r="K1715" t="str">
        <f>"0"</f>
        <v>0</v>
      </c>
    </row>
    <row r="1716" spans="1:11" x14ac:dyDescent="0.25">
      <c r="A1716">
        <v>2021</v>
      </c>
      <c r="B1716" t="s">
        <v>10194</v>
      </c>
      <c r="C1716" t="s">
        <v>10195</v>
      </c>
      <c r="D1716" t="s">
        <v>19</v>
      </c>
      <c r="E1716" t="s">
        <v>20</v>
      </c>
      <c r="F1716" t="str">
        <f>"43605"</f>
        <v>43605</v>
      </c>
      <c r="G1716" t="str">
        <f>"Pio448069"</f>
        <v>Pio448069</v>
      </c>
      <c r="H1716" s="2">
        <f>13.99</f>
        <v>13.99</v>
      </c>
      <c r="I1716" t="s">
        <v>86</v>
      </c>
      <c r="J1716" t="s">
        <v>87</v>
      </c>
      <c r="K1716" t="str">
        <f>"0"</f>
        <v>0</v>
      </c>
    </row>
    <row r="1717" spans="1:11" x14ac:dyDescent="0.25">
      <c r="A1717">
        <v>2021</v>
      </c>
      <c r="B1717" t="s">
        <v>10196</v>
      </c>
      <c r="C1717" t="s">
        <v>10197</v>
      </c>
      <c r="D1717" t="s">
        <v>19</v>
      </c>
      <c r="E1717" t="s">
        <v>20</v>
      </c>
      <c r="F1717" t="str">
        <f>"43604"</f>
        <v>43604</v>
      </c>
      <c r="G1717" t="str">
        <f>"Pio448069"</f>
        <v>Pio448069</v>
      </c>
      <c r="H1717" s="2">
        <f>6</f>
        <v>6</v>
      </c>
      <c r="I1717" t="s">
        <v>86</v>
      </c>
      <c r="J1717" t="s">
        <v>87</v>
      </c>
      <c r="K1717" t="str">
        <f>"0"</f>
        <v>0</v>
      </c>
    </row>
    <row r="1718" spans="1:11" x14ac:dyDescent="0.25">
      <c r="A1718">
        <v>2021</v>
      </c>
      <c r="B1718" t="s">
        <v>10198</v>
      </c>
      <c r="C1718" t="s">
        <v>10199</v>
      </c>
      <c r="D1718" t="s">
        <v>19</v>
      </c>
      <c r="E1718" t="s">
        <v>20</v>
      </c>
      <c r="F1718" t="str">
        <f>"43607"</f>
        <v>43607</v>
      </c>
      <c r="G1718" t="str">
        <f>"402018"</f>
        <v>402018</v>
      </c>
      <c r="H1718" s="2">
        <f>58</f>
        <v>58</v>
      </c>
      <c r="I1718" t="s">
        <v>27</v>
      </c>
      <c r="J1718" t="s">
        <v>171</v>
      </c>
      <c r="K1718" t="str">
        <f>"516403"</f>
        <v>516403</v>
      </c>
    </row>
    <row r="1719" spans="1:11" x14ac:dyDescent="0.25">
      <c r="A1719">
        <v>2021</v>
      </c>
      <c r="B1719" t="s">
        <v>10201</v>
      </c>
      <c r="C1719" t="s">
        <v>10202</v>
      </c>
      <c r="D1719" t="s">
        <v>64</v>
      </c>
      <c r="E1719" t="s">
        <v>20</v>
      </c>
      <c r="F1719" t="str">
        <f>"43566-1008"</f>
        <v>43566-1008</v>
      </c>
      <c r="G1719" t="str">
        <f>"402019"</f>
        <v>402019</v>
      </c>
      <c r="H1719" s="2">
        <f>10</f>
        <v>10</v>
      </c>
      <c r="I1719" t="s">
        <v>27</v>
      </c>
      <c r="J1719" t="s">
        <v>42</v>
      </c>
      <c r="K1719" t="str">
        <f>"113085"</f>
        <v>113085</v>
      </c>
    </row>
    <row r="1720" spans="1:11" x14ac:dyDescent="0.25">
      <c r="A1720">
        <v>2021</v>
      </c>
      <c r="B1720" t="s">
        <v>10203</v>
      </c>
      <c r="C1720" t="s">
        <v>10204</v>
      </c>
      <c r="D1720" t="s">
        <v>19</v>
      </c>
      <c r="E1720" t="s">
        <v>20</v>
      </c>
      <c r="F1720" t="str">
        <f>"43611"</f>
        <v>43611</v>
      </c>
      <c r="G1720" t="str">
        <f>"402018"</f>
        <v>402018</v>
      </c>
      <c r="H1720" s="2">
        <f>9.08</f>
        <v>9.08</v>
      </c>
      <c r="I1720" t="s">
        <v>27</v>
      </c>
      <c r="J1720" t="s">
        <v>171</v>
      </c>
      <c r="K1720" t="str">
        <f>"517706"</f>
        <v>517706</v>
      </c>
    </row>
    <row r="1721" spans="1:11" x14ac:dyDescent="0.25">
      <c r="A1721">
        <v>2021</v>
      </c>
      <c r="B1721" t="s">
        <v>10207</v>
      </c>
      <c r="C1721" t="s">
        <v>10208</v>
      </c>
      <c r="D1721" t="s">
        <v>1239</v>
      </c>
      <c r="E1721" t="s">
        <v>20</v>
      </c>
      <c r="F1721" t="str">
        <f>"43402"</f>
        <v>43402</v>
      </c>
      <c r="G1721" t="str">
        <f>"Je110321"</f>
        <v>Je110321</v>
      </c>
      <c r="H1721" s="2">
        <f>15.39</f>
        <v>15.39</v>
      </c>
      <c r="I1721" t="s">
        <v>15</v>
      </c>
      <c r="J1721" t="s">
        <v>596</v>
      </c>
      <c r="K1721" t="str">
        <f>"60017979"</f>
        <v>60017979</v>
      </c>
    </row>
    <row r="1722" spans="1:11" x14ac:dyDescent="0.25">
      <c r="A1722">
        <v>2021</v>
      </c>
      <c r="B1722" t="s">
        <v>10207</v>
      </c>
      <c r="C1722" t="s">
        <v>10208</v>
      </c>
      <c r="D1722" t="s">
        <v>1239</v>
      </c>
      <c r="E1722" t="s">
        <v>20</v>
      </c>
      <c r="F1722" t="str">
        <f>"43402"</f>
        <v>43402</v>
      </c>
      <c r="G1722" t="str">
        <f>"Je092221"</f>
        <v>Je092221</v>
      </c>
      <c r="H1722" s="2">
        <f>18.49</f>
        <v>18.489999999999998</v>
      </c>
      <c r="I1722" t="s">
        <v>15</v>
      </c>
      <c r="J1722" t="s">
        <v>114</v>
      </c>
      <c r="K1722" t="str">
        <f>"60010038"</f>
        <v>60010038</v>
      </c>
    </row>
    <row r="1723" spans="1:11" x14ac:dyDescent="0.25">
      <c r="A1723">
        <v>2021</v>
      </c>
      <c r="B1723" t="s">
        <v>10207</v>
      </c>
      <c r="C1723" t="s">
        <v>10208</v>
      </c>
      <c r="D1723" t="s">
        <v>1239</v>
      </c>
      <c r="E1723" t="s">
        <v>20</v>
      </c>
      <c r="F1723" t="str">
        <f>"43402"</f>
        <v>43402</v>
      </c>
      <c r="G1723" t="str">
        <f>"Je110321"</f>
        <v>Je110321</v>
      </c>
      <c r="H1723" s="2">
        <f>15.39</f>
        <v>15.39</v>
      </c>
      <c r="I1723" t="s">
        <v>15</v>
      </c>
      <c r="J1723" t="s">
        <v>596</v>
      </c>
      <c r="K1723" t="str">
        <f>"60023984"</f>
        <v>60023984</v>
      </c>
    </row>
    <row r="1724" spans="1:11" x14ac:dyDescent="0.25">
      <c r="A1724">
        <v>2021</v>
      </c>
      <c r="B1724" t="s">
        <v>10243</v>
      </c>
      <c r="C1724" t="s">
        <v>10244</v>
      </c>
      <c r="D1724" t="s">
        <v>125</v>
      </c>
      <c r="E1724" t="s">
        <v>20</v>
      </c>
      <c r="F1724" t="str">
        <f>"43537-9754"</f>
        <v>43537-9754</v>
      </c>
      <c r="G1724" t="str">
        <f>"402019"</f>
        <v>402019</v>
      </c>
      <c r="H1724" s="2">
        <f>20</f>
        <v>20</v>
      </c>
      <c r="I1724" t="s">
        <v>27</v>
      </c>
      <c r="J1724" t="s">
        <v>42</v>
      </c>
      <c r="K1724" t="str">
        <f>"113771"</f>
        <v>113771</v>
      </c>
    </row>
    <row r="1725" spans="1:11" x14ac:dyDescent="0.25">
      <c r="A1725">
        <v>2021</v>
      </c>
      <c r="B1725" t="s">
        <v>10251</v>
      </c>
      <c r="C1725" t="s">
        <v>10252</v>
      </c>
      <c r="D1725" t="s">
        <v>19</v>
      </c>
      <c r="E1725" t="s">
        <v>20</v>
      </c>
      <c r="F1725" t="str">
        <f>"43613"</f>
        <v>43613</v>
      </c>
      <c r="G1725" t="str">
        <f>"402019"</f>
        <v>402019</v>
      </c>
      <c r="H1725" s="2">
        <f>10</f>
        <v>10</v>
      </c>
      <c r="I1725" t="s">
        <v>27</v>
      </c>
      <c r="J1725" t="s">
        <v>42</v>
      </c>
      <c r="K1725" t="str">
        <f>"113623"</f>
        <v>113623</v>
      </c>
    </row>
    <row r="1726" spans="1:11" x14ac:dyDescent="0.25">
      <c r="A1726">
        <v>2021</v>
      </c>
      <c r="B1726" t="s">
        <v>10259</v>
      </c>
      <c r="C1726" t="s">
        <v>10260</v>
      </c>
      <c r="D1726" t="s">
        <v>19</v>
      </c>
      <c r="E1726" t="s">
        <v>20</v>
      </c>
      <c r="F1726" t="str">
        <f>"43609"</f>
        <v>43609</v>
      </c>
      <c r="G1726" t="str">
        <f>"397019"</f>
        <v>397019</v>
      </c>
      <c r="H1726" s="2">
        <f>15</f>
        <v>15</v>
      </c>
      <c r="I1726" t="s">
        <v>519</v>
      </c>
      <c r="J1726" t="s">
        <v>519</v>
      </c>
      <c r="K1726" t="str">
        <f>"10067"</f>
        <v>10067</v>
      </c>
    </row>
    <row r="1727" spans="1:11" x14ac:dyDescent="0.25">
      <c r="A1727">
        <v>2021</v>
      </c>
      <c r="B1727" t="s">
        <v>10267</v>
      </c>
      <c r="C1727" t="s">
        <v>10268</v>
      </c>
      <c r="D1727" t="s">
        <v>19</v>
      </c>
      <c r="E1727" t="s">
        <v>20</v>
      </c>
      <c r="F1727" t="str">
        <f>"43613-3340"</f>
        <v>43613-3340</v>
      </c>
      <c r="G1727" t="str">
        <f>"402019"</f>
        <v>402019</v>
      </c>
      <c r="H1727" s="2">
        <f>10</f>
        <v>10</v>
      </c>
      <c r="I1727" t="s">
        <v>27</v>
      </c>
      <c r="J1727" t="s">
        <v>42</v>
      </c>
      <c r="K1727" t="str">
        <f>"112535"</f>
        <v>112535</v>
      </c>
    </row>
    <row r="1728" spans="1:11" x14ac:dyDescent="0.25">
      <c r="A1728">
        <v>2021</v>
      </c>
      <c r="B1728" t="s">
        <v>10271</v>
      </c>
      <c r="C1728" t="s">
        <v>10272</v>
      </c>
      <c r="D1728" t="s">
        <v>19</v>
      </c>
      <c r="E1728" t="s">
        <v>20</v>
      </c>
      <c r="F1728" t="str">
        <f>"43615-3091"</f>
        <v>43615-3091</v>
      </c>
      <c r="G1728" t="str">
        <f>"402019"</f>
        <v>402019</v>
      </c>
      <c r="H1728" s="2">
        <f>10</f>
        <v>10</v>
      </c>
      <c r="I1728" t="s">
        <v>27</v>
      </c>
      <c r="J1728" t="s">
        <v>42</v>
      </c>
      <c r="K1728" t="str">
        <f>"115491"</f>
        <v>115491</v>
      </c>
    </row>
    <row r="1729" spans="1:11" x14ac:dyDescent="0.25">
      <c r="A1729">
        <v>2021</v>
      </c>
      <c r="B1729" t="s">
        <v>10273</v>
      </c>
      <c r="C1729" t="s">
        <v>4575</v>
      </c>
      <c r="D1729" t="s">
        <v>19</v>
      </c>
      <c r="E1729" t="s">
        <v>20</v>
      </c>
      <c r="F1729" t="str">
        <f>"43604"</f>
        <v>43604</v>
      </c>
      <c r="G1729" t="str">
        <f>"402017"</f>
        <v>402017</v>
      </c>
      <c r="H1729" s="2">
        <f>80.35</f>
        <v>80.349999999999994</v>
      </c>
      <c r="I1729" t="s">
        <v>27</v>
      </c>
      <c r="J1729" t="s">
        <v>212</v>
      </c>
      <c r="K1729" t="str">
        <f>"33260"</f>
        <v>33260</v>
      </c>
    </row>
    <row r="1730" spans="1:11" x14ac:dyDescent="0.25">
      <c r="A1730">
        <v>2021</v>
      </c>
      <c r="B1730" t="s">
        <v>10276</v>
      </c>
      <c r="C1730" t="s">
        <v>10277</v>
      </c>
      <c r="D1730" t="s">
        <v>19</v>
      </c>
      <c r="E1730" t="s">
        <v>20</v>
      </c>
      <c r="F1730" t="str">
        <f t="shared" ref="F1730:F1736" si="49">"43607"</f>
        <v>43607</v>
      </c>
      <c r="G1730" t="str">
        <f t="shared" ref="G1730:G1736" si="50">"Swucf4621"</f>
        <v>Swucf4621</v>
      </c>
      <c r="H1730" s="2">
        <f>18.46</f>
        <v>18.46</v>
      </c>
      <c r="I1730" t="s">
        <v>15</v>
      </c>
      <c r="J1730" t="s">
        <v>81</v>
      </c>
      <c r="K1730" t="str">
        <f>"6294929"</f>
        <v>6294929</v>
      </c>
    </row>
    <row r="1731" spans="1:11" x14ac:dyDescent="0.25">
      <c r="A1731">
        <v>2021</v>
      </c>
      <c r="B1731" t="s">
        <v>10278</v>
      </c>
      <c r="C1731" t="s">
        <v>10279</v>
      </c>
      <c r="D1731" t="s">
        <v>19</v>
      </c>
      <c r="E1731" t="s">
        <v>20</v>
      </c>
      <c r="F1731" t="str">
        <f t="shared" si="49"/>
        <v>43607</v>
      </c>
      <c r="G1731" t="str">
        <f t="shared" si="50"/>
        <v>Swucf4621</v>
      </c>
      <c r="H1731" s="2">
        <f>32.31</f>
        <v>32.31</v>
      </c>
      <c r="I1731" t="s">
        <v>15</v>
      </c>
      <c r="J1731" t="s">
        <v>81</v>
      </c>
      <c r="K1731" t="str">
        <f>"6294930"</f>
        <v>6294930</v>
      </c>
    </row>
    <row r="1732" spans="1:11" x14ac:dyDescent="0.25">
      <c r="A1732">
        <v>2021</v>
      </c>
      <c r="B1732" t="s">
        <v>10278</v>
      </c>
      <c r="C1732" t="s">
        <v>10279</v>
      </c>
      <c r="D1732" t="s">
        <v>19</v>
      </c>
      <c r="E1732" t="s">
        <v>20</v>
      </c>
      <c r="F1732" t="str">
        <f t="shared" si="49"/>
        <v>43607</v>
      </c>
      <c r="G1732" t="str">
        <f t="shared" si="50"/>
        <v>Swucf4621</v>
      </c>
      <c r="H1732" s="2">
        <f>9.71</f>
        <v>9.7100000000000009</v>
      </c>
      <c r="I1732" t="s">
        <v>15</v>
      </c>
      <c r="J1732" t="s">
        <v>81</v>
      </c>
      <c r="K1732" t="str">
        <f>"6294931"</f>
        <v>6294931</v>
      </c>
    </row>
    <row r="1733" spans="1:11" x14ac:dyDescent="0.25">
      <c r="A1733">
        <v>2021</v>
      </c>
      <c r="B1733" t="s">
        <v>10278</v>
      </c>
      <c r="C1733" t="s">
        <v>10279</v>
      </c>
      <c r="D1733" t="s">
        <v>19</v>
      </c>
      <c r="E1733" t="s">
        <v>20</v>
      </c>
      <c r="F1733" t="str">
        <f t="shared" si="49"/>
        <v>43607</v>
      </c>
      <c r="G1733" t="str">
        <f t="shared" si="50"/>
        <v>Swucf4621</v>
      </c>
      <c r="H1733" s="2">
        <f>24.92</f>
        <v>24.92</v>
      </c>
      <c r="I1733" t="s">
        <v>15</v>
      </c>
      <c r="J1733" t="s">
        <v>81</v>
      </c>
      <c r="K1733" t="str">
        <f>"6294932"</f>
        <v>6294932</v>
      </c>
    </row>
    <row r="1734" spans="1:11" x14ac:dyDescent="0.25">
      <c r="A1734">
        <v>2021</v>
      </c>
      <c r="B1734" t="s">
        <v>10278</v>
      </c>
      <c r="C1734" t="s">
        <v>10279</v>
      </c>
      <c r="D1734" t="s">
        <v>19</v>
      </c>
      <c r="E1734" t="s">
        <v>20</v>
      </c>
      <c r="F1734" t="str">
        <f t="shared" si="49"/>
        <v>43607</v>
      </c>
      <c r="G1734" t="str">
        <f t="shared" si="50"/>
        <v>Swucf4621</v>
      </c>
      <c r="H1734" s="2">
        <f>82.69</f>
        <v>82.69</v>
      </c>
      <c r="I1734" t="s">
        <v>15</v>
      </c>
      <c r="J1734" t="s">
        <v>81</v>
      </c>
      <c r="K1734" t="str">
        <f>"6294933"</f>
        <v>6294933</v>
      </c>
    </row>
    <row r="1735" spans="1:11" x14ac:dyDescent="0.25">
      <c r="A1735">
        <v>2021</v>
      </c>
      <c r="B1735" t="s">
        <v>10278</v>
      </c>
      <c r="C1735" t="s">
        <v>10279</v>
      </c>
      <c r="D1735" t="s">
        <v>19</v>
      </c>
      <c r="E1735" t="s">
        <v>20</v>
      </c>
      <c r="F1735" t="str">
        <f t="shared" si="49"/>
        <v>43607</v>
      </c>
      <c r="G1735" t="str">
        <f t="shared" si="50"/>
        <v>Swucf4621</v>
      </c>
      <c r="H1735" s="2">
        <f>8.06</f>
        <v>8.06</v>
      </c>
      <c r="I1735" t="s">
        <v>15</v>
      </c>
      <c r="J1735" t="s">
        <v>81</v>
      </c>
      <c r="K1735" t="str">
        <f>"6294934"</f>
        <v>6294934</v>
      </c>
    </row>
    <row r="1736" spans="1:11" x14ac:dyDescent="0.25">
      <c r="A1736">
        <v>2021</v>
      </c>
      <c r="B1736" t="s">
        <v>10278</v>
      </c>
      <c r="C1736" t="s">
        <v>10280</v>
      </c>
      <c r="D1736" t="s">
        <v>19</v>
      </c>
      <c r="E1736" t="s">
        <v>20</v>
      </c>
      <c r="F1736" t="str">
        <f t="shared" si="49"/>
        <v>43607</v>
      </c>
      <c r="G1736" t="str">
        <f t="shared" si="50"/>
        <v>Swucf4621</v>
      </c>
      <c r="H1736" s="2">
        <f>31.29</f>
        <v>31.29</v>
      </c>
      <c r="I1736" t="s">
        <v>15</v>
      </c>
      <c r="J1736" t="s">
        <v>81</v>
      </c>
      <c r="K1736" t="str">
        <f>"6294935"</f>
        <v>6294935</v>
      </c>
    </row>
    <row r="1737" spans="1:11" x14ac:dyDescent="0.25">
      <c r="A1737">
        <v>2021</v>
      </c>
      <c r="B1737" t="s">
        <v>10281</v>
      </c>
      <c r="C1737" t="s">
        <v>10282</v>
      </c>
      <c r="D1737" t="s">
        <v>19</v>
      </c>
      <c r="E1737" t="s">
        <v>20</v>
      </c>
      <c r="F1737" t="str">
        <f>"43615-5229"</f>
        <v>43615-5229</v>
      </c>
      <c r="G1737" t="str">
        <f>"Je061721"</f>
        <v>Je061721</v>
      </c>
      <c r="H1737" s="2">
        <f>20</f>
        <v>20</v>
      </c>
      <c r="I1737" t="s">
        <v>15</v>
      </c>
      <c r="J1737" t="s">
        <v>137</v>
      </c>
      <c r="K1737" t="str">
        <f>"60006191"</f>
        <v>60006191</v>
      </c>
    </row>
    <row r="1738" spans="1:11" x14ac:dyDescent="0.25">
      <c r="A1738">
        <v>2021</v>
      </c>
      <c r="B1738" t="s">
        <v>10287</v>
      </c>
      <c r="C1738" t="s">
        <v>10288</v>
      </c>
      <c r="D1738" t="s">
        <v>1074</v>
      </c>
      <c r="E1738" t="s">
        <v>20</v>
      </c>
      <c r="F1738" t="str">
        <f>"43551"</f>
        <v>43551</v>
      </c>
      <c r="G1738" t="str">
        <f>"Pio448069"</f>
        <v>Pio448069</v>
      </c>
      <c r="H1738" s="2">
        <f>32</f>
        <v>32</v>
      </c>
      <c r="I1738" t="s">
        <v>86</v>
      </c>
      <c r="J1738" t="s">
        <v>87</v>
      </c>
      <c r="K1738" t="str">
        <f>"0"</f>
        <v>0</v>
      </c>
    </row>
    <row r="1739" spans="1:11" x14ac:dyDescent="0.25">
      <c r="A1739">
        <v>2021</v>
      </c>
      <c r="B1739" t="s">
        <v>10293</v>
      </c>
      <c r="C1739" t="s">
        <v>10294</v>
      </c>
      <c r="D1739" t="s">
        <v>19</v>
      </c>
      <c r="E1739" t="s">
        <v>20</v>
      </c>
      <c r="F1739" t="str">
        <f>"43608"</f>
        <v>43608</v>
      </c>
      <c r="G1739" t="str">
        <f>"Swucf4621"</f>
        <v>Swucf4621</v>
      </c>
      <c r="H1739" s="2">
        <f>582.92</f>
        <v>582.91999999999996</v>
      </c>
      <c r="I1739" t="s">
        <v>15</v>
      </c>
      <c r="J1739" t="s">
        <v>81</v>
      </c>
      <c r="K1739" t="str">
        <f>"6294952"</f>
        <v>6294952</v>
      </c>
    </row>
    <row r="1740" spans="1:11" x14ac:dyDescent="0.25">
      <c r="A1740">
        <v>2021</v>
      </c>
      <c r="B1740" t="s">
        <v>10295</v>
      </c>
      <c r="C1740" t="s">
        <v>10296</v>
      </c>
      <c r="D1740" t="s">
        <v>125</v>
      </c>
      <c r="E1740" t="s">
        <v>20</v>
      </c>
      <c r="F1740" t="str">
        <f>"43537-3505"</f>
        <v>43537-3505</v>
      </c>
      <c r="G1740" t="str">
        <f>"402019"</f>
        <v>402019</v>
      </c>
      <c r="H1740" s="2">
        <f>10</f>
        <v>10</v>
      </c>
      <c r="I1740" t="s">
        <v>27</v>
      </c>
      <c r="J1740" t="s">
        <v>42</v>
      </c>
      <c r="K1740" t="str">
        <f>"115025"</f>
        <v>115025</v>
      </c>
    </row>
    <row r="1741" spans="1:11" x14ac:dyDescent="0.25">
      <c r="A1741">
        <v>2021</v>
      </c>
      <c r="B1741" t="s">
        <v>10297</v>
      </c>
      <c r="C1741" t="s">
        <v>10298</v>
      </c>
      <c r="D1741" t="s">
        <v>19</v>
      </c>
      <c r="E1741" t="s">
        <v>20</v>
      </c>
      <c r="F1741" t="str">
        <f>"43613-5021"</f>
        <v>43613-5021</v>
      </c>
      <c r="G1741" t="str">
        <f>"402019"</f>
        <v>402019</v>
      </c>
      <c r="H1741" s="2">
        <f>10</f>
        <v>10</v>
      </c>
      <c r="I1741" t="s">
        <v>27</v>
      </c>
      <c r="J1741" t="s">
        <v>42</v>
      </c>
      <c r="K1741" t="str">
        <f>"112616"</f>
        <v>112616</v>
      </c>
    </row>
    <row r="1742" spans="1:11" x14ac:dyDescent="0.25">
      <c r="A1742">
        <v>2021</v>
      </c>
      <c r="B1742" t="s">
        <v>10305</v>
      </c>
      <c r="C1742" t="s">
        <v>10306</v>
      </c>
      <c r="D1742" t="s">
        <v>19</v>
      </c>
      <c r="E1742" t="s">
        <v>20</v>
      </c>
      <c r="F1742" t="str">
        <f>"43605-1638"</f>
        <v>43605-1638</v>
      </c>
      <c r="G1742" t="str">
        <f>"402019"</f>
        <v>402019</v>
      </c>
      <c r="H1742" s="2">
        <f>20</f>
        <v>20</v>
      </c>
      <c r="I1742" t="s">
        <v>27</v>
      </c>
      <c r="J1742" t="s">
        <v>42</v>
      </c>
      <c r="K1742" t="str">
        <f>"116023"</f>
        <v>116023</v>
      </c>
    </row>
    <row r="1743" spans="1:11" x14ac:dyDescent="0.25">
      <c r="A1743">
        <v>2021</v>
      </c>
      <c r="B1743" t="s">
        <v>10311</v>
      </c>
      <c r="C1743" t="s">
        <v>10312</v>
      </c>
      <c r="D1743" t="s">
        <v>125</v>
      </c>
      <c r="E1743" t="s">
        <v>20</v>
      </c>
      <c r="F1743" t="str">
        <f>"43537-2726"</f>
        <v>43537-2726</v>
      </c>
      <c r="G1743" t="str">
        <f>"402019"</f>
        <v>402019</v>
      </c>
      <c r="H1743" s="2">
        <f>20</f>
        <v>20</v>
      </c>
      <c r="I1743" t="s">
        <v>27</v>
      </c>
      <c r="J1743" t="s">
        <v>42</v>
      </c>
      <c r="K1743" t="str">
        <f>"112060"</f>
        <v>112060</v>
      </c>
    </row>
    <row r="1744" spans="1:11" x14ac:dyDescent="0.25">
      <c r="A1744">
        <v>2021</v>
      </c>
      <c r="B1744" t="s">
        <v>10315</v>
      </c>
      <c r="C1744" t="s">
        <v>10316</v>
      </c>
      <c r="D1744" t="s">
        <v>19</v>
      </c>
      <c r="E1744" t="s">
        <v>20</v>
      </c>
      <c r="F1744" t="str">
        <f>"43608-2201"</f>
        <v>43608-2201</v>
      </c>
      <c r="G1744" t="str">
        <f>"402019"</f>
        <v>402019</v>
      </c>
      <c r="H1744" s="2">
        <f>10</f>
        <v>10</v>
      </c>
      <c r="I1744" t="s">
        <v>27</v>
      </c>
      <c r="J1744" t="s">
        <v>42</v>
      </c>
      <c r="K1744" t="str">
        <f>"115543"</f>
        <v>115543</v>
      </c>
    </row>
    <row r="1745" spans="1:11" x14ac:dyDescent="0.25">
      <c r="A1745">
        <v>2021</v>
      </c>
      <c r="B1745" t="s">
        <v>10318</v>
      </c>
      <c r="C1745" t="s">
        <v>10319</v>
      </c>
      <c r="D1745" t="s">
        <v>10320</v>
      </c>
      <c r="E1745" t="s">
        <v>462</v>
      </c>
      <c r="F1745" t="str">
        <f>"33037"</f>
        <v>33037</v>
      </c>
      <c r="G1745" t="str">
        <f>"402018"</f>
        <v>402018</v>
      </c>
      <c r="H1745" s="2">
        <f>9.08</f>
        <v>9.08</v>
      </c>
      <c r="I1745" t="s">
        <v>27</v>
      </c>
      <c r="J1745" t="s">
        <v>171</v>
      </c>
      <c r="K1745" t="str">
        <f>"517707"</f>
        <v>517707</v>
      </c>
    </row>
    <row r="1746" spans="1:11" x14ac:dyDescent="0.25">
      <c r="A1746">
        <v>2021</v>
      </c>
      <c r="B1746" t="s">
        <v>10323</v>
      </c>
      <c r="C1746" t="s">
        <v>10324</v>
      </c>
      <c r="D1746" t="s">
        <v>2547</v>
      </c>
      <c r="E1746" t="s">
        <v>20</v>
      </c>
      <c r="F1746" t="str">
        <f>"43569"</f>
        <v>43569</v>
      </c>
      <c r="G1746" t="str">
        <f>"Pio448069"</f>
        <v>Pio448069</v>
      </c>
      <c r="H1746" s="2">
        <f>1</f>
        <v>1</v>
      </c>
      <c r="I1746" t="s">
        <v>86</v>
      </c>
      <c r="J1746" t="s">
        <v>87</v>
      </c>
      <c r="K1746" t="str">
        <f>"0"</f>
        <v>0</v>
      </c>
    </row>
    <row r="1747" spans="1:11" x14ac:dyDescent="0.25">
      <c r="A1747">
        <v>2021</v>
      </c>
      <c r="B1747" t="s">
        <v>10325</v>
      </c>
      <c r="C1747" t="s">
        <v>10326</v>
      </c>
      <c r="D1747" t="s">
        <v>19</v>
      </c>
      <c r="E1747" t="s">
        <v>20</v>
      </c>
      <c r="F1747" t="str">
        <f>"43607-2257"</f>
        <v>43607-2257</v>
      </c>
      <c r="G1747" t="str">
        <f>"402019"</f>
        <v>402019</v>
      </c>
      <c r="H1747" s="2">
        <f>40</f>
        <v>40</v>
      </c>
      <c r="I1747" t="s">
        <v>27</v>
      </c>
      <c r="J1747" t="s">
        <v>42</v>
      </c>
      <c r="K1747" t="str">
        <f>"112700"</f>
        <v>112700</v>
      </c>
    </row>
    <row r="1748" spans="1:11" x14ac:dyDescent="0.25">
      <c r="A1748">
        <v>2021</v>
      </c>
      <c r="B1748" t="s">
        <v>10343</v>
      </c>
      <c r="C1748" t="s">
        <v>10344</v>
      </c>
      <c r="D1748" t="s">
        <v>19</v>
      </c>
      <c r="E1748" t="s">
        <v>20</v>
      </c>
      <c r="F1748" t="str">
        <f>"43604"</f>
        <v>43604</v>
      </c>
      <c r="G1748" t="str">
        <f>"Pio448069"</f>
        <v>Pio448069</v>
      </c>
      <c r="H1748" s="2">
        <f>3.1</f>
        <v>3.1</v>
      </c>
      <c r="I1748" t="s">
        <v>86</v>
      </c>
      <c r="J1748" t="s">
        <v>87</v>
      </c>
      <c r="K1748" t="str">
        <f>"0"</f>
        <v>0</v>
      </c>
    </row>
    <row r="1749" spans="1:11" x14ac:dyDescent="0.25">
      <c r="A1749">
        <v>2021</v>
      </c>
      <c r="B1749" t="s">
        <v>10345</v>
      </c>
      <c r="C1749" t="s">
        <v>10346</v>
      </c>
      <c r="D1749" t="s">
        <v>19</v>
      </c>
      <c r="E1749" t="s">
        <v>20</v>
      </c>
      <c r="F1749" t="str">
        <f>"43617"</f>
        <v>43617</v>
      </c>
      <c r="G1749" t="str">
        <f>"402017"</f>
        <v>402017</v>
      </c>
      <c r="H1749" s="2">
        <f>20</f>
        <v>20</v>
      </c>
      <c r="I1749" t="s">
        <v>27</v>
      </c>
      <c r="J1749" t="s">
        <v>212</v>
      </c>
      <c r="K1749" t="str">
        <f>"34966"</f>
        <v>34966</v>
      </c>
    </row>
    <row r="1750" spans="1:11" x14ac:dyDescent="0.25">
      <c r="A1750">
        <v>2021</v>
      </c>
      <c r="B1750" t="s">
        <v>10347</v>
      </c>
      <c r="C1750" t="s">
        <v>10348</v>
      </c>
      <c r="D1750" t="s">
        <v>19</v>
      </c>
      <c r="E1750" t="s">
        <v>20</v>
      </c>
      <c r="F1750" t="str">
        <f>"43620"</f>
        <v>43620</v>
      </c>
      <c r="G1750" t="str">
        <f>"Swucf4621"</f>
        <v>Swucf4621</v>
      </c>
      <c r="H1750" s="2">
        <f>42.64</f>
        <v>42.64</v>
      </c>
      <c r="I1750" t="s">
        <v>15</v>
      </c>
      <c r="J1750" t="s">
        <v>81</v>
      </c>
      <c r="K1750" t="str">
        <f>"6292789"</f>
        <v>6292789</v>
      </c>
    </row>
    <row r="1751" spans="1:11" x14ac:dyDescent="0.25">
      <c r="A1751">
        <v>2021</v>
      </c>
      <c r="B1751" t="s">
        <v>10351</v>
      </c>
      <c r="C1751" t="s">
        <v>10352</v>
      </c>
      <c r="D1751" t="s">
        <v>19</v>
      </c>
      <c r="E1751" t="s">
        <v>20</v>
      </c>
      <c r="F1751" t="str">
        <f>"43615"</f>
        <v>43615</v>
      </c>
      <c r="G1751" t="str">
        <f>"402018"</f>
        <v>402018</v>
      </c>
      <c r="H1751" s="2">
        <f>5.56</f>
        <v>5.56</v>
      </c>
      <c r="I1751" t="s">
        <v>27</v>
      </c>
      <c r="J1751" t="s">
        <v>171</v>
      </c>
      <c r="K1751" t="str">
        <f>"517228"</f>
        <v>517228</v>
      </c>
    </row>
    <row r="1752" spans="1:11" x14ac:dyDescent="0.25">
      <c r="A1752">
        <v>2021</v>
      </c>
      <c r="B1752" t="s">
        <v>10365</v>
      </c>
      <c r="C1752" t="s">
        <v>10366</v>
      </c>
      <c r="D1752" t="s">
        <v>899</v>
      </c>
      <c r="E1752" t="s">
        <v>20</v>
      </c>
      <c r="F1752" t="str">
        <f>"43412-9758"</f>
        <v>43412-9758</v>
      </c>
      <c r="G1752" t="str">
        <f>"402019"</f>
        <v>402019</v>
      </c>
      <c r="H1752" s="2">
        <f>20</f>
        <v>20</v>
      </c>
      <c r="I1752" t="s">
        <v>27</v>
      </c>
      <c r="J1752" t="s">
        <v>42</v>
      </c>
      <c r="K1752" t="str">
        <f>"113179"</f>
        <v>113179</v>
      </c>
    </row>
    <row r="1753" spans="1:11" x14ac:dyDescent="0.25">
      <c r="A1753">
        <v>2021</v>
      </c>
      <c r="B1753" t="s">
        <v>10367</v>
      </c>
      <c r="C1753" t="s">
        <v>10368</v>
      </c>
      <c r="D1753" t="s">
        <v>50</v>
      </c>
      <c r="E1753" t="s">
        <v>20</v>
      </c>
      <c r="F1753" t="str">
        <f>"43560-8967"</f>
        <v>43560-8967</v>
      </c>
      <c r="G1753" t="str">
        <f>"402019"</f>
        <v>402019</v>
      </c>
      <c r="H1753" s="2">
        <f>10</f>
        <v>10</v>
      </c>
      <c r="I1753" t="s">
        <v>27</v>
      </c>
      <c r="J1753" t="s">
        <v>42</v>
      </c>
      <c r="K1753" t="str">
        <f>"112636"</f>
        <v>112636</v>
      </c>
    </row>
    <row r="1754" spans="1:11" x14ac:dyDescent="0.25">
      <c r="A1754">
        <v>2021</v>
      </c>
      <c r="B1754" t="s">
        <v>10369</v>
      </c>
      <c r="C1754" t="s">
        <v>10370</v>
      </c>
      <c r="D1754" t="s">
        <v>19</v>
      </c>
      <c r="E1754" t="s">
        <v>20</v>
      </c>
      <c r="F1754" t="str">
        <f>"43614-4231"</f>
        <v>43614-4231</v>
      </c>
      <c r="G1754" t="str">
        <f>"402019"</f>
        <v>402019</v>
      </c>
      <c r="H1754" s="2">
        <f>20</f>
        <v>20</v>
      </c>
      <c r="I1754" t="s">
        <v>27</v>
      </c>
      <c r="J1754" t="s">
        <v>42</v>
      </c>
      <c r="K1754" t="str">
        <f>"115365"</f>
        <v>115365</v>
      </c>
    </row>
    <row r="1755" spans="1:11" x14ac:dyDescent="0.25">
      <c r="A1755">
        <v>2021</v>
      </c>
      <c r="B1755" t="s">
        <v>10388</v>
      </c>
      <c r="C1755" t="s">
        <v>10389</v>
      </c>
      <c r="D1755" t="s">
        <v>19</v>
      </c>
      <c r="E1755" t="s">
        <v>20</v>
      </c>
      <c r="F1755" t="str">
        <f>"43606"</f>
        <v>43606</v>
      </c>
      <c r="G1755" t="str">
        <f>"Pio448069"</f>
        <v>Pio448069</v>
      </c>
      <c r="H1755" s="2">
        <f>2.2</f>
        <v>2.2000000000000002</v>
      </c>
      <c r="I1755" t="s">
        <v>86</v>
      </c>
      <c r="J1755" t="s">
        <v>87</v>
      </c>
      <c r="K1755" t="str">
        <f>"0"</f>
        <v>0</v>
      </c>
    </row>
    <row r="1756" spans="1:11" x14ac:dyDescent="0.25">
      <c r="A1756">
        <v>2021</v>
      </c>
      <c r="B1756" t="s">
        <v>10392</v>
      </c>
      <c r="C1756" t="s">
        <v>10393</v>
      </c>
      <c r="D1756" t="s">
        <v>19</v>
      </c>
      <c r="E1756" t="s">
        <v>20</v>
      </c>
      <c r="F1756" t="str">
        <f>"43614-4344"</f>
        <v>43614-4344</v>
      </c>
      <c r="G1756" t="str">
        <f>"402019"</f>
        <v>402019</v>
      </c>
      <c r="H1756" s="2">
        <f>10</f>
        <v>10</v>
      </c>
      <c r="I1756" t="s">
        <v>27</v>
      </c>
      <c r="J1756" t="s">
        <v>42</v>
      </c>
      <c r="K1756" t="str">
        <f>"113436"</f>
        <v>113436</v>
      </c>
    </row>
    <row r="1757" spans="1:11" x14ac:dyDescent="0.25">
      <c r="A1757">
        <v>2021</v>
      </c>
      <c r="B1757" t="s">
        <v>10398</v>
      </c>
      <c r="C1757" t="s">
        <v>10399</v>
      </c>
      <c r="D1757" t="s">
        <v>19</v>
      </c>
      <c r="E1757" t="s">
        <v>20</v>
      </c>
      <c r="F1757" t="str">
        <f>"43612"</f>
        <v>43612</v>
      </c>
      <c r="G1757" t="str">
        <f>"402019"</f>
        <v>402019</v>
      </c>
      <c r="H1757" s="2">
        <f>10</f>
        <v>10</v>
      </c>
      <c r="I1757" t="s">
        <v>27</v>
      </c>
      <c r="J1757" t="s">
        <v>42</v>
      </c>
      <c r="K1757" t="str">
        <f>"115080"</f>
        <v>115080</v>
      </c>
    </row>
    <row r="1758" spans="1:11" x14ac:dyDescent="0.25">
      <c r="A1758">
        <v>2021</v>
      </c>
      <c r="B1758" t="s">
        <v>10408</v>
      </c>
      <c r="C1758" t="s">
        <v>10409</v>
      </c>
      <c r="D1758" t="s">
        <v>1729</v>
      </c>
      <c r="E1758" t="s">
        <v>20</v>
      </c>
      <c r="F1758" t="str">
        <f>"45420"</f>
        <v>45420</v>
      </c>
      <c r="G1758" t="str">
        <f>"Je110321"</f>
        <v>Je110321</v>
      </c>
      <c r="H1758" s="2">
        <f>135.43</f>
        <v>135.43</v>
      </c>
      <c r="I1758" t="s">
        <v>15</v>
      </c>
      <c r="J1758" t="s">
        <v>596</v>
      </c>
      <c r="K1758" t="str">
        <f>"60017986"</f>
        <v>60017986</v>
      </c>
    </row>
    <row r="1759" spans="1:11" x14ac:dyDescent="0.25">
      <c r="A1759">
        <v>2021</v>
      </c>
      <c r="B1759" t="s">
        <v>10414</v>
      </c>
      <c r="C1759" t="s">
        <v>10415</v>
      </c>
      <c r="D1759" t="s">
        <v>19</v>
      </c>
      <c r="E1759" t="s">
        <v>20</v>
      </c>
      <c r="F1759" t="str">
        <f>"43614-4323"</f>
        <v>43614-4323</v>
      </c>
      <c r="G1759" t="str">
        <f>"402019"</f>
        <v>402019</v>
      </c>
      <c r="H1759" s="2">
        <f>10</f>
        <v>10</v>
      </c>
      <c r="I1759" t="s">
        <v>27</v>
      </c>
      <c r="J1759" t="s">
        <v>42</v>
      </c>
      <c r="K1759" t="str">
        <f>"114472"</f>
        <v>114472</v>
      </c>
    </row>
    <row r="1760" spans="1:11" x14ac:dyDescent="0.25">
      <c r="A1760">
        <v>2021</v>
      </c>
      <c r="B1760" t="s">
        <v>10453</v>
      </c>
      <c r="C1760" t="s">
        <v>10454</v>
      </c>
      <c r="D1760" t="s">
        <v>19</v>
      </c>
      <c r="E1760" t="s">
        <v>20</v>
      </c>
      <c r="F1760" t="str">
        <f>"43609"</f>
        <v>43609</v>
      </c>
      <c r="G1760" t="str">
        <f>"Pio448069"</f>
        <v>Pio448069</v>
      </c>
      <c r="H1760" s="2">
        <f>20</f>
        <v>20</v>
      </c>
      <c r="I1760" t="s">
        <v>86</v>
      </c>
      <c r="J1760" t="s">
        <v>87</v>
      </c>
      <c r="K1760" t="str">
        <f>"0"</f>
        <v>0</v>
      </c>
    </row>
    <row r="1761" spans="1:11" x14ac:dyDescent="0.25">
      <c r="A1761">
        <v>2021</v>
      </c>
      <c r="B1761" t="s">
        <v>10461</v>
      </c>
      <c r="C1761" t="s">
        <v>10462</v>
      </c>
      <c r="D1761" t="s">
        <v>125</v>
      </c>
      <c r="E1761" t="s">
        <v>20</v>
      </c>
      <c r="F1761" t="str">
        <f>"43537-2621"</f>
        <v>43537-2621</v>
      </c>
      <c r="G1761" t="str">
        <f>"402019"</f>
        <v>402019</v>
      </c>
      <c r="H1761" s="2">
        <f>10</f>
        <v>10</v>
      </c>
      <c r="I1761" t="s">
        <v>27</v>
      </c>
      <c r="J1761" t="s">
        <v>42</v>
      </c>
      <c r="K1761" t="str">
        <f>"111230"</f>
        <v>111230</v>
      </c>
    </row>
    <row r="1762" spans="1:11" x14ac:dyDescent="0.25">
      <c r="A1762">
        <v>2021</v>
      </c>
      <c r="B1762" t="s">
        <v>10465</v>
      </c>
      <c r="C1762" t="s">
        <v>10466</v>
      </c>
      <c r="D1762" t="s">
        <v>19</v>
      </c>
      <c r="E1762" t="s">
        <v>20</v>
      </c>
      <c r="F1762" t="str">
        <f>"11111"</f>
        <v>11111</v>
      </c>
      <c r="G1762" t="str">
        <f>"Pio448069"</f>
        <v>Pio448069</v>
      </c>
      <c r="H1762" s="2">
        <f>1</f>
        <v>1</v>
      </c>
      <c r="I1762" t="s">
        <v>86</v>
      </c>
      <c r="J1762" t="s">
        <v>87</v>
      </c>
      <c r="K1762" t="str">
        <f>"0"</f>
        <v>0</v>
      </c>
    </row>
    <row r="1763" spans="1:11" x14ac:dyDescent="0.25">
      <c r="A1763">
        <v>2021</v>
      </c>
      <c r="B1763" t="s">
        <v>10469</v>
      </c>
      <c r="C1763" t="s">
        <v>10470</v>
      </c>
      <c r="D1763" t="s">
        <v>64</v>
      </c>
      <c r="E1763" t="s">
        <v>20</v>
      </c>
      <c r="F1763" t="str">
        <f>"43566"</f>
        <v>43566</v>
      </c>
      <c r="G1763" t="str">
        <f>"Swucf4621"</f>
        <v>Swucf4621</v>
      </c>
      <c r="H1763" s="2">
        <f>33.58</f>
        <v>33.58</v>
      </c>
      <c r="I1763" t="s">
        <v>15</v>
      </c>
      <c r="J1763" t="s">
        <v>81</v>
      </c>
      <c r="K1763" t="str">
        <f>"6297560"</f>
        <v>6297560</v>
      </c>
    </row>
    <row r="1764" spans="1:11" x14ac:dyDescent="0.25">
      <c r="A1764">
        <v>2021</v>
      </c>
      <c r="B1764" t="s">
        <v>10471</v>
      </c>
      <c r="C1764" t="s">
        <v>10472</v>
      </c>
      <c r="D1764" t="s">
        <v>19</v>
      </c>
      <c r="E1764" t="s">
        <v>20</v>
      </c>
      <c r="F1764" t="str">
        <f>"43605"</f>
        <v>43605</v>
      </c>
      <c r="G1764" t="str">
        <f>"Pio448069"</f>
        <v>Pio448069</v>
      </c>
      <c r="H1764" s="2">
        <f>0.21</f>
        <v>0.21</v>
      </c>
      <c r="I1764" t="s">
        <v>86</v>
      </c>
      <c r="J1764" t="s">
        <v>87</v>
      </c>
      <c r="K1764" t="str">
        <f>"0"</f>
        <v>0</v>
      </c>
    </row>
    <row r="1765" spans="1:11" x14ac:dyDescent="0.25">
      <c r="A1765">
        <v>2021</v>
      </c>
      <c r="B1765" t="s">
        <v>10474</v>
      </c>
      <c r="C1765" t="s">
        <v>10475</v>
      </c>
      <c r="D1765" t="s">
        <v>19</v>
      </c>
      <c r="E1765" t="s">
        <v>20</v>
      </c>
      <c r="F1765" t="str">
        <f>"43615-4103"</f>
        <v>43615-4103</v>
      </c>
      <c r="G1765" t="str">
        <f>"Je061721"</f>
        <v>Je061721</v>
      </c>
      <c r="H1765" s="2">
        <f>36.09</f>
        <v>36.090000000000003</v>
      </c>
      <c r="I1765" t="s">
        <v>15</v>
      </c>
      <c r="J1765" t="s">
        <v>137</v>
      </c>
      <c r="K1765" t="str">
        <f>"60008434"</f>
        <v>60008434</v>
      </c>
    </row>
    <row r="1766" spans="1:11" x14ac:dyDescent="0.25">
      <c r="A1766">
        <v>2021</v>
      </c>
      <c r="B1766" t="s">
        <v>10476</v>
      </c>
      <c r="C1766" t="s">
        <v>10477</v>
      </c>
      <c r="F1766" t="str">
        <f>""</f>
        <v/>
      </c>
      <c r="G1766" t="str">
        <f>"Swucf4621"</f>
        <v>Swucf4621</v>
      </c>
      <c r="H1766" s="2">
        <f>105.56</f>
        <v>105.56</v>
      </c>
      <c r="I1766" t="s">
        <v>15</v>
      </c>
      <c r="J1766" t="s">
        <v>81</v>
      </c>
      <c r="K1766" t="str">
        <f>"6291516"</f>
        <v>6291516</v>
      </c>
    </row>
    <row r="1767" spans="1:11" x14ac:dyDescent="0.25">
      <c r="A1767">
        <v>2021</v>
      </c>
      <c r="B1767" t="s">
        <v>10480</v>
      </c>
      <c r="C1767" t="s">
        <v>10481</v>
      </c>
      <c r="D1767" t="s">
        <v>7913</v>
      </c>
      <c r="E1767" t="s">
        <v>20</v>
      </c>
      <c r="F1767" t="str">
        <f>"43420"</f>
        <v>43420</v>
      </c>
      <c r="G1767" t="str">
        <f>"402018"</f>
        <v>402018</v>
      </c>
      <c r="H1767" s="2">
        <f>9.08</f>
        <v>9.08</v>
      </c>
      <c r="I1767" t="s">
        <v>27</v>
      </c>
      <c r="J1767" t="s">
        <v>171</v>
      </c>
      <c r="K1767" t="str">
        <f>"517709"</f>
        <v>517709</v>
      </c>
    </row>
    <row r="1768" spans="1:11" x14ac:dyDescent="0.25">
      <c r="A1768">
        <v>2021</v>
      </c>
      <c r="B1768" t="s">
        <v>10482</v>
      </c>
      <c r="C1768" t="s">
        <v>10483</v>
      </c>
      <c r="D1768" t="s">
        <v>19</v>
      </c>
      <c r="E1768" t="s">
        <v>20</v>
      </c>
      <c r="F1768" t="str">
        <f>"43613"</f>
        <v>43613</v>
      </c>
      <c r="G1768" t="str">
        <f>"Pio448069"</f>
        <v>Pio448069</v>
      </c>
      <c r="H1768" s="2">
        <f>6.55</f>
        <v>6.55</v>
      </c>
      <c r="I1768" t="s">
        <v>86</v>
      </c>
      <c r="J1768" t="s">
        <v>87</v>
      </c>
      <c r="K1768" t="str">
        <f>"0"</f>
        <v>0</v>
      </c>
    </row>
    <row r="1769" spans="1:11" x14ac:dyDescent="0.25">
      <c r="A1769">
        <v>2021</v>
      </c>
      <c r="B1769" t="s">
        <v>10484</v>
      </c>
      <c r="C1769" t="s">
        <v>10485</v>
      </c>
      <c r="D1769" t="s">
        <v>10486</v>
      </c>
      <c r="E1769" t="s">
        <v>1945</v>
      </c>
      <c r="F1769" t="str">
        <f>"85250"</f>
        <v>85250</v>
      </c>
      <c r="G1769" t="str">
        <f>"402018"</f>
        <v>402018</v>
      </c>
      <c r="H1769" s="2">
        <f>9.08</f>
        <v>9.08</v>
      </c>
      <c r="I1769" t="s">
        <v>27</v>
      </c>
      <c r="J1769" t="s">
        <v>171</v>
      </c>
      <c r="K1769" t="str">
        <f>"517710"</f>
        <v>517710</v>
      </c>
    </row>
    <row r="1770" spans="1:11" x14ac:dyDescent="0.25">
      <c r="A1770">
        <v>2021</v>
      </c>
      <c r="B1770" t="s">
        <v>10487</v>
      </c>
      <c r="C1770" t="s">
        <v>10488</v>
      </c>
      <c r="D1770" t="s">
        <v>19</v>
      </c>
      <c r="E1770" t="s">
        <v>20</v>
      </c>
      <c r="F1770" t="str">
        <f>"43611"</f>
        <v>43611</v>
      </c>
      <c r="G1770" t="str">
        <f>"Pio448069"</f>
        <v>Pio448069</v>
      </c>
      <c r="H1770" s="2">
        <f>100</f>
        <v>100</v>
      </c>
      <c r="I1770" t="s">
        <v>86</v>
      </c>
      <c r="J1770" t="s">
        <v>87</v>
      </c>
      <c r="K1770" t="str">
        <f>"0"</f>
        <v>0</v>
      </c>
    </row>
    <row r="1771" spans="1:11" x14ac:dyDescent="0.25">
      <c r="A1771">
        <v>2021</v>
      </c>
      <c r="B1771" t="s">
        <v>10489</v>
      </c>
      <c r="C1771" t="s">
        <v>10490</v>
      </c>
      <c r="D1771" t="s">
        <v>19</v>
      </c>
      <c r="E1771" t="s">
        <v>20</v>
      </c>
      <c r="F1771" t="str">
        <f>"43612"</f>
        <v>43612</v>
      </c>
      <c r="G1771" t="str">
        <f>"Pio448069"</f>
        <v>Pio448069</v>
      </c>
      <c r="H1771" s="2">
        <f>20</f>
        <v>20</v>
      </c>
      <c r="I1771" t="s">
        <v>86</v>
      </c>
      <c r="J1771" t="s">
        <v>87</v>
      </c>
      <c r="K1771" t="str">
        <f>"0"</f>
        <v>0</v>
      </c>
    </row>
    <row r="1772" spans="1:11" x14ac:dyDescent="0.25">
      <c r="A1772">
        <v>2021</v>
      </c>
      <c r="B1772" t="s">
        <v>10493</v>
      </c>
      <c r="C1772" t="s">
        <v>10494</v>
      </c>
      <c r="D1772" t="s">
        <v>19</v>
      </c>
      <c r="E1772" t="s">
        <v>20</v>
      </c>
      <c r="F1772" t="str">
        <f>"43608"</f>
        <v>43608</v>
      </c>
      <c r="G1772" t="str">
        <f>"Pio448069"</f>
        <v>Pio448069</v>
      </c>
      <c r="H1772" s="2">
        <f>45</f>
        <v>45</v>
      </c>
      <c r="I1772" t="s">
        <v>86</v>
      </c>
      <c r="J1772" t="s">
        <v>87</v>
      </c>
      <c r="K1772" t="str">
        <f>"0"</f>
        <v>0</v>
      </c>
    </row>
    <row r="1773" spans="1:11" x14ac:dyDescent="0.25">
      <c r="A1773">
        <v>2021</v>
      </c>
      <c r="B1773" t="s">
        <v>10497</v>
      </c>
      <c r="C1773" t="s">
        <v>10498</v>
      </c>
      <c r="D1773" t="s">
        <v>50</v>
      </c>
      <c r="E1773" t="s">
        <v>20</v>
      </c>
      <c r="F1773" t="str">
        <f>"43560-3000"</f>
        <v>43560-3000</v>
      </c>
      <c r="G1773" t="str">
        <f>"402019"</f>
        <v>402019</v>
      </c>
      <c r="H1773" s="2">
        <f>10</f>
        <v>10</v>
      </c>
      <c r="I1773" t="s">
        <v>27</v>
      </c>
      <c r="J1773" t="s">
        <v>42</v>
      </c>
      <c r="K1773" t="str">
        <f>"111267"</f>
        <v>111267</v>
      </c>
    </row>
    <row r="1774" spans="1:11" x14ac:dyDescent="0.25">
      <c r="A1774">
        <v>2021</v>
      </c>
      <c r="B1774" t="s">
        <v>10499</v>
      </c>
      <c r="C1774" t="s">
        <v>10500</v>
      </c>
      <c r="D1774" t="s">
        <v>19</v>
      </c>
      <c r="E1774" t="s">
        <v>20</v>
      </c>
      <c r="F1774" t="str">
        <f>"43606-2546"</f>
        <v>43606-2546</v>
      </c>
      <c r="G1774" t="str">
        <f>"402019"</f>
        <v>402019</v>
      </c>
      <c r="H1774" s="2">
        <f>10</f>
        <v>10</v>
      </c>
      <c r="I1774" t="s">
        <v>27</v>
      </c>
      <c r="J1774" t="s">
        <v>42</v>
      </c>
      <c r="K1774" t="str">
        <f>"114851"</f>
        <v>114851</v>
      </c>
    </row>
    <row r="1775" spans="1:11" x14ac:dyDescent="0.25">
      <c r="A1775">
        <v>2021</v>
      </c>
      <c r="B1775" t="s">
        <v>10501</v>
      </c>
      <c r="C1775" t="s">
        <v>4277</v>
      </c>
      <c r="D1775" t="s">
        <v>45</v>
      </c>
      <c r="E1775" t="s">
        <v>20</v>
      </c>
      <c r="F1775" t="str">
        <f>"43542-8322"</f>
        <v>43542-8322</v>
      </c>
      <c r="G1775" t="str">
        <f>"402019"</f>
        <v>402019</v>
      </c>
      <c r="H1775" s="2">
        <f>10</f>
        <v>10</v>
      </c>
      <c r="I1775" t="s">
        <v>27</v>
      </c>
      <c r="J1775" t="s">
        <v>42</v>
      </c>
      <c r="K1775" t="str">
        <f>"114838"</f>
        <v>114838</v>
      </c>
    </row>
    <row r="1776" spans="1:11" x14ac:dyDescent="0.25">
      <c r="A1776">
        <v>2021</v>
      </c>
      <c r="B1776" t="s">
        <v>10510</v>
      </c>
      <c r="C1776" t="s">
        <v>10511</v>
      </c>
      <c r="D1776" t="s">
        <v>50</v>
      </c>
      <c r="E1776" t="s">
        <v>20</v>
      </c>
      <c r="F1776" t="str">
        <f>"43560-1889"</f>
        <v>43560-1889</v>
      </c>
      <c r="G1776" t="str">
        <f>"402019"</f>
        <v>402019</v>
      </c>
      <c r="H1776" s="2">
        <f>20</f>
        <v>20</v>
      </c>
      <c r="I1776" t="s">
        <v>27</v>
      </c>
      <c r="J1776" t="s">
        <v>42</v>
      </c>
      <c r="K1776" t="str">
        <f>"113169"</f>
        <v>113169</v>
      </c>
    </row>
    <row r="1777" spans="1:11" x14ac:dyDescent="0.25">
      <c r="A1777">
        <v>2021</v>
      </c>
      <c r="B1777" t="s">
        <v>10510</v>
      </c>
      <c r="C1777" t="s">
        <v>10511</v>
      </c>
      <c r="D1777" t="s">
        <v>50</v>
      </c>
      <c r="E1777" t="s">
        <v>20</v>
      </c>
      <c r="F1777" t="str">
        <f>"43560-1889"</f>
        <v>43560-1889</v>
      </c>
      <c r="G1777" t="str">
        <f>"402019"</f>
        <v>402019</v>
      </c>
      <c r="H1777" s="2">
        <f>40</f>
        <v>40</v>
      </c>
      <c r="I1777" t="s">
        <v>27</v>
      </c>
      <c r="J1777" t="s">
        <v>42</v>
      </c>
      <c r="K1777" t="str">
        <f>"113043"</f>
        <v>113043</v>
      </c>
    </row>
    <row r="1778" spans="1:11" x14ac:dyDescent="0.25">
      <c r="A1778">
        <v>2021</v>
      </c>
      <c r="B1778" t="s">
        <v>10517</v>
      </c>
      <c r="C1778" t="s">
        <v>10518</v>
      </c>
      <c r="D1778" t="s">
        <v>19</v>
      </c>
      <c r="E1778" t="s">
        <v>20</v>
      </c>
      <c r="F1778" t="str">
        <f>"43607"</f>
        <v>43607</v>
      </c>
      <c r="G1778" t="str">
        <f>"402017"</f>
        <v>402017</v>
      </c>
      <c r="H1778" s="2">
        <f>6.54</f>
        <v>6.54</v>
      </c>
      <c r="I1778" t="s">
        <v>27</v>
      </c>
      <c r="J1778" t="s">
        <v>212</v>
      </c>
      <c r="K1778" t="str">
        <f>"33725"</f>
        <v>33725</v>
      </c>
    </row>
    <row r="1779" spans="1:11" x14ac:dyDescent="0.25">
      <c r="A1779">
        <v>2021</v>
      </c>
      <c r="B1779" t="s">
        <v>10519</v>
      </c>
      <c r="C1779" t="s">
        <v>10520</v>
      </c>
      <c r="D1779" t="s">
        <v>19</v>
      </c>
      <c r="E1779" t="s">
        <v>20</v>
      </c>
      <c r="F1779" t="str">
        <f>"43623-1228"</f>
        <v>43623-1228</v>
      </c>
      <c r="G1779" t="str">
        <f>"402019"</f>
        <v>402019</v>
      </c>
      <c r="H1779" s="2">
        <f>10</f>
        <v>10</v>
      </c>
      <c r="I1779" t="s">
        <v>27</v>
      </c>
      <c r="J1779" t="s">
        <v>42</v>
      </c>
      <c r="K1779" t="str">
        <f>"114513"</f>
        <v>114513</v>
      </c>
    </row>
    <row r="1780" spans="1:11" x14ac:dyDescent="0.25">
      <c r="A1780">
        <v>2021</v>
      </c>
      <c r="B1780" t="s">
        <v>10552</v>
      </c>
      <c r="C1780" t="s">
        <v>10553</v>
      </c>
      <c r="D1780" t="s">
        <v>10554</v>
      </c>
      <c r="E1780" t="s">
        <v>20</v>
      </c>
      <c r="F1780" t="str">
        <f>"43532"</f>
        <v>43532</v>
      </c>
      <c r="G1780" t="str">
        <f>"Je110321"</f>
        <v>Je110321</v>
      </c>
      <c r="H1780" s="2">
        <f>92.34</f>
        <v>92.34</v>
      </c>
      <c r="I1780" t="s">
        <v>15</v>
      </c>
      <c r="J1780" t="s">
        <v>596</v>
      </c>
      <c r="K1780" t="str">
        <f>"60020512"</f>
        <v>60020512</v>
      </c>
    </row>
    <row r="1781" spans="1:11" x14ac:dyDescent="0.25">
      <c r="A1781">
        <v>2021</v>
      </c>
      <c r="B1781" t="s">
        <v>10561</v>
      </c>
      <c r="C1781" t="s">
        <v>895</v>
      </c>
      <c r="D1781" t="s">
        <v>895</v>
      </c>
      <c r="F1781" t="str">
        <f>""</f>
        <v/>
      </c>
      <c r="G1781" t="str">
        <f>"385483"</f>
        <v>385483</v>
      </c>
      <c r="H1781" s="2">
        <f>592.08</f>
        <v>592.08000000000004</v>
      </c>
      <c r="I1781" t="s">
        <v>148</v>
      </c>
      <c r="J1781" t="s">
        <v>896</v>
      </c>
      <c r="K1781" t="str">
        <f>"24855"</f>
        <v>24855</v>
      </c>
    </row>
    <row r="1782" spans="1:11" x14ac:dyDescent="0.25">
      <c r="A1782">
        <v>2021</v>
      </c>
      <c r="B1782" t="s">
        <v>10588</v>
      </c>
      <c r="C1782" t="s">
        <v>10589</v>
      </c>
      <c r="D1782" t="s">
        <v>622</v>
      </c>
      <c r="E1782" t="s">
        <v>623</v>
      </c>
      <c r="F1782" t="str">
        <f>"20410"</f>
        <v>20410</v>
      </c>
      <c r="G1782" t="str">
        <f>"Je110321"</f>
        <v>Je110321</v>
      </c>
      <c r="H1782" s="2">
        <f>240.63</f>
        <v>240.63</v>
      </c>
      <c r="I1782" t="s">
        <v>15</v>
      </c>
      <c r="J1782" t="s">
        <v>596</v>
      </c>
      <c r="K1782" t="str">
        <f>"60021391"</f>
        <v>60021391</v>
      </c>
    </row>
    <row r="1783" spans="1:11" x14ac:dyDescent="0.25">
      <c r="A1783">
        <v>2021</v>
      </c>
      <c r="B1783" t="s">
        <v>10590</v>
      </c>
      <c r="C1783" t="s">
        <v>10591</v>
      </c>
      <c r="D1783" t="s">
        <v>50</v>
      </c>
      <c r="E1783" t="s">
        <v>20</v>
      </c>
      <c r="F1783" t="str">
        <f>"43560"</f>
        <v>43560</v>
      </c>
      <c r="G1783" t="str">
        <f>"402017"</f>
        <v>402017</v>
      </c>
      <c r="H1783" s="2">
        <f>20</f>
        <v>20</v>
      </c>
      <c r="I1783" t="s">
        <v>27</v>
      </c>
      <c r="J1783" t="s">
        <v>212</v>
      </c>
      <c r="K1783" t="str">
        <f>"35631"</f>
        <v>35631</v>
      </c>
    </row>
    <row r="1784" spans="1:11" x14ac:dyDescent="0.25">
      <c r="A1784">
        <v>2021</v>
      </c>
      <c r="B1784" t="s">
        <v>10608</v>
      </c>
      <c r="C1784" t="s">
        <v>10609</v>
      </c>
      <c r="D1784" t="s">
        <v>19</v>
      </c>
      <c r="E1784" t="s">
        <v>20</v>
      </c>
      <c r="F1784" t="str">
        <f>"43604"</f>
        <v>43604</v>
      </c>
      <c r="G1784" t="str">
        <f>"Pio448069"</f>
        <v>Pio448069</v>
      </c>
      <c r="H1784" s="2">
        <f>240</f>
        <v>240</v>
      </c>
      <c r="I1784" t="s">
        <v>86</v>
      </c>
      <c r="J1784" t="s">
        <v>87</v>
      </c>
      <c r="K1784" t="str">
        <f>"0"</f>
        <v>0</v>
      </c>
    </row>
    <row r="1785" spans="1:11" x14ac:dyDescent="0.25">
      <c r="A1785">
        <v>2021</v>
      </c>
      <c r="B1785" t="s">
        <v>10610</v>
      </c>
      <c r="C1785" t="s">
        <v>10611</v>
      </c>
      <c r="D1785" t="s">
        <v>19</v>
      </c>
      <c r="E1785" t="s">
        <v>20</v>
      </c>
      <c r="F1785" t="str">
        <f>"43604"</f>
        <v>43604</v>
      </c>
      <c r="G1785" t="str">
        <f>"Pio448069"</f>
        <v>Pio448069</v>
      </c>
      <c r="H1785" s="2">
        <f>5.2</f>
        <v>5.2</v>
      </c>
      <c r="I1785" t="s">
        <v>86</v>
      </c>
      <c r="J1785" t="s">
        <v>87</v>
      </c>
      <c r="K1785" t="str">
        <f>"0"</f>
        <v>0</v>
      </c>
    </row>
    <row r="1786" spans="1:11" x14ac:dyDescent="0.25">
      <c r="A1786">
        <v>2021</v>
      </c>
      <c r="B1786" t="s">
        <v>10626</v>
      </c>
      <c r="C1786" t="s">
        <v>10627</v>
      </c>
      <c r="D1786" t="s">
        <v>19</v>
      </c>
      <c r="E1786" t="s">
        <v>20</v>
      </c>
      <c r="F1786" t="str">
        <f>"43612"</f>
        <v>43612</v>
      </c>
      <c r="G1786" t="str">
        <f>"Pio448069"</f>
        <v>Pio448069</v>
      </c>
      <c r="H1786" s="2">
        <f>5</f>
        <v>5</v>
      </c>
      <c r="I1786" t="s">
        <v>86</v>
      </c>
      <c r="J1786" t="s">
        <v>87</v>
      </c>
      <c r="K1786" t="str">
        <f>"0"</f>
        <v>0</v>
      </c>
    </row>
    <row r="1787" spans="1:11" x14ac:dyDescent="0.25">
      <c r="A1787">
        <v>2021</v>
      </c>
      <c r="B1787" t="s">
        <v>10628</v>
      </c>
      <c r="C1787" t="s">
        <v>10629</v>
      </c>
      <c r="D1787" t="s">
        <v>19</v>
      </c>
      <c r="E1787" t="s">
        <v>20</v>
      </c>
      <c r="F1787" t="str">
        <f>"43610"</f>
        <v>43610</v>
      </c>
      <c r="G1787" t="str">
        <f>"Pio448069"</f>
        <v>Pio448069</v>
      </c>
      <c r="H1787" s="2">
        <f>1.18</f>
        <v>1.18</v>
      </c>
      <c r="I1787" t="s">
        <v>86</v>
      </c>
      <c r="J1787" t="s">
        <v>87</v>
      </c>
      <c r="K1787" t="str">
        <f>"0"</f>
        <v>0</v>
      </c>
    </row>
    <row r="1788" spans="1:11" x14ac:dyDescent="0.25">
      <c r="A1788">
        <v>2021</v>
      </c>
      <c r="B1788" t="s">
        <v>10648</v>
      </c>
      <c r="C1788" t="s">
        <v>10649</v>
      </c>
      <c r="D1788" t="s">
        <v>105</v>
      </c>
      <c r="E1788" t="s">
        <v>20</v>
      </c>
      <c r="F1788" t="str">
        <f>"43528"</f>
        <v>43528</v>
      </c>
      <c r="G1788" t="str">
        <f>"402019"</f>
        <v>402019</v>
      </c>
      <c r="H1788" s="2">
        <f>40</f>
        <v>40</v>
      </c>
      <c r="I1788" t="s">
        <v>27</v>
      </c>
      <c r="J1788" t="s">
        <v>42</v>
      </c>
      <c r="K1788" t="str">
        <f>"115429"</f>
        <v>115429</v>
      </c>
    </row>
    <row r="1789" spans="1:11" x14ac:dyDescent="0.25">
      <c r="A1789">
        <v>2021</v>
      </c>
      <c r="B1789" t="s">
        <v>10654</v>
      </c>
      <c r="C1789" t="s">
        <v>10655</v>
      </c>
      <c r="D1789" t="s">
        <v>19</v>
      </c>
      <c r="E1789" t="s">
        <v>20</v>
      </c>
      <c r="F1789" t="str">
        <f>"43605-1760"</f>
        <v>43605-1760</v>
      </c>
      <c r="G1789" t="str">
        <f>"402019"</f>
        <v>402019</v>
      </c>
      <c r="H1789" s="2">
        <f>10</f>
        <v>10</v>
      </c>
      <c r="I1789" t="s">
        <v>27</v>
      </c>
      <c r="J1789" t="s">
        <v>42</v>
      </c>
      <c r="K1789" t="str">
        <f>"111762"</f>
        <v>111762</v>
      </c>
    </row>
    <row r="1790" spans="1:11" x14ac:dyDescent="0.25">
      <c r="A1790">
        <v>2021</v>
      </c>
      <c r="B1790" t="s">
        <v>10668</v>
      </c>
      <c r="C1790" t="s">
        <v>10667</v>
      </c>
      <c r="D1790" t="s">
        <v>105</v>
      </c>
      <c r="E1790" t="s">
        <v>20</v>
      </c>
      <c r="F1790" t="str">
        <f>"43528-7739"</f>
        <v>43528-7739</v>
      </c>
      <c r="G1790" t="str">
        <f>"Swucf4621"</f>
        <v>Swucf4621</v>
      </c>
      <c r="H1790" s="2">
        <f>27.73</f>
        <v>27.73</v>
      </c>
      <c r="I1790" t="s">
        <v>15</v>
      </c>
      <c r="J1790" t="s">
        <v>81</v>
      </c>
      <c r="K1790" t="str">
        <f>"6294045"</f>
        <v>6294045</v>
      </c>
    </row>
    <row r="1791" spans="1:11" x14ac:dyDescent="0.25">
      <c r="A1791">
        <v>2021</v>
      </c>
      <c r="B1791" t="s">
        <v>10668</v>
      </c>
      <c r="C1791" t="s">
        <v>10667</v>
      </c>
      <c r="D1791" t="s">
        <v>105</v>
      </c>
      <c r="E1791" t="s">
        <v>20</v>
      </c>
      <c r="F1791" t="str">
        <f>"43528-7739"</f>
        <v>43528-7739</v>
      </c>
      <c r="G1791" t="str">
        <f>"Swucf4621"</f>
        <v>Swucf4621</v>
      </c>
      <c r="H1791" s="2">
        <f>30</f>
        <v>30</v>
      </c>
      <c r="I1791" t="s">
        <v>15</v>
      </c>
      <c r="J1791" t="s">
        <v>81</v>
      </c>
      <c r="K1791" t="str">
        <f>"6296312"</f>
        <v>6296312</v>
      </c>
    </row>
    <row r="1792" spans="1:11" x14ac:dyDescent="0.25">
      <c r="A1792">
        <v>2021</v>
      </c>
      <c r="B1792" t="s">
        <v>10668</v>
      </c>
      <c r="C1792" t="s">
        <v>10667</v>
      </c>
      <c r="D1792" t="s">
        <v>105</v>
      </c>
      <c r="E1792" t="s">
        <v>20</v>
      </c>
      <c r="F1792" t="str">
        <f>"43528-7739"</f>
        <v>43528-7739</v>
      </c>
      <c r="G1792" t="str">
        <f>"Swucf4621"</f>
        <v>Swucf4621</v>
      </c>
      <c r="H1792" s="2">
        <f>27.73</f>
        <v>27.73</v>
      </c>
      <c r="I1792" t="s">
        <v>15</v>
      </c>
      <c r="J1792" t="s">
        <v>81</v>
      </c>
      <c r="K1792" t="str">
        <f>"6296313"</f>
        <v>6296313</v>
      </c>
    </row>
    <row r="1793" spans="1:11" x14ac:dyDescent="0.25">
      <c r="A1793">
        <v>2021</v>
      </c>
      <c r="B1793" t="s">
        <v>10668</v>
      </c>
      <c r="C1793" t="s">
        <v>10667</v>
      </c>
      <c r="D1793" t="s">
        <v>105</v>
      </c>
      <c r="E1793" t="s">
        <v>20</v>
      </c>
      <c r="F1793" t="str">
        <f>"43528-7739"</f>
        <v>43528-7739</v>
      </c>
      <c r="G1793" t="str">
        <f>"Swucf4621"</f>
        <v>Swucf4621</v>
      </c>
      <c r="H1793" s="2">
        <f>27.73</f>
        <v>27.73</v>
      </c>
      <c r="I1793" t="s">
        <v>15</v>
      </c>
      <c r="J1793" t="s">
        <v>81</v>
      </c>
      <c r="K1793" t="str">
        <f>"6298843"</f>
        <v>6298843</v>
      </c>
    </row>
    <row r="1794" spans="1:11" x14ac:dyDescent="0.25">
      <c r="A1794">
        <v>2021</v>
      </c>
      <c r="B1794" t="s">
        <v>10666</v>
      </c>
      <c r="C1794" t="s">
        <v>10667</v>
      </c>
      <c r="D1794" t="s">
        <v>105</v>
      </c>
      <c r="E1794" t="s">
        <v>20</v>
      </c>
      <c r="F1794" t="str">
        <f>"43528"</f>
        <v>43528</v>
      </c>
      <c r="G1794" t="str">
        <f>"Je092221"</f>
        <v>Je092221</v>
      </c>
      <c r="H1794" s="2">
        <f>23.08</f>
        <v>23.08</v>
      </c>
      <c r="I1794" t="s">
        <v>15</v>
      </c>
      <c r="J1794" t="s">
        <v>114</v>
      </c>
      <c r="K1794" t="str">
        <f>"60013667"</f>
        <v>60013667</v>
      </c>
    </row>
    <row r="1795" spans="1:11" x14ac:dyDescent="0.25">
      <c r="A1795">
        <v>2021</v>
      </c>
      <c r="B1795" t="s">
        <v>10673</v>
      </c>
      <c r="C1795" t="s">
        <v>10674</v>
      </c>
      <c r="D1795" t="s">
        <v>19</v>
      </c>
      <c r="E1795" t="s">
        <v>20</v>
      </c>
      <c r="F1795" t="str">
        <f>"43614"</f>
        <v>43614</v>
      </c>
      <c r="G1795" t="str">
        <f>"Je092221"</f>
        <v>Je092221</v>
      </c>
      <c r="H1795" s="2">
        <f>15.39</f>
        <v>15.39</v>
      </c>
      <c r="I1795" t="s">
        <v>15</v>
      </c>
      <c r="J1795" t="s">
        <v>114</v>
      </c>
      <c r="K1795" t="str">
        <f>"60013668"</f>
        <v>60013668</v>
      </c>
    </row>
    <row r="1796" spans="1:11" x14ac:dyDescent="0.25">
      <c r="A1796">
        <v>2021</v>
      </c>
      <c r="B1796" t="s">
        <v>10673</v>
      </c>
      <c r="C1796" t="s">
        <v>10674</v>
      </c>
      <c r="D1796" t="s">
        <v>19</v>
      </c>
      <c r="E1796" t="s">
        <v>20</v>
      </c>
      <c r="F1796" t="str">
        <f>"43614"</f>
        <v>43614</v>
      </c>
      <c r="G1796" t="str">
        <f>"Je092221"</f>
        <v>Je092221</v>
      </c>
      <c r="H1796" s="2">
        <f>15.39</f>
        <v>15.39</v>
      </c>
      <c r="I1796" t="s">
        <v>15</v>
      </c>
      <c r="J1796" t="s">
        <v>114</v>
      </c>
      <c r="K1796" t="str">
        <f>"60015756"</f>
        <v>60015756</v>
      </c>
    </row>
    <row r="1797" spans="1:11" x14ac:dyDescent="0.25">
      <c r="A1797">
        <v>2021</v>
      </c>
      <c r="B1797" t="s">
        <v>10673</v>
      </c>
      <c r="C1797" t="s">
        <v>10674</v>
      </c>
      <c r="D1797" t="s">
        <v>19</v>
      </c>
      <c r="E1797" t="s">
        <v>20</v>
      </c>
      <c r="F1797" t="str">
        <f>"43614"</f>
        <v>43614</v>
      </c>
      <c r="G1797" t="str">
        <f>"Je110321"</f>
        <v>Je110321</v>
      </c>
      <c r="H1797" s="2">
        <f>15.39</f>
        <v>15.39</v>
      </c>
      <c r="I1797" t="s">
        <v>15</v>
      </c>
      <c r="J1797" t="s">
        <v>596</v>
      </c>
      <c r="K1797" t="str">
        <f>"60020520"</f>
        <v>60020520</v>
      </c>
    </row>
    <row r="1798" spans="1:11" x14ac:dyDescent="0.25">
      <c r="A1798">
        <v>2021</v>
      </c>
      <c r="B1798" t="s">
        <v>10673</v>
      </c>
      <c r="C1798" t="s">
        <v>10674</v>
      </c>
      <c r="D1798" t="s">
        <v>19</v>
      </c>
      <c r="E1798" t="s">
        <v>20</v>
      </c>
      <c r="F1798" t="str">
        <f>"43614"</f>
        <v>43614</v>
      </c>
      <c r="G1798" t="str">
        <f>"Je110321"</f>
        <v>Je110321</v>
      </c>
      <c r="H1798" s="2">
        <f>15.39</f>
        <v>15.39</v>
      </c>
      <c r="I1798" t="s">
        <v>15</v>
      </c>
      <c r="J1798" t="s">
        <v>596</v>
      </c>
      <c r="K1798" t="str">
        <f>"60018003"</f>
        <v>60018003</v>
      </c>
    </row>
    <row r="1799" spans="1:11" x14ac:dyDescent="0.25">
      <c r="A1799">
        <v>2021</v>
      </c>
      <c r="B1799" t="s">
        <v>10675</v>
      </c>
      <c r="C1799" t="s">
        <v>10676</v>
      </c>
      <c r="D1799" t="s">
        <v>19</v>
      </c>
      <c r="E1799" t="s">
        <v>20</v>
      </c>
      <c r="F1799" t="str">
        <f t="shared" ref="F1799:F1804" si="51">"43605-2851"</f>
        <v>43605-2851</v>
      </c>
      <c r="G1799" t="str">
        <f t="shared" ref="G1799:G1804" si="52">"Swucf4621"</f>
        <v>Swucf4621</v>
      </c>
      <c r="H1799" s="2">
        <f>18.49</f>
        <v>18.489999999999998</v>
      </c>
      <c r="I1799" t="s">
        <v>15</v>
      </c>
      <c r="J1799" t="s">
        <v>81</v>
      </c>
      <c r="K1799" t="str">
        <f>"6298844"</f>
        <v>6298844</v>
      </c>
    </row>
    <row r="1800" spans="1:11" x14ac:dyDescent="0.25">
      <c r="A1800">
        <v>2021</v>
      </c>
      <c r="B1800" t="s">
        <v>10675</v>
      </c>
      <c r="C1800" t="s">
        <v>10676</v>
      </c>
      <c r="D1800" t="s">
        <v>19</v>
      </c>
      <c r="E1800" t="s">
        <v>20</v>
      </c>
      <c r="F1800" t="str">
        <f t="shared" si="51"/>
        <v>43605-2851</v>
      </c>
      <c r="G1800" t="str">
        <f t="shared" si="52"/>
        <v>Swucf4621</v>
      </c>
      <c r="H1800" s="2">
        <f>18.49</f>
        <v>18.489999999999998</v>
      </c>
      <c r="I1800" t="s">
        <v>15</v>
      </c>
      <c r="J1800" t="s">
        <v>81</v>
      </c>
      <c r="K1800" t="str">
        <f>"6296314"</f>
        <v>6296314</v>
      </c>
    </row>
    <row r="1801" spans="1:11" x14ac:dyDescent="0.25">
      <c r="A1801">
        <v>2021</v>
      </c>
      <c r="B1801" t="s">
        <v>10675</v>
      </c>
      <c r="C1801" t="s">
        <v>10676</v>
      </c>
      <c r="D1801" t="s">
        <v>19</v>
      </c>
      <c r="E1801" t="s">
        <v>20</v>
      </c>
      <c r="F1801" t="str">
        <f t="shared" si="51"/>
        <v>43605-2851</v>
      </c>
      <c r="G1801" t="str">
        <f t="shared" si="52"/>
        <v>Swucf4621</v>
      </c>
      <c r="H1801" s="2">
        <f>18.49</f>
        <v>18.489999999999998</v>
      </c>
      <c r="I1801" t="s">
        <v>15</v>
      </c>
      <c r="J1801" t="s">
        <v>81</v>
      </c>
      <c r="K1801" t="str">
        <f>"6294046"</f>
        <v>6294046</v>
      </c>
    </row>
    <row r="1802" spans="1:11" x14ac:dyDescent="0.25">
      <c r="A1802">
        <v>2021</v>
      </c>
      <c r="B1802" t="s">
        <v>10675</v>
      </c>
      <c r="C1802" t="s">
        <v>10676</v>
      </c>
      <c r="D1802" t="s">
        <v>19</v>
      </c>
      <c r="E1802" t="s">
        <v>20</v>
      </c>
      <c r="F1802" t="str">
        <f t="shared" si="51"/>
        <v>43605-2851</v>
      </c>
      <c r="G1802" t="str">
        <f t="shared" si="52"/>
        <v>Swucf4621</v>
      </c>
      <c r="H1802" s="2">
        <f>18.45</f>
        <v>18.45</v>
      </c>
      <c r="I1802" t="s">
        <v>15</v>
      </c>
      <c r="J1802" t="s">
        <v>81</v>
      </c>
      <c r="K1802" t="str">
        <f>"6289314"</f>
        <v>6289314</v>
      </c>
    </row>
    <row r="1803" spans="1:11" x14ac:dyDescent="0.25">
      <c r="A1803">
        <v>2021</v>
      </c>
      <c r="B1803" t="s">
        <v>10675</v>
      </c>
      <c r="C1803" t="s">
        <v>10676</v>
      </c>
      <c r="D1803" t="s">
        <v>19</v>
      </c>
      <c r="E1803" t="s">
        <v>20</v>
      </c>
      <c r="F1803" t="str">
        <f t="shared" si="51"/>
        <v>43605-2851</v>
      </c>
      <c r="G1803" t="str">
        <f t="shared" si="52"/>
        <v>Swucf4621</v>
      </c>
      <c r="H1803" s="2">
        <f>18.45</f>
        <v>18.45</v>
      </c>
      <c r="I1803" t="s">
        <v>15</v>
      </c>
      <c r="J1803" t="s">
        <v>81</v>
      </c>
      <c r="K1803" t="str">
        <f>"6290905"</f>
        <v>6290905</v>
      </c>
    </row>
    <row r="1804" spans="1:11" x14ac:dyDescent="0.25">
      <c r="A1804">
        <v>2021</v>
      </c>
      <c r="B1804" t="s">
        <v>10675</v>
      </c>
      <c r="C1804" t="s">
        <v>10676</v>
      </c>
      <c r="D1804" t="s">
        <v>19</v>
      </c>
      <c r="E1804" t="s">
        <v>20</v>
      </c>
      <c r="F1804" t="str">
        <f t="shared" si="51"/>
        <v>43605-2851</v>
      </c>
      <c r="G1804" t="str">
        <f t="shared" si="52"/>
        <v>Swucf4621</v>
      </c>
      <c r="H1804" s="2">
        <f>18.45</f>
        <v>18.45</v>
      </c>
      <c r="I1804" t="s">
        <v>15</v>
      </c>
      <c r="J1804" t="s">
        <v>81</v>
      </c>
      <c r="K1804" t="str">
        <f>"6292467"</f>
        <v>6292467</v>
      </c>
    </row>
    <row r="1805" spans="1:11" x14ac:dyDescent="0.25">
      <c r="A1805">
        <v>2021</v>
      </c>
      <c r="B1805" t="s">
        <v>10673</v>
      </c>
      <c r="C1805" t="s">
        <v>10674</v>
      </c>
      <c r="D1805" t="s">
        <v>19</v>
      </c>
      <c r="E1805" t="s">
        <v>20</v>
      </c>
      <c r="F1805" t="str">
        <f>"43614"</f>
        <v>43614</v>
      </c>
      <c r="G1805" t="str">
        <f>"Je110321"</f>
        <v>Je110321</v>
      </c>
      <c r="H1805" s="2">
        <f>15.39</f>
        <v>15.39</v>
      </c>
      <c r="I1805" t="s">
        <v>15</v>
      </c>
      <c r="J1805" t="s">
        <v>596</v>
      </c>
      <c r="K1805" t="str">
        <f>"60024010"</f>
        <v>60024010</v>
      </c>
    </row>
    <row r="1806" spans="1:11" x14ac:dyDescent="0.25">
      <c r="A1806">
        <v>2021</v>
      </c>
      <c r="B1806" t="s">
        <v>10673</v>
      </c>
      <c r="C1806" t="s">
        <v>10674</v>
      </c>
      <c r="D1806" t="s">
        <v>19</v>
      </c>
      <c r="E1806" t="s">
        <v>20</v>
      </c>
      <c r="F1806" t="str">
        <f>"43614"</f>
        <v>43614</v>
      </c>
      <c r="G1806" t="str">
        <f>"Je061721"</f>
        <v>Je061721</v>
      </c>
      <c r="H1806" s="2">
        <f>18.49</f>
        <v>18.489999999999998</v>
      </c>
      <c r="I1806" t="s">
        <v>15</v>
      </c>
      <c r="J1806" t="s">
        <v>137</v>
      </c>
      <c r="K1806" t="str">
        <f>"60003925"</f>
        <v>60003925</v>
      </c>
    </row>
    <row r="1807" spans="1:11" x14ac:dyDescent="0.25">
      <c r="A1807">
        <v>2021</v>
      </c>
      <c r="B1807" t="s">
        <v>10673</v>
      </c>
      <c r="C1807" t="s">
        <v>10674</v>
      </c>
      <c r="D1807" t="s">
        <v>19</v>
      </c>
      <c r="E1807" t="s">
        <v>20</v>
      </c>
      <c r="F1807" t="str">
        <f>"43614"</f>
        <v>43614</v>
      </c>
      <c r="G1807" t="str">
        <f>"Je061721"</f>
        <v>Je061721</v>
      </c>
      <c r="H1807" s="2">
        <f>18.49</f>
        <v>18.489999999999998</v>
      </c>
      <c r="I1807" t="s">
        <v>15</v>
      </c>
      <c r="J1807" t="s">
        <v>137</v>
      </c>
      <c r="K1807" t="str">
        <f>"60007082"</f>
        <v>60007082</v>
      </c>
    </row>
    <row r="1808" spans="1:11" x14ac:dyDescent="0.25">
      <c r="A1808">
        <v>2021</v>
      </c>
      <c r="B1808" t="s">
        <v>10673</v>
      </c>
      <c r="C1808" t="s">
        <v>10674</v>
      </c>
      <c r="D1808" t="s">
        <v>19</v>
      </c>
      <c r="E1808" t="s">
        <v>20</v>
      </c>
      <c r="F1808" t="str">
        <f>"43614"</f>
        <v>43614</v>
      </c>
      <c r="G1808" t="str">
        <f>"Je061721"</f>
        <v>Je061721</v>
      </c>
      <c r="H1808" s="2">
        <f>18.49</f>
        <v>18.489999999999998</v>
      </c>
      <c r="I1808" t="s">
        <v>15</v>
      </c>
      <c r="J1808" t="s">
        <v>137</v>
      </c>
      <c r="K1808" t="str">
        <f>"60000935"</f>
        <v>60000935</v>
      </c>
    </row>
    <row r="1809" spans="1:11" x14ac:dyDescent="0.25">
      <c r="A1809">
        <v>2021</v>
      </c>
      <c r="B1809" t="s">
        <v>10673</v>
      </c>
      <c r="C1809" t="s">
        <v>10674</v>
      </c>
      <c r="D1809" t="s">
        <v>19</v>
      </c>
      <c r="E1809" t="s">
        <v>20</v>
      </c>
      <c r="F1809" t="str">
        <f>"43614"</f>
        <v>43614</v>
      </c>
      <c r="G1809" t="str">
        <f>"Je092221"</f>
        <v>Je092221</v>
      </c>
      <c r="H1809" s="2">
        <f>18.49</f>
        <v>18.489999999999998</v>
      </c>
      <c r="I1809" t="s">
        <v>15</v>
      </c>
      <c r="J1809" t="s">
        <v>114</v>
      </c>
      <c r="K1809" t="str">
        <f>"60010066"</f>
        <v>60010066</v>
      </c>
    </row>
    <row r="1810" spans="1:11" x14ac:dyDescent="0.25">
      <c r="A1810">
        <v>2021</v>
      </c>
      <c r="B1810" t="s">
        <v>10681</v>
      </c>
      <c r="C1810" t="s">
        <v>10682</v>
      </c>
      <c r="D1810" t="s">
        <v>19</v>
      </c>
      <c r="E1810" t="s">
        <v>20</v>
      </c>
      <c r="F1810" t="str">
        <f>"43604"</f>
        <v>43604</v>
      </c>
      <c r="G1810" t="str">
        <f>"402017"</f>
        <v>402017</v>
      </c>
      <c r="H1810" s="2">
        <f>20</f>
        <v>20</v>
      </c>
      <c r="I1810" t="s">
        <v>27</v>
      </c>
      <c r="J1810" t="s">
        <v>212</v>
      </c>
      <c r="K1810" t="str">
        <f>"35625"</f>
        <v>35625</v>
      </c>
    </row>
    <row r="1811" spans="1:11" x14ac:dyDescent="0.25">
      <c r="A1811">
        <v>2021</v>
      </c>
      <c r="B1811" t="s">
        <v>10683</v>
      </c>
      <c r="C1811" t="s">
        <v>10684</v>
      </c>
      <c r="F1811" t="str">
        <f>""</f>
        <v/>
      </c>
      <c r="G1811" t="str">
        <f>"Swucf4621"</f>
        <v>Swucf4621</v>
      </c>
      <c r="H1811" s="2">
        <f>74</f>
        <v>74</v>
      </c>
      <c r="I1811" t="s">
        <v>15</v>
      </c>
      <c r="J1811" t="s">
        <v>81</v>
      </c>
      <c r="K1811" t="str">
        <f>"6295042"</f>
        <v>6295042</v>
      </c>
    </row>
    <row r="1812" spans="1:11" x14ac:dyDescent="0.25">
      <c r="A1812">
        <v>2021</v>
      </c>
      <c r="B1812" t="s">
        <v>10687</v>
      </c>
      <c r="C1812" t="s">
        <v>10688</v>
      </c>
      <c r="D1812" t="s">
        <v>19</v>
      </c>
      <c r="E1812" t="s">
        <v>20</v>
      </c>
      <c r="F1812" t="str">
        <f>"43608"</f>
        <v>43608</v>
      </c>
      <c r="G1812" t="str">
        <f>"Je110321"</f>
        <v>Je110321</v>
      </c>
      <c r="H1812" s="2">
        <f>63.41</f>
        <v>63.41</v>
      </c>
      <c r="I1812" t="s">
        <v>15</v>
      </c>
      <c r="J1812" t="s">
        <v>596</v>
      </c>
      <c r="K1812" t="str">
        <f>"60024011"</f>
        <v>60024011</v>
      </c>
    </row>
    <row r="1813" spans="1:11" x14ac:dyDescent="0.25">
      <c r="A1813">
        <v>2021</v>
      </c>
      <c r="B1813" t="s">
        <v>10687</v>
      </c>
      <c r="C1813" t="s">
        <v>10688</v>
      </c>
      <c r="D1813" t="s">
        <v>19</v>
      </c>
      <c r="E1813" t="s">
        <v>20</v>
      </c>
      <c r="F1813" t="str">
        <f>"43608"</f>
        <v>43608</v>
      </c>
      <c r="G1813" t="str">
        <f>"Je110321"</f>
        <v>Je110321</v>
      </c>
      <c r="H1813" s="2">
        <f>63.41</f>
        <v>63.41</v>
      </c>
      <c r="I1813" t="s">
        <v>15</v>
      </c>
      <c r="J1813" t="s">
        <v>596</v>
      </c>
      <c r="K1813" t="str">
        <f>"60018004"</f>
        <v>60018004</v>
      </c>
    </row>
    <row r="1814" spans="1:11" x14ac:dyDescent="0.25">
      <c r="A1814">
        <v>2021</v>
      </c>
      <c r="B1814" t="s">
        <v>10687</v>
      </c>
      <c r="C1814" t="s">
        <v>10688</v>
      </c>
      <c r="D1814" t="s">
        <v>19</v>
      </c>
      <c r="E1814" t="s">
        <v>20</v>
      </c>
      <c r="F1814" t="str">
        <f>"43608"</f>
        <v>43608</v>
      </c>
      <c r="G1814" t="str">
        <f>"Je110321"</f>
        <v>Je110321</v>
      </c>
      <c r="H1814" s="2">
        <f>63.41</f>
        <v>63.41</v>
      </c>
      <c r="I1814" t="s">
        <v>15</v>
      </c>
      <c r="J1814" t="s">
        <v>596</v>
      </c>
      <c r="K1814" t="str">
        <f>"60020521"</f>
        <v>60020521</v>
      </c>
    </row>
    <row r="1815" spans="1:11" x14ac:dyDescent="0.25">
      <c r="A1815">
        <v>2021</v>
      </c>
      <c r="B1815" t="s">
        <v>10687</v>
      </c>
      <c r="C1815" t="s">
        <v>10688</v>
      </c>
      <c r="D1815" t="s">
        <v>19</v>
      </c>
      <c r="E1815" t="s">
        <v>20</v>
      </c>
      <c r="F1815" t="str">
        <f>"43608"</f>
        <v>43608</v>
      </c>
      <c r="G1815" t="str">
        <f>"Je092221"</f>
        <v>Je092221</v>
      </c>
      <c r="H1815" s="2">
        <f>63.41</f>
        <v>63.41</v>
      </c>
      <c r="I1815" t="s">
        <v>15</v>
      </c>
      <c r="J1815" t="s">
        <v>114</v>
      </c>
      <c r="K1815" t="str">
        <f>"60015757"</f>
        <v>60015757</v>
      </c>
    </row>
    <row r="1816" spans="1:11" x14ac:dyDescent="0.25">
      <c r="A1816">
        <v>2021</v>
      </c>
      <c r="B1816" t="s">
        <v>10693</v>
      </c>
      <c r="C1816" t="s">
        <v>10694</v>
      </c>
      <c r="D1816" t="s">
        <v>125</v>
      </c>
      <c r="E1816" t="s">
        <v>20</v>
      </c>
      <c r="F1816" t="str">
        <f>"43537-3844"</f>
        <v>43537-3844</v>
      </c>
      <c r="G1816" t="str">
        <f>"402019"</f>
        <v>402019</v>
      </c>
      <c r="H1816" s="2">
        <f>15</f>
        <v>15</v>
      </c>
      <c r="I1816" t="s">
        <v>27</v>
      </c>
      <c r="J1816" t="s">
        <v>42</v>
      </c>
      <c r="K1816" t="str">
        <f>"116033"</f>
        <v>116033</v>
      </c>
    </row>
    <row r="1817" spans="1:11" x14ac:dyDescent="0.25">
      <c r="A1817">
        <v>2021</v>
      </c>
      <c r="B1817" t="s">
        <v>10695</v>
      </c>
      <c r="C1817" t="s">
        <v>10696</v>
      </c>
      <c r="D1817" t="s">
        <v>19</v>
      </c>
      <c r="E1817" t="s">
        <v>20</v>
      </c>
      <c r="F1817" t="str">
        <f>"43614"</f>
        <v>43614</v>
      </c>
      <c r="G1817" t="str">
        <f>"Pio448069"</f>
        <v>Pio448069</v>
      </c>
      <c r="H1817" s="2">
        <f>16.91</f>
        <v>16.91</v>
      </c>
      <c r="I1817" t="s">
        <v>86</v>
      </c>
      <c r="J1817" t="s">
        <v>87</v>
      </c>
      <c r="K1817" t="str">
        <f>"0"</f>
        <v>0</v>
      </c>
    </row>
    <row r="1818" spans="1:11" x14ac:dyDescent="0.25">
      <c r="A1818">
        <v>2021</v>
      </c>
      <c r="B1818" t="s">
        <v>10697</v>
      </c>
      <c r="C1818" t="s">
        <v>10698</v>
      </c>
      <c r="D1818" t="s">
        <v>1074</v>
      </c>
      <c r="E1818" t="s">
        <v>20</v>
      </c>
      <c r="F1818" t="str">
        <f>"43551"</f>
        <v>43551</v>
      </c>
      <c r="G1818" t="str">
        <f>"Je110321"</f>
        <v>Je110321</v>
      </c>
      <c r="H1818" s="2">
        <f>15.39</f>
        <v>15.39</v>
      </c>
      <c r="I1818" t="s">
        <v>15</v>
      </c>
      <c r="J1818" t="s">
        <v>596</v>
      </c>
      <c r="K1818" t="str">
        <f>"60020523"</f>
        <v>60020523</v>
      </c>
    </row>
    <row r="1819" spans="1:11" x14ac:dyDescent="0.25">
      <c r="A1819">
        <v>2021</v>
      </c>
      <c r="B1819" t="s">
        <v>10697</v>
      </c>
      <c r="C1819" t="s">
        <v>10698</v>
      </c>
      <c r="D1819" t="s">
        <v>1074</v>
      </c>
      <c r="E1819" t="s">
        <v>20</v>
      </c>
      <c r="F1819" t="str">
        <f>"43551"</f>
        <v>43551</v>
      </c>
      <c r="G1819" t="str">
        <f>"Je110321"</f>
        <v>Je110321</v>
      </c>
      <c r="H1819" s="2">
        <f>15.39</f>
        <v>15.39</v>
      </c>
      <c r="I1819" t="s">
        <v>15</v>
      </c>
      <c r="J1819" t="s">
        <v>596</v>
      </c>
      <c r="K1819" t="str">
        <f>"60018006"</f>
        <v>60018006</v>
      </c>
    </row>
    <row r="1820" spans="1:11" x14ac:dyDescent="0.25">
      <c r="A1820">
        <v>2021</v>
      </c>
      <c r="B1820" t="s">
        <v>10705</v>
      </c>
      <c r="C1820" t="s">
        <v>10706</v>
      </c>
      <c r="D1820" t="s">
        <v>19</v>
      </c>
      <c r="E1820" t="s">
        <v>20</v>
      </c>
      <c r="F1820" t="str">
        <f>"43614-4124"</f>
        <v>43614-4124</v>
      </c>
      <c r="G1820" t="str">
        <f>"402019"</f>
        <v>402019</v>
      </c>
      <c r="H1820" s="2">
        <f>10</f>
        <v>10</v>
      </c>
      <c r="I1820" t="s">
        <v>27</v>
      </c>
      <c r="J1820" t="s">
        <v>42</v>
      </c>
      <c r="K1820" t="str">
        <f>"115079"</f>
        <v>115079</v>
      </c>
    </row>
    <row r="1821" spans="1:11" x14ac:dyDescent="0.25">
      <c r="A1821">
        <v>2021</v>
      </c>
      <c r="B1821" t="s">
        <v>10707</v>
      </c>
      <c r="C1821" t="s">
        <v>10708</v>
      </c>
      <c r="D1821" t="s">
        <v>19</v>
      </c>
      <c r="E1821" t="s">
        <v>20</v>
      </c>
      <c r="F1821" t="str">
        <f>"43604"</f>
        <v>43604</v>
      </c>
      <c r="G1821" t="str">
        <f>"402017"</f>
        <v>402017</v>
      </c>
      <c r="H1821" s="2">
        <f>4.12</f>
        <v>4.12</v>
      </c>
      <c r="I1821" t="s">
        <v>27</v>
      </c>
      <c r="J1821" t="s">
        <v>212</v>
      </c>
      <c r="K1821" t="str">
        <f>"32704"</f>
        <v>32704</v>
      </c>
    </row>
    <row r="1822" spans="1:11" x14ac:dyDescent="0.25">
      <c r="A1822">
        <v>2021</v>
      </c>
      <c r="B1822" t="s">
        <v>10709</v>
      </c>
      <c r="C1822" t="s">
        <v>10710</v>
      </c>
      <c r="D1822" t="s">
        <v>19</v>
      </c>
      <c r="E1822" t="s">
        <v>20</v>
      </c>
      <c r="F1822" t="str">
        <f>"43613"</f>
        <v>43613</v>
      </c>
      <c r="G1822" t="str">
        <f>"402018"</f>
        <v>402018</v>
      </c>
      <c r="H1822" s="2">
        <f>9.08</f>
        <v>9.08</v>
      </c>
      <c r="I1822" t="s">
        <v>27</v>
      </c>
      <c r="J1822" t="s">
        <v>171</v>
      </c>
      <c r="K1822" t="str">
        <f>"517712"</f>
        <v>517712</v>
      </c>
    </row>
    <row r="1823" spans="1:11" x14ac:dyDescent="0.25">
      <c r="A1823">
        <v>2021</v>
      </c>
      <c r="B1823" t="s">
        <v>10711</v>
      </c>
      <c r="C1823" t="s">
        <v>10712</v>
      </c>
      <c r="D1823" t="s">
        <v>19</v>
      </c>
      <c r="E1823" t="s">
        <v>20</v>
      </c>
      <c r="F1823" t="str">
        <f>"43606"</f>
        <v>43606</v>
      </c>
      <c r="G1823" t="str">
        <f>"Pio448069"</f>
        <v>Pio448069</v>
      </c>
      <c r="H1823" s="2">
        <f>117</f>
        <v>117</v>
      </c>
      <c r="I1823" t="s">
        <v>86</v>
      </c>
      <c r="J1823" t="s">
        <v>87</v>
      </c>
      <c r="K1823" t="str">
        <f>"0"</f>
        <v>0</v>
      </c>
    </row>
    <row r="1824" spans="1:11" x14ac:dyDescent="0.25">
      <c r="A1824">
        <v>2021</v>
      </c>
      <c r="B1824" t="s">
        <v>10713</v>
      </c>
      <c r="C1824" t="s">
        <v>10714</v>
      </c>
      <c r="D1824" t="s">
        <v>58</v>
      </c>
      <c r="E1824" t="s">
        <v>20</v>
      </c>
      <c r="F1824" t="str">
        <f>"43616-4558"</f>
        <v>43616-4558</v>
      </c>
      <c r="G1824" t="str">
        <f>"402019"</f>
        <v>402019</v>
      </c>
      <c r="H1824" s="2">
        <f>10</f>
        <v>10</v>
      </c>
      <c r="I1824" t="s">
        <v>27</v>
      </c>
      <c r="J1824" t="s">
        <v>42</v>
      </c>
      <c r="K1824" t="str">
        <f>"114637"</f>
        <v>114637</v>
      </c>
    </row>
    <row r="1825" spans="1:11" x14ac:dyDescent="0.25">
      <c r="A1825">
        <v>2021</v>
      </c>
      <c r="B1825" t="s">
        <v>10720</v>
      </c>
      <c r="C1825" t="s">
        <v>8072</v>
      </c>
      <c r="D1825" t="s">
        <v>1074</v>
      </c>
      <c r="E1825" t="s">
        <v>20</v>
      </c>
      <c r="F1825" t="str">
        <f>"43551-9193"</f>
        <v>43551-9193</v>
      </c>
      <c r="G1825" t="str">
        <f>"Swucf4621"</f>
        <v>Swucf4621</v>
      </c>
      <c r="H1825" s="2">
        <f>18.49</f>
        <v>18.489999999999998</v>
      </c>
      <c r="I1825" t="s">
        <v>15</v>
      </c>
      <c r="J1825" t="s">
        <v>81</v>
      </c>
      <c r="K1825" t="str">
        <f>"6298851"</f>
        <v>6298851</v>
      </c>
    </row>
    <row r="1826" spans="1:11" x14ac:dyDescent="0.25">
      <c r="A1826">
        <v>2021</v>
      </c>
      <c r="B1826" t="s">
        <v>10720</v>
      </c>
      <c r="C1826" t="s">
        <v>8072</v>
      </c>
      <c r="D1826" t="s">
        <v>1074</v>
      </c>
      <c r="E1826" t="s">
        <v>20</v>
      </c>
      <c r="F1826" t="str">
        <f>"43551-9193"</f>
        <v>43551-9193</v>
      </c>
      <c r="G1826" t="str">
        <f>"Swucf4621"</f>
        <v>Swucf4621</v>
      </c>
      <c r="H1826" s="2">
        <f>18.45</f>
        <v>18.45</v>
      </c>
      <c r="I1826" t="s">
        <v>15</v>
      </c>
      <c r="J1826" t="s">
        <v>81</v>
      </c>
      <c r="K1826" t="str">
        <f>"6290911"</f>
        <v>6290911</v>
      </c>
    </row>
    <row r="1827" spans="1:11" x14ac:dyDescent="0.25">
      <c r="A1827">
        <v>2021</v>
      </c>
      <c r="B1827" t="s">
        <v>10723</v>
      </c>
      <c r="C1827" t="s">
        <v>10724</v>
      </c>
      <c r="D1827" t="s">
        <v>19</v>
      </c>
      <c r="E1827" t="s">
        <v>20</v>
      </c>
      <c r="F1827" t="str">
        <f>"43615-7357"</f>
        <v>43615-7357</v>
      </c>
      <c r="G1827" t="str">
        <f>"Je061721"</f>
        <v>Je061721</v>
      </c>
      <c r="H1827" s="2">
        <f>2250</f>
        <v>2250</v>
      </c>
      <c r="I1827" t="s">
        <v>15</v>
      </c>
      <c r="J1827" t="s">
        <v>137</v>
      </c>
      <c r="K1827" t="str">
        <f>"60005164"</f>
        <v>60005164</v>
      </c>
    </row>
    <row r="1828" spans="1:11" x14ac:dyDescent="0.25">
      <c r="A1828">
        <v>2021</v>
      </c>
      <c r="B1828" t="s">
        <v>10725</v>
      </c>
      <c r="C1828" t="s">
        <v>10726</v>
      </c>
      <c r="D1828" t="s">
        <v>19</v>
      </c>
      <c r="E1828" t="s">
        <v>20</v>
      </c>
      <c r="F1828" t="str">
        <f>"43605"</f>
        <v>43605</v>
      </c>
      <c r="G1828" t="str">
        <f>"Je092221"</f>
        <v>Je092221</v>
      </c>
      <c r="H1828" s="2">
        <f>75</f>
        <v>75</v>
      </c>
      <c r="I1828" t="s">
        <v>15</v>
      </c>
      <c r="J1828" t="s">
        <v>114</v>
      </c>
      <c r="K1828" t="str">
        <f>"60011561"</f>
        <v>60011561</v>
      </c>
    </row>
    <row r="1829" spans="1:11" x14ac:dyDescent="0.25">
      <c r="A1829">
        <v>2021</v>
      </c>
      <c r="B1829" t="s">
        <v>10729</v>
      </c>
      <c r="C1829" t="s">
        <v>10730</v>
      </c>
      <c r="D1829" t="s">
        <v>19</v>
      </c>
      <c r="E1829" t="s">
        <v>20</v>
      </c>
      <c r="F1829" t="str">
        <f>"43615-4441"</f>
        <v>43615-4441</v>
      </c>
      <c r="G1829" t="str">
        <f>"402019"</f>
        <v>402019</v>
      </c>
      <c r="H1829" s="2">
        <f>10</f>
        <v>10</v>
      </c>
      <c r="I1829" t="s">
        <v>27</v>
      </c>
      <c r="J1829" t="s">
        <v>42</v>
      </c>
      <c r="K1829" t="str">
        <f>"115084"</f>
        <v>115084</v>
      </c>
    </row>
    <row r="1830" spans="1:11" x14ac:dyDescent="0.25">
      <c r="A1830">
        <v>2021</v>
      </c>
      <c r="B1830" t="s">
        <v>10733</v>
      </c>
      <c r="C1830" t="s">
        <v>10734</v>
      </c>
      <c r="D1830" t="s">
        <v>19</v>
      </c>
      <c r="E1830" t="s">
        <v>20</v>
      </c>
      <c r="F1830" t="str">
        <f>"43620-1110"</f>
        <v>43620-1110</v>
      </c>
      <c r="G1830" t="str">
        <f>"402019"</f>
        <v>402019</v>
      </c>
      <c r="H1830" s="2">
        <f>10</f>
        <v>10</v>
      </c>
      <c r="I1830" t="s">
        <v>27</v>
      </c>
      <c r="J1830" t="s">
        <v>42</v>
      </c>
      <c r="K1830" t="str">
        <f>"112764"</f>
        <v>112764</v>
      </c>
    </row>
    <row r="1831" spans="1:11" x14ac:dyDescent="0.25">
      <c r="A1831">
        <v>2021</v>
      </c>
      <c r="B1831" t="s">
        <v>10743</v>
      </c>
      <c r="C1831" t="s">
        <v>10744</v>
      </c>
      <c r="D1831" t="s">
        <v>19</v>
      </c>
      <c r="E1831" t="s">
        <v>20</v>
      </c>
      <c r="F1831" t="str">
        <f>"43610-1464"</f>
        <v>43610-1464</v>
      </c>
      <c r="G1831" t="str">
        <f>"402019"</f>
        <v>402019</v>
      </c>
      <c r="H1831" s="2">
        <f>10</f>
        <v>10</v>
      </c>
      <c r="I1831" t="s">
        <v>27</v>
      </c>
      <c r="J1831" t="s">
        <v>42</v>
      </c>
      <c r="K1831" t="str">
        <f>"112243"</f>
        <v>112243</v>
      </c>
    </row>
    <row r="1832" spans="1:11" x14ac:dyDescent="0.25">
      <c r="A1832">
        <v>2021</v>
      </c>
      <c r="B1832" t="s">
        <v>10747</v>
      </c>
      <c r="C1832" t="s">
        <v>10748</v>
      </c>
      <c r="D1832" t="s">
        <v>19</v>
      </c>
      <c r="E1832" t="s">
        <v>20</v>
      </c>
      <c r="F1832" t="str">
        <f>"43604"</f>
        <v>43604</v>
      </c>
      <c r="G1832" t="str">
        <f>"Je092221"</f>
        <v>Je092221</v>
      </c>
      <c r="H1832" s="2">
        <f>15</f>
        <v>15</v>
      </c>
      <c r="I1832" t="s">
        <v>15</v>
      </c>
      <c r="J1832" t="s">
        <v>114</v>
      </c>
      <c r="K1832" t="str">
        <f>"60009205"</f>
        <v>60009205</v>
      </c>
    </row>
    <row r="1833" spans="1:11" x14ac:dyDescent="0.25">
      <c r="A1833">
        <v>2021</v>
      </c>
      <c r="B1833" t="s">
        <v>10768</v>
      </c>
      <c r="C1833" t="s">
        <v>10769</v>
      </c>
      <c r="D1833" t="s">
        <v>19</v>
      </c>
      <c r="E1833" t="s">
        <v>20</v>
      </c>
      <c r="F1833" t="str">
        <f>"43611-1730"</f>
        <v>43611-1730</v>
      </c>
      <c r="G1833" t="str">
        <f>"402019"</f>
        <v>402019</v>
      </c>
      <c r="H1833" s="2">
        <f>10</f>
        <v>10</v>
      </c>
      <c r="I1833" t="s">
        <v>27</v>
      </c>
      <c r="J1833" t="s">
        <v>42</v>
      </c>
      <c r="K1833" t="str">
        <f>"114828"</f>
        <v>114828</v>
      </c>
    </row>
    <row r="1834" spans="1:11" x14ac:dyDescent="0.25">
      <c r="A1834">
        <v>2021</v>
      </c>
      <c r="B1834" t="s">
        <v>10772</v>
      </c>
      <c r="C1834" t="s">
        <v>10773</v>
      </c>
      <c r="D1834" t="s">
        <v>19</v>
      </c>
      <c r="E1834" t="s">
        <v>20</v>
      </c>
      <c r="F1834" t="str">
        <f>"43605"</f>
        <v>43605</v>
      </c>
      <c r="G1834" t="str">
        <f>"Pio448069"</f>
        <v>Pio448069</v>
      </c>
      <c r="H1834" s="2">
        <f>1</f>
        <v>1</v>
      </c>
      <c r="I1834" t="s">
        <v>86</v>
      </c>
      <c r="J1834" t="s">
        <v>87</v>
      </c>
      <c r="K1834" t="str">
        <f>"0"</f>
        <v>0</v>
      </c>
    </row>
    <row r="1835" spans="1:11" x14ac:dyDescent="0.25">
      <c r="A1835">
        <v>2021</v>
      </c>
      <c r="B1835" t="s">
        <v>10787</v>
      </c>
      <c r="C1835" t="s">
        <v>10788</v>
      </c>
      <c r="D1835" t="s">
        <v>19</v>
      </c>
      <c r="E1835" t="s">
        <v>20</v>
      </c>
      <c r="F1835" t="str">
        <f>"43615"</f>
        <v>43615</v>
      </c>
      <c r="G1835" t="str">
        <f>"Pio448069"</f>
        <v>Pio448069</v>
      </c>
      <c r="H1835" s="2">
        <f>2</f>
        <v>2</v>
      </c>
      <c r="I1835" t="s">
        <v>86</v>
      </c>
      <c r="J1835" t="s">
        <v>87</v>
      </c>
      <c r="K1835" t="str">
        <f>"0"</f>
        <v>0</v>
      </c>
    </row>
    <row r="1836" spans="1:11" x14ac:dyDescent="0.25">
      <c r="A1836">
        <v>2021</v>
      </c>
      <c r="B1836" t="s">
        <v>10794</v>
      </c>
      <c r="C1836" t="s">
        <v>10795</v>
      </c>
      <c r="D1836" t="s">
        <v>50</v>
      </c>
      <c r="E1836" t="s">
        <v>20</v>
      </c>
      <c r="F1836" t="str">
        <f>"43560"</f>
        <v>43560</v>
      </c>
      <c r="G1836" t="str">
        <f>"Bwucf4621"</f>
        <v>Bwucf4621</v>
      </c>
      <c r="H1836" s="2">
        <f>200</f>
        <v>200</v>
      </c>
      <c r="I1836" t="s">
        <v>15</v>
      </c>
      <c r="J1836" t="s">
        <v>295</v>
      </c>
      <c r="K1836" t="str">
        <f>"03006647"</f>
        <v>03006647</v>
      </c>
    </row>
    <row r="1837" spans="1:11" x14ac:dyDescent="0.25">
      <c r="A1837">
        <v>2021</v>
      </c>
      <c r="B1837" t="s">
        <v>10798</v>
      </c>
      <c r="C1837" t="s">
        <v>10799</v>
      </c>
      <c r="D1837" t="s">
        <v>19</v>
      </c>
      <c r="E1837" t="s">
        <v>20</v>
      </c>
      <c r="F1837" t="str">
        <f>"43615-3745"</f>
        <v>43615-3745</v>
      </c>
      <c r="G1837" t="str">
        <f>"402019"</f>
        <v>402019</v>
      </c>
      <c r="H1837" s="2">
        <f>10</f>
        <v>10</v>
      </c>
      <c r="I1837" t="s">
        <v>27</v>
      </c>
      <c r="J1837" t="s">
        <v>42</v>
      </c>
      <c r="K1837" t="str">
        <f>"114322"</f>
        <v>114322</v>
      </c>
    </row>
    <row r="1838" spans="1:11" x14ac:dyDescent="0.25">
      <c r="A1838">
        <v>2021</v>
      </c>
      <c r="B1838" t="s">
        <v>10809</v>
      </c>
      <c r="C1838" t="s">
        <v>10810</v>
      </c>
      <c r="D1838" t="s">
        <v>19</v>
      </c>
      <c r="E1838" t="s">
        <v>20</v>
      </c>
      <c r="F1838" t="str">
        <f>"43604"</f>
        <v>43604</v>
      </c>
      <c r="G1838" t="str">
        <f>"Pio448069"</f>
        <v>Pio448069</v>
      </c>
      <c r="H1838" s="2">
        <f>38.05</f>
        <v>38.049999999999997</v>
      </c>
      <c r="I1838" t="s">
        <v>86</v>
      </c>
      <c r="J1838" t="s">
        <v>87</v>
      </c>
      <c r="K1838" t="str">
        <f>"0"</f>
        <v>0</v>
      </c>
    </row>
    <row r="1839" spans="1:11" x14ac:dyDescent="0.25">
      <c r="A1839">
        <v>2021</v>
      </c>
      <c r="B1839" t="s">
        <v>10819</v>
      </c>
      <c r="C1839" t="s">
        <v>10820</v>
      </c>
      <c r="D1839" t="s">
        <v>19</v>
      </c>
      <c r="E1839" t="s">
        <v>20</v>
      </c>
      <c r="F1839" t="str">
        <f>"43613-5140"</f>
        <v>43613-5140</v>
      </c>
      <c r="G1839" t="str">
        <f>"402019"</f>
        <v>402019</v>
      </c>
      <c r="H1839" s="2">
        <f>10</f>
        <v>10</v>
      </c>
      <c r="I1839" t="s">
        <v>27</v>
      </c>
      <c r="J1839" t="s">
        <v>42</v>
      </c>
      <c r="K1839" t="str">
        <f>"112493"</f>
        <v>112493</v>
      </c>
    </row>
    <row r="1840" spans="1:11" x14ac:dyDescent="0.25">
      <c r="A1840">
        <v>2021</v>
      </c>
      <c r="B1840" t="s">
        <v>10825</v>
      </c>
      <c r="C1840" t="s">
        <v>10826</v>
      </c>
      <c r="D1840" t="s">
        <v>19</v>
      </c>
      <c r="E1840" t="s">
        <v>20</v>
      </c>
      <c r="F1840" t="str">
        <f>"43605"</f>
        <v>43605</v>
      </c>
      <c r="G1840" t="str">
        <f>"Pio448069"</f>
        <v>Pio448069</v>
      </c>
      <c r="H1840" s="2">
        <f>0.26</f>
        <v>0.26</v>
      </c>
      <c r="I1840" t="s">
        <v>86</v>
      </c>
      <c r="J1840" t="s">
        <v>87</v>
      </c>
      <c r="K1840" t="str">
        <f>"0"</f>
        <v>0</v>
      </c>
    </row>
    <row r="1841" spans="1:11" x14ac:dyDescent="0.25">
      <c r="A1841">
        <v>2021</v>
      </c>
      <c r="B1841" t="s">
        <v>10827</v>
      </c>
      <c r="C1841" t="s">
        <v>440</v>
      </c>
      <c r="D1841" t="s">
        <v>19</v>
      </c>
      <c r="E1841" t="s">
        <v>20</v>
      </c>
      <c r="F1841" t="str">
        <f>"43697"</f>
        <v>43697</v>
      </c>
      <c r="G1841" t="str">
        <f>"402018"</f>
        <v>402018</v>
      </c>
      <c r="H1841" s="2">
        <f>9.08</f>
        <v>9.08</v>
      </c>
      <c r="I1841" t="s">
        <v>27</v>
      </c>
      <c r="J1841" t="s">
        <v>171</v>
      </c>
      <c r="K1841" t="str">
        <f>"517716"</f>
        <v>517716</v>
      </c>
    </row>
    <row r="1842" spans="1:11" x14ac:dyDescent="0.25">
      <c r="A1842">
        <v>2021</v>
      </c>
      <c r="B1842" t="s">
        <v>10828</v>
      </c>
      <c r="C1842" t="s">
        <v>10829</v>
      </c>
      <c r="D1842" t="s">
        <v>19</v>
      </c>
      <c r="E1842" t="s">
        <v>20</v>
      </c>
      <c r="F1842" t="str">
        <f>"43615"</f>
        <v>43615</v>
      </c>
      <c r="G1842" t="str">
        <f>"402018"</f>
        <v>402018</v>
      </c>
      <c r="H1842" s="2">
        <f>20</f>
        <v>20</v>
      </c>
      <c r="I1842" t="s">
        <v>27</v>
      </c>
      <c r="J1842" t="s">
        <v>171</v>
      </c>
      <c r="K1842" t="str">
        <f>"517134"</f>
        <v>517134</v>
      </c>
    </row>
    <row r="1843" spans="1:11" x14ac:dyDescent="0.25">
      <c r="A1843">
        <v>2021</v>
      </c>
      <c r="B1843" t="s">
        <v>10830</v>
      </c>
      <c r="C1843" t="s">
        <v>10831</v>
      </c>
      <c r="D1843" t="s">
        <v>1286</v>
      </c>
      <c r="E1843" t="s">
        <v>20</v>
      </c>
      <c r="F1843" t="str">
        <f>"43567"</f>
        <v>43567</v>
      </c>
      <c r="G1843" t="str">
        <f>"402018"</f>
        <v>402018</v>
      </c>
      <c r="H1843" s="2">
        <f>9.08</f>
        <v>9.08</v>
      </c>
      <c r="I1843" t="s">
        <v>27</v>
      </c>
      <c r="J1843" t="s">
        <v>171</v>
      </c>
      <c r="K1843" t="str">
        <f>"517717"</f>
        <v>517717</v>
      </c>
    </row>
    <row r="1844" spans="1:11" x14ac:dyDescent="0.25">
      <c r="A1844">
        <v>2021</v>
      </c>
      <c r="B1844" t="s">
        <v>10832</v>
      </c>
      <c r="C1844" t="s">
        <v>10833</v>
      </c>
      <c r="D1844" t="s">
        <v>7068</v>
      </c>
      <c r="E1844" t="s">
        <v>14</v>
      </c>
      <c r="F1844" t="str">
        <f>"48390"</f>
        <v>48390</v>
      </c>
      <c r="G1844" t="str">
        <f>"402063"</f>
        <v>402063</v>
      </c>
      <c r="H1844" s="2">
        <f>158.24</f>
        <v>158.24</v>
      </c>
      <c r="I1844" t="s">
        <v>27</v>
      </c>
      <c r="J1844" t="s">
        <v>71</v>
      </c>
      <c r="K1844" t="str">
        <f>"22018087"</f>
        <v>22018087</v>
      </c>
    </row>
    <row r="1845" spans="1:11" x14ac:dyDescent="0.25">
      <c r="A1845">
        <v>2021</v>
      </c>
      <c r="B1845" t="s">
        <v>10834</v>
      </c>
      <c r="C1845" t="s">
        <v>10835</v>
      </c>
      <c r="D1845" t="s">
        <v>19</v>
      </c>
      <c r="E1845" t="s">
        <v>20</v>
      </c>
      <c r="F1845" t="str">
        <f>"43615"</f>
        <v>43615</v>
      </c>
      <c r="G1845" t="str">
        <f>"Bwucf4621"</f>
        <v>Bwucf4621</v>
      </c>
      <c r="H1845" s="2">
        <f>130.85</f>
        <v>130.85</v>
      </c>
      <c r="I1845" t="s">
        <v>15</v>
      </c>
      <c r="J1845" t="s">
        <v>295</v>
      </c>
      <c r="K1845" t="str">
        <f>"01436960"</f>
        <v>01436960</v>
      </c>
    </row>
    <row r="1846" spans="1:11" x14ac:dyDescent="0.25">
      <c r="A1846">
        <v>2021</v>
      </c>
      <c r="B1846" t="s">
        <v>10855</v>
      </c>
      <c r="C1846" t="s">
        <v>10856</v>
      </c>
      <c r="D1846" t="s">
        <v>19</v>
      </c>
      <c r="E1846" t="s">
        <v>20</v>
      </c>
      <c r="F1846" t="str">
        <f>"43605"</f>
        <v>43605</v>
      </c>
      <c r="G1846" t="str">
        <f>"402018"</f>
        <v>402018</v>
      </c>
      <c r="H1846" s="2">
        <f>3.85</f>
        <v>3.85</v>
      </c>
      <c r="I1846" t="s">
        <v>27</v>
      </c>
      <c r="J1846" t="s">
        <v>171</v>
      </c>
      <c r="K1846" t="str">
        <f>"515880"</f>
        <v>515880</v>
      </c>
    </row>
    <row r="1847" spans="1:11" x14ac:dyDescent="0.25">
      <c r="A1847">
        <v>2021</v>
      </c>
      <c r="B1847" t="s">
        <v>10859</v>
      </c>
      <c r="C1847" t="s">
        <v>10860</v>
      </c>
      <c r="D1847" t="s">
        <v>128</v>
      </c>
      <c r="E1847" t="s">
        <v>20</v>
      </c>
      <c r="F1847" t="str">
        <f>"43619"</f>
        <v>43619</v>
      </c>
      <c r="G1847" t="str">
        <f>"Pio448069"</f>
        <v>Pio448069</v>
      </c>
      <c r="H1847" s="2">
        <f>2.11</f>
        <v>2.11</v>
      </c>
      <c r="I1847" t="s">
        <v>86</v>
      </c>
      <c r="J1847" t="s">
        <v>87</v>
      </c>
      <c r="K1847" t="str">
        <f>"0"</f>
        <v>0</v>
      </c>
    </row>
    <row r="1848" spans="1:11" x14ac:dyDescent="0.25">
      <c r="A1848">
        <v>2021</v>
      </c>
      <c r="B1848" t="s">
        <v>10861</v>
      </c>
      <c r="C1848" t="s">
        <v>10862</v>
      </c>
      <c r="D1848" t="s">
        <v>19</v>
      </c>
      <c r="E1848" t="s">
        <v>20</v>
      </c>
      <c r="F1848" t="str">
        <f>"43606"</f>
        <v>43606</v>
      </c>
      <c r="G1848" t="str">
        <f>"Pio448069"</f>
        <v>Pio448069</v>
      </c>
      <c r="H1848" s="2">
        <f>21</f>
        <v>21</v>
      </c>
      <c r="I1848" t="s">
        <v>86</v>
      </c>
      <c r="J1848" t="s">
        <v>87</v>
      </c>
      <c r="K1848" t="str">
        <f>"0"</f>
        <v>0</v>
      </c>
    </row>
    <row r="1849" spans="1:11" x14ac:dyDescent="0.25">
      <c r="A1849">
        <v>2021</v>
      </c>
      <c r="B1849" t="s">
        <v>10863</v>
      </c>
      <c r="C1849" t="s">
        <v>6857</v>
      </c>
      <c r="D1849" t="s">
        <v>19</v>
      </c>
      <c r="E1849" t="s">
        <v>20</v>
      </c>
      <c r="F1849" t="str">
        <f>"43604"</f>
        <v>43604</v>
      </c>
      <c r="G1849" t="str">
        <f>"402017"</f>
        <v>402017</v>
      </c>
      <c r="H1849" s="2">
        <f>20</f>
        <v>20</v>
      </c>
      <c r="I1849" t="s">
        <v>27</v>
      </c>
      <c r="J1849" t="s">
        <v>212</v>
      </c>
      <c r="K1849" t="str">
        <f>"32742"</f>
        <v>32742</v>
      </c>
    </row>
    <row r="1850" spans="1:11" x14ac:dyDescent="0.25">
      <c r="A1850">
        <v>2021</v>
      </c>
      <c r="B1850" t="s">
        <v>10866</v>
      </c>
      <c r="C1850" t="s">
        <v>10867</v>
      </c>
      <c r="D1850" t="s">
        <v>125</v>
      </c>
      <c r="E1850" t="s">
        <v>20</v>
      </c>
      <c r="F1850" t="str">
        <f>"43537"</f>
        <v>43537</v>
      </c>
      <c r="G1850" t="str">
        <f>"Pio448069"</f>
        <v>Pio448069</v>
      </c>
      <c r="H1850" s="2">
        <f>1</f>
        <v>1</v>
      </c>
      <c r="I1850" t="s">
        <v>86</v>
      </c>
      <c r="J1850" t="s">
        <v>87</v>
      </c>
      <c r="K1850" t="str">
        <f>"0"</f>
        <v>0</v>
      </c>
    </row>
    <row r="1851" spans="1:11" x14ac:dyDescent="0.25">
      <c r="A1851">
        <v>2021</v>
      </c>
      <c r="B1851" t="s">
        <v>10875</v>
      </c>
      <c r="C1851" t="s">
        <v>10876</v>
      </c>
      <c r="D1851" t="s">
        <v>19</v>
      </c>
      <c r="E1851" t="s">
        <v>20</v>
      </c>
      <c r="F1851" t="str">
        <f>"43606"</f>
        <v>43606</v>
      </c>
      <c r="G1851" t="str">
        <f>"402017"</f>
        <v>402017</v>
      </c>
      <c r="H1851" s="2">
        <f>671.27</f>
        <v>671.27</v>
      </c>
      <c r="I1851" t="s">
        <v>27</v>
      </c>
      <c r="J1851" t="s">
        <v>212</v>
      </c>
      <c r="K1851" t="str">
        <f>"33288"</f>
        <v>33288</v>
      </c>
    </row>
    <row r="1852" spans="1:11" x14ac:dyDescent="0.25">
      <c r="A1852">
        <v>2021</v>
      </c>
      <c r="B1852" t="s">
        <v>10877</v>
      </c>
      <c r="C1852" t="s">
        <v>10878</v>
      </c>
      <c r="D1852" t="s">
        <v>19</v>
      </c>
      <c r="E1852" t="s">
        <v>20</v>
      </c>
      <c r="F1852" t="str">
        <f>"43613"</f>
        <v>43613</v>
      </c>
      <c r="G1852" t="str">
        <f>"Pio448069"</f>
        <v>Pio448069</v>
      </c>
      <c r="H1852" s="2">
        <f>75.43</f>
        <v>75.430000000000007</v>
      </c>
      <c r="I1852" t="s">
        <v>86</v>
      </c>
      <c r="J1852" t="s">
        <v>87</v>
      </c>
      <c r="K1852" t="str">
        <f>"0"</f>
        <v>0</v>
      </c>
    </row>
    <row r="1853" spans="1:11" x14ac:dyDescent="0.25">
      <c r="A1853">
        <v>2021</v>
      </c>
      <c r="B1853" t="s">
        <v>10891</v>
      </c>
      <c r="C1853" t="s">
        <v>10892</v>
      </c>
      <c r="D1853" t="s">
        <v>10893</v>
      </c>
      <c r="E1853" t="s">
        <v>14</v>
      </c>
      <c r="F1853" t="str">
        <f>"48101"</f>
        <v>48101</v>
      </c>
      <c r="G1853" t="str">
        <f>"Pio448069"</f>
        <v>Pio448069</v>
      </c>
      <c r="H1853" s="2">
        <f>0.01</f>
        <v>0.01</v>
      </c>
      <c r="I1853" t="s">
        <v>86</v>
      </c>
      <c r="J1853" t="s">
        <v>87</v>
      </c>
      <c r="K1853" t="str">
        <f>"0"</f>
        <v>0</v>
      </c>
    </row>
    <row r="1854" spans="1:11" x14ac:dyDescent="0.25">
      <c r="A1854">
        <v>2021</v>
      </c>
      <c r="B1854" t="s">
        <v>10898</v>
      </c>
      <c r="C1854" t="s">
        <v>10899</v>
      </c>
      <c r="D1854" t="s">
        <v>10900</v>
      </c>
      <c r="E1854" t="s">
        <v>20</v>
      </c>
      <c r="F1854" t="str">
        <f>"43431"</f>
        <v>43431</v>
      </c>
      <c r="G1854" t="str">
        <f>"402018"</f>
        <v>402018</v>
      </c>
      <c r="H1854" s="2">
        <f>25</f>
        <v>25</v>
      </c>
      <c r="I1854" t="s">
        <v>27</v>
      </c>
      <c r="J1854" t="s">
        <v>171</v>
      </c>
      <c r="K1854" t="str">
        <f>"517312"</f>
        <v>517312</v>
      </c>
    </row>
    <row r="1855" spans="1:11" x14ac:dyDescent="0.25">
      <c r="A1855">
        <v>2021</v>
      </c>
      <c r="B1855" t="s">
        <v>10901</v>
      </c>
      <c r="C1855" t="s">
        <v>10902</v>
      </c>
      <c r="D1855" t="s">
        <v>19</v>
      </c>
      <c r="E1855" t="s">
        <v>20</v>
      </c>
      <c r="F1855" t="str">
        <f>"43611"</f>
        <v>43611</v>
      </c>
      <c r="G1855" t="str">
        <f>"Pio448069"</f>
        <v>Pio448069</v>
      </c>
      <c r="H1855" s="2">
        <f>3.15</f>
        <v>3.15</v>
      </c>
      <c r="I1855" t="s">
        <v>86</v>
      </c>
      <c r="J1855" t="s">
        <v>87</v>
      </c>
      <c r="K1855" t="str">
        <f>"0"</f>
        <v>0</v>
      </c>
    </row>
    <row r="1856" spans="1:11" x14ac:dyDescent="0.25">
      <c r="A1856">
        <v>2021</v>
      </c>
      <c r="B1856" t="s">
        <v>10907</v>
      </c>
      <c r="C1856" t="s">
        <v>10908</v>
      </c>
      <c r="D1856" t="s">
        <v>19</v>
      </c>
      <c r="E1856" t="s">
        <v>20</v>
      </c>
      <c r="F1856" t="str">
        <f>"43608"</f>
        <v>43608</v>
      </c>
      <c r="G1856" t="str">
        <f>"Pio448069"</f>
        <v>Pio448069</v>
      </c>
      <c r="H1856" s="2">
        <f>73.73</f>
        <v>73.73</v>
      </c>
      <c r="I1856" t="s">
        <v>86</v>
      </c>
      <c r="J1856" t="s">
        <v>87</v>
      </c>
      <c r="K1856" t="str">
        <f>"0"</f>
        <v>0</v>
      </c>
    </row>
    <row r="1857" spans="1:11" x14ac:dyDescent="0.25">
      <c r="A1857">
        <v>2021</v>
      </c>
      <c r="B1857" t="s">
        <v>10909</v>
      </c>
      <c r="C1857" t="s">
        <v>1734</v>
      </c>
      <c r="D1857" t="s">
        <v>19</v>
      </c>
      <c r="E1857" t="s">
        <v>20</v>
      </c>
      <c r="F1857" t="str">
        <f>"43604"</f>
        <v>43604</v>
      </c>
      <c r="G1857" t="str">
        <f>"402017"</f>
        <v>402017</v>
      </c>
      <c r="H1857" s="2">
        <f>3.4</f>
        <v>3.4</v>
      </c>
      <c r="I1857" t="s">
        <v>27</v>
      </c>
      <c r="J1857" t="s">
        <v>212</v>
      </c>
      <c r="K1857" t="str">
        <f>"35136"</f>
        <v>35136</v>
      </c>
    </row>
    <row r="1858" spans="1:11" x14ac:dyDescent="0.25">
      <c r="A1858">
        <v>2021</v>
      </c>
      <c r="B1858" t="s">
        <v>10910</v>
      </c>
      <c r="C1858" t="s">
        <v>10911</v>
      </c>
      <c r="D1858" t="s">
        <v>19</v>
      </c>
      <c r="E1858" t="s">
        <v>20</v>
      </c>
      <c r="F1858" t="str">
        <f>"43614"</f>
        <v>43614</v>
      </c>
      <c r="G1858" t="str">
        <f>"402018"</f>
        <v>402018</v>
      </c>
      <c r="H1858" s="2">
        <f>25</f>
        <v>25</v>
      </c>
      <c r="I1858" t="s">
        <v>27</v>
      </c>
      <c r="J1858" t="s">
        <v>171</v>
      </c>
      <c r="K1858" t="str">
        <f>"517321"</f>
        <v>517321</v>
      </c>
    </row>
    <row r="1859" spans="1:11" x14ac:dyDescent="0.25">
      <c r="A1859">
        <v>2021</v>
      </c>
      <c r="B1859" t="s">
        <v>10914</v>
      </c>
      <c r="C1859" t="s">
        <v>10915</v>
      </c>
      <c r="D1859" t="s">
        <v>19</v>
      </c>
      <c r="E1859" t="s">
        <v>20</v>
      </c>
      <c r="F1859" t="str">
        <f>"43609"</f>
        <v>43609</v>
      </c>
      <c r="G1859" t="str">
        <f>"Pio448069"</f>
        <v>Pio448069</v>
      </c>
      <c r="H1859" s="2">
        <f>12.23</f>
        <v>12.23</v>
      </c>
      <c r="I1859" t="s">
        <v>86</v>
      </c>
      <c r="J1859" t="s">
        <v>87</v>
      </c>
      <c r="K1859" t="str">
        <f>"0"</f>
        <v>0</v>
      </c>
    </row>
    <row r="1860" spans="1:11" x14ac:dyDescent="0.25">
      <c r="A1860">
        <v>2021</v>
      </c>
      <c r="B1860" t="s">
        <v>10916</v>
      </c>
      <c r="C1860" t="s">
        <v>10917</v>
      </c>
      <c r="D1860" t="s">
        <v>4044</v>
      </c>
      <c r="E1860" t="s">
        <v>20</v>
      </c>
      <c r="F1860" t="str">
        <f>"44883"</f>
        <v>44883</v>
      </c>
      <c r="G1860" t="str">
        <f t="shared" ref="G1860:G1866" si="53">"402018"</f>
        <v>402018</v>
      </c>
      <c r="H1860" s="2">
        <f>9.08</f>
        <v>9.08</v>
      </c>
      <c r="I1860" t="s">
        <v>27</v>
      </c>
      <c r="J1860" t="s">
        <v>171</v>
      </c>
      <c r="K1860" t="str">
        <f>"517720"</f>
        <v>517720</v>
      </c>
    </row>
    <row r="1861" spans="1:11" x14ac:dyDescent="0.25">
      <c r="A1861">
        <v>2021</v>
      </c>
      <c r="B1861" t="s">
        <v>10921</v>
      </c>
      <c r="C1861" t="s">
        <v>10922</v>
      </c>
      <c r="D1861" t="s">
        <v>19</v>
      </c>
      <c r="E1861" t="s">
        <v>20</v>
      </c>
      <c r="F1861" t="str">
        <f t="shared" ref="F1861:F1867" si="54">"43607"</f>
        <v>43607</v>
      </c>
      <c r="G1861" t="str">
        <f t="shared" si="53"/>
        <v>402018</v>
      </c>
      <c r="H1861" s="2">
        <f>1.82</f>
        <v>1.82</v>
      </c>
      <c r="I1861" t="s">
        <v>27</v>
      </c>
      <c r="J1861" t="s">
        <v>171</v>
      </c>
      <c r="K1861" t="str">
        <f>"517787"</f>
        <v>517787</v>
      </c>
    </row>
    <row r="1862" spans="1:11" x14ac:dyDescent="0.25">
      <c r="A1862">
        <v>2021</v>
      </c>
      <c r="B1862" t="s">
        <v>10921</v>
      </c>
      <c r="C1862" t="s">
        <v>10922</v>
      </c>
      <c r="D1862" t="s">
        <v>19</v>
      </c>
      <c r="E1862" t="s">
        <v>20</v>
      </c>
      <c r="F1862" t="str">
        <f t="shared" si="54"/>
        <v>43607</v>
      </c>
      <c r="G1862" t="str">
        <f t="shared" si="53"/>
        <v>402018</v>
      </c>
      <c r="H1862" s="2">
        <f>3.33</f>
        <v>3.33</v>
      </c>
      <c r="I1862" t="s">
        <v>27</v>
      </c>
      <c r="J1862" t="s">
        <v>171</v>
      </c>
      <c r="K1862" t="str">
        <f>"516361"</f>
        <v>516361</v>
      </c>
    </row>
    <row r="1863" spans="1:11" x14ac:dyDescent="0.25">
      <c r="A1863">
        <v>2021</v>
      </c>
      <c r="B1863" t="s">
        <v>10921</v>
      </c>
      <c r="C1863" t="s">
        <v>10922</v>
      </c>
      <c r="D1863" t="s">
        <v>19</v>
      </c>
      <c r="E1863" t="s">
        <v>20</v>
      </c>
      <c r="F1863" t="str">
        <f t="shared" si="54"/>
        <v>43607</v>
      </c>
      <c r="G1863" t="str">
        <f t="shared" si="53"/>
        <v>402018</v>
      </c>
      <c r="H1863" s="2">
        <f>2.08</f>
        <v>2.08</v>
      </c>
      <c r="I1863" t="s">
        <v>27</v>
      </c>
      <c r="J1863" t="s">
        <v>171</v>
      </c>
      <c r="K1863" t="str">
        <f>"516555"</f>
        <v>516555</v>
      </c>
    </row>
    <row r="1864" spans="1:11" x14ac:dyDescent="0.25">
      <c r="A1864">
        <v>2021</v>
      </c>
      <c r="B1864" t="s">
        <v>10921</v>
      </c>
      <c r="C1864" t="s">
        <v>10922</v>
      </c>
      <c r="D1864" t="s">
        <v>19</v>
      </c>
      <c r="E1864" t="s">
        <v>20</v>
      </c>
      <c r="F1864" t="str">
        <f t="shared" si="54"/>
        <v>43607</v>
      </c>
      <c r="G1864" t="str">
        <f t="shared" si="53"/>
        <v>402018</v>
      </c>
      <c r="H1864" s="2">
        <f>1.82</f>
        <v>1.82</v>
      </c>
      <c r="I1864" t="s">
        <v>27</v>
      </c>
      <c r="J1864" t="s">
        <v>171</v>
      </c>
      <c r="K1864" t="str">
        <f>"516992"</f>
        <v>516992</v>
      </c>
    </row>
    <row r="1865" spans="1:11" x14ac:dyDescent="0.25">
      <c r="A1865">
        <v>2021</v>
      </c>
      <c r="B1865" t="s">
        <v>10921</v>
      </c>
      <c r="C1865" t="s">
        <v>10922</v>
      </c>
      <c r="D1865" t="s">
        <v>19</v>
      </c>
      <c r="E1865" t="s">
        <v>20</v>
      </c>
      <c r="F1865" t="str">
        <f t="shared" si="54"/>
        <v>43607</v>
      </c>
      <c r="G1865" t="str">
        <f t="shared" si="53"/>
        <v>402018</v>
      </c>
      <c r="H1865" s="2">
        <f>1.82</f>
        <v>1.82</v>
      </c>
      <c r="I1865" t="s">
        <v>27</v>
      </c>
      <c r="J1865" t="s">
        <v>171</v>
      </c>
      <c r="K1865" t="str">
        <f>"517929"</f>
        <v>517929</v>
      </c>
    </row>
    <row r="1866" spans="1:11" x14ac:dyDescent="0.25">
      <c r="A1866">
        <v>2021</v>
      </c>
      <c r="B1866" t="s">
        <v>10921</v>
      </c>
      <c r="C1866" t="s">
        <v>10922</v>
      </c>
      <c r="D1866" t="s">
        <v>19</v>
      </c>
      <c r="E1866" t="s">
        <v>20</v>
      </c>
      <c r="F1866" t="str">
        <f t="shared" si="54"/>
        <v>43607</v>
      </c>
      <c r="G1866" t="str">
        <f t="shared" si="53"/>
        <v>402018</v>
      </c>
      <c r="H1866" s="2">
        <f>1.67</f>
        <v>1.67</v>
      </c>
      <c r="I1866" t="s">
        <v>27</v>
      </c>
      <c r="J1866" t="s">
        <v>171</v>
      </c>
      <c r="K1866" t="str">
        <f>"515661"</f>
        <v>515661</v>
      </c>
    </row>
    <row r="1867" spans="1:11" x14ac:dyDescent="0.25">
      <c r="A1867">
        <v>2021</v>
      </c>
      <c r="B1867" t="s">
        <v>10929</v>
      </c>
      <c r="C1867" t="s">
        <v>10930</v>
      </c>
      <c r="D1867" t="s">
        <v>19</v>
      </c>
      <c r="E1867" t="s">
        <v>20</v>
      </c>
      <c r="F1867" t="str">
        <f t="shared" si="54"/>
        <v>43607</v>
      </c>
      <c r="G1867" t="str">
        <f>"Pio448069"</f>
        <v>Pio448069</v>
      </c>
      <c r="H1867" s="2">
        <f>2.5</f>
        <v>2.5</v>
      </c>
      <c r="I1867" t="s">
        <v>86</v>
      </c>
      <c r="J1867" t="s">
        <v>87</v>
      </c>
      <c r="K1867" t="str">
        <f>"0"</f>
        <v>0</v>
      </c>
    </row>
    <row r="1868" spans="1:11" x14ac:dyDescent="0.25">
      <c r="A1868">
        <v>2021</v>
      </c>
      <c r="B1868" t="s">
        <v>10935</v>
      </c>
      <c r="C1868" t="s">
        <v>10936</v>
      </c>
      <c r="D1868" t="s">
        <v>19</v>
      </c>
      <c r="E1868" t="s">
        <v>20</v>
      </c>
      <c r="F1868" t="str">
        <f>"43623"</f>
        <v>43623</v>
      </c>
      <c r="G1868" t="str">
        <f>"402018"</f>
        <v>402018</v>
      </c>
      <c r="H1868" s="2">
        <f>10</f>
        <v>10</v>
      </c>
      <c r="I1868" t="s">
        <v>27</v>
      </c>
      <c r="J1868" t="s">
        <v>171</v>
      </c>
      <c r="K1868" t="str">
        <f>"516571"</f>
        <v>516571</v>
      </c>
    </row>
    <row r="1869" spans="1:11" x14ac:dyDescent="0.25">
      <c r="A1869">
        <v>2021</v>
      </c>
      <c r="B1869" t="s">
        <v>10935</v>
      </c>
      <c r="C1869" t="s">
        <v>10936</v>
      </c>
      <c r="D1869" t="s">
        <v>19</v>
      </c>
      <c r="E1869" t="s">
        <v>20</v>
      </c>
      <c r="F1869" t="str">
        <f>"43623"</f>
        <v>43623</v>
      </c>
      <c r="G1869" t="str">
        <f>"402018"</f>
        <v>402018</v>
      </c>
      <c r="H1869" s="2">
        <f>10</f>
        <v>10</v>
      </c>
      <c r="I1869" t="s">
        <v>27</v>
      </c>
      <c r="J1869" t="s">
        <v>171</v>
      </c>
      <c r="K1869" t="str">
        <f>"516099"</f>
        <v>516099</v>
      </c>
    </row>
    <row r="1870" spans="1:11" x14ac:dyDescent="0.25">
      <c r="A1870">
        <v>2021</v>
      </c>
      <c r="B1870" t="s">
        <v>10935</v>
      </c>
      <c r="C1870" t="s">
        <v>10936</v>
      </c>
      <c r="D1870" t="s">
        <v>19</v>
      </c>
      <c r="E1870" t="s">
        <v>20</v>
      </c>
      <c r="F1870" t="str">
        <f>"43623"</f>
        <v>43623</v>
      </c>
      <c r="G1870" t="str">
        <f>"402018"</f>
        <v>402018</v>
      </c>
      <c r="H1870" s="2">
        <f>5</f>
        <v>5</v>
      </c>
      <c r="I1870" t="s">
        <v>27</v>
      </c>
      <c r="J1870" t="s">
        <v>171</v>
      </c>
      <c r="K1870" t="str">
        <f>"515567"</f>
        <v>515567</v>
      </c>
    </row>
    <row r="1871" spans="1:11" x14ac:dyDescent="0.25">
      <c r="A1871">
        <v>2021</v>
      </c>
      <c r="B1871" t="s">
        <v>10937</v>
      </c>
      <c r="C1871" t="s">
        <v>10938</v>
      </c>
      <c r="D1871" t="s">
        <v>19</v>
      </c>
      <c r="E1871" t="s">
        <v>20</v>
      </c>
      <c r="F1871" t="str">
        <f>"43605"</f>
        <v>43605</v>
      </c>
      <c r="G1871" t="str">
        <f>"Pio448069"</f>
        <v>Pio448069</v>
      </c>
      <c r="H1871" s="2">
        <f>0.27</f>
        <v>0.27</v>
      </c>
      <c r="I1871" t="s">
        <v>86</v>
      </c>
      <c r="J1871" t="s">
        <v>87</v>
      </c>
      <c r="K1871" t="str">
        <f>"0"</f>
        <v>0</v>
      </c>
    </row>
    <row r="1872" spans="1:11" x14ac:dyDescent="0.25">
      <c r="A1872">
        <v>2021</v>
      </c>
      <c r="B1872" t="s">
        <v>10939</v>
      </c>
      <c r="C1872" t="s">
        <v>10940</v>
      </c>
      <c r="D1872" t="s">
        <v>128</v>
      </c>
      <c r="E1872" t="s">
        <v>20</v>
      </c>
      <c r="F1872" t="str">
        <f>"43619"</f>
        <v>43619</v>
      </c>
      <c r="G1872" t="str">
        <f>"Pio448069"</f>
        <v>Pio448069</v>
      </c>
      <c r="H1872" s="2">
        <f>0.05</f>
        <v>0.05</v>
      </c>
      <c r="I1872" t="s">
        <v>86</v>
      </c>
      <c r="J1872" t="s">
        <v>87</v>
      </c>
      <c r="K1872" t="str">
        <f>"0"</f>
        <v>0</v>
      </c>
    </row>
    <row r="1873" spans="1:11" x14ac:dyDescent="0.25">
      <c r="A1873">
        <v>2021</v>
      </c>
      <c r="B1873" t="s">
        <v>10943</v>
      </c>
      <c r="C1873" t="s">
        <v>10944</v>
      </c>
      <c r="D1873" t="s">
        <v>50</v>
      </c>
      <c r="E1873" t="s">
        <v>20</v>
      </c>
      <c r="F1873" t="str">
        <f>"43560"</f>
        <v>43560</v>
      </c>
      <c r="G1873" t="str">
        <f>"402018"</f>
        <v>402018</v>
      </c>
      <c r="H1873" s="2">
        <f>9.08</f>
        <v>9.08</v>
      </c>
      <c r="I1873" t="s">
        <v>27</v>
      </c>
      <c r="J1873" t="s">
        <v>171</v>
      </c>
      <c r="K1873" t="str">
        <f>"517722"</f>
        <v>517722</v>
      </c>
    </row>
    <row r="1874" spans="1:11" x14ac:dyDescent="0.25">
      <c r="A1874">
        <v>2021</v>
      </c>
      <c r="B1874" t="s">
        <v>10967</v>
      </c>
      <c r="C1874" t="s">
        <v>10968</v>
      </c>
      <c r="D1874" t="s">
        <v>19</v>
      </c>
      <c r="E1874" t="s">
        <v>20</v>
      </c>
      <c r="F1874" t="str">
        <f>"43612"</f>
        <v>43612</v>
      </c>
      <c r="G1874" t="str">
        <f>"402018"</f>
        <v>402018</v>
      </c>
      <c r="H1874" s="2">
        <f>9.08</f>
        <v>9.08</v>
      </c>
      <c r="I1874" t="s">
        <v>27</v>
      </c>
      <c r="J1874" t="s">
        <v>171</v>
      </c>
      <c r="K1874" t="str">
        <f>"517723"</f>
        <v>517723</v>
      </c>
    </row>
    <row r="1875" spans="1:11" x14ac:dyDescent="0.25">
      <c r="A1875">
        <v>2021</v>
      </c>
      <c r="B1875" t="s">
        <v>10971</v>
      </c>
      <c r="C1875" t="s">
        <v>10972</v>
      </c>
      <c r="D1875" t="s">
        <v>536</v>
      </c>
      <c r="E1875" t="s">
        <v>14</v>
      </c>
      <c r="F1875" t="str">
        <f>"48162"</f>
        <v>48162</v>
      </c>
      <c r="G1875" t="str">
        <f>"Pio448069"</f>
        <v>Pio448069</v>
      </c>
      <c r="H1875" s="2">
        <f>1.4</f>
        <v>1.4</v>
      </c>
      <c r="I1875" t="s">
        <v>86</v>
      </c>
      <c r="J1875" t="s">
        <v>87</v>
      </c>
      <c r="K1875" t="str">
        <f>"0"</f>
        <v>0</v>
      </c>
    </row>
    <row r="1876" spans="1:11" x14ac:dyDescent="0.25">
      <c r="A1876">
        <v>2021</v>
      </c>
      <c r="B1876" t="s">
        <v>10977</v>
      </c>
      <c r="C1876" t="s">
        <v>10978</v>
      </c>
      <c r="D1876" t="s">
        <v>19</v>
      </c>
      <c r="E1876" t="s">
        <v>20</v>
      </c>
      <c r="F1876" t="str">
        <f>"43615"</f>
        <v>43615</v>
      </c>
      <c r="G1876" t="str">
        <f>"Pio448069"</f>
        <v>Pio448069</v>
      </c>
      <c r="H1876" s="2">
        <f>41</f>
        <v>41</v>
      </c>
      <c r="I1876" t="s">
        <v>86</v>
      </c>
      <c r="J1876" t="s">
        <v>87</v>
      </c>
      <c r="K1876" t="str">
        <f>"0"</f>
        <v>0</v>
      </c>
    </row>
    <row r="1877" spans="1:11" x14ac:dyDescent="0.25">
      <c r="A1877">
        <v>2021</v>
      </c>
      <c r="B1877" t="s">
        <v>10979</v>
      </c>
      <c r="C1877" t="s">
        <v>10980</v>
      </c>
      <c r="D1877" t="s">
        <v>19</v>
      </c>
      <c r="E1877" t="s">
        <v>20</v>
      </c>
      <c r="F1877" t="str">
        <f>"43608"</f>
        <v>43608</v>
      </c>
      <c r="G1877" t="str">
        <f>"Je110321"</f>
        <v>Je110321</v>
      </c>
      <c r="H1877" s="2">
        <f>1505.64</f>
        <v>1505.64</v>
      </c>
      <c r="I1877" t="s">
        <v>15</v>
      </c>
      <c r="J1877" t="s">
        <v>596</v>
      </c>
      <c r="K1877" t="str">
        <f>"60025040"</f>
        <v>60025040</v>
      </c>
    </row>
    <row r="1878" spans="1:11" x14ac:dyDescent="0.25">
      <c r="A1878">
        <v>2021</v>
      </c>
      <c r="B1878" t="s">
        <v>10981</v>
      </c>
      <c r="C1878" t="s">
        <v>10982</v>
      </c>
      <c r="D1878" t="s">
        <v>1177</v>
      </c>
      <c r="E1878" t="s">
        <v>418</v>
      </c>
      <c r="F1878" t="str">
        <f>"60563"</f>
        <v>60563</v>
      </c>
      <c r="G1878" t="str">
        <f>"402017"</f>
        <v>402017</v>
      </c>
      <c r="H1878" s="2">
        <f>334.65</f>
        <v>334.65</v>
      </c>
      <c r="I1878" t="s">
        <v>27</v>
      </c>
      <c r="J1878" t="s">
        <v>212</v>
      </c>
      <c r="K1878" t="str">
        <f>"35564"</f>
        <v>35564</v>
      </c>
    </row>
    <row r="1879" spans="1:11" x14ac:dyDescent="0.25">
      <c r="A1879">
        <v>2021</v>
      </c>
      <c r="B1879" t="s">
        <v>10986</v>
      </c>
      <c r="C1879" t="s">
        <v>10987</v>
      </c>
      <c r="D1879" t="s">
        <v>10988</v>
      </c>
      <c r="E1879" t="s">
        <v>85</v>
      </c>
      <c r="F1879" t="str">
        <f>"98230"</f>
        <v>98230</v>
      </c>
      <c r="G1879" t="str">
        <f>"396747"</f>
        <v>396747</v>
      </c>
      <c r="H1879" s="2">
        <f>0.57</f>
        <v>0.56999999999999995</v>
      </c>
      <c r="I1879" t="s">
        <v>86</v>
      </c>
      <c r="J1879" t="s">
        <v>1075</v>
      </c>
      <c r="K1879" t="str">
        <f>"29244"</f>
        <v>29244</v>
      </c>
    </row>
    <row r="1880" spans="1:11" x14ac:dyDescent="0.25">
      <c r="A1880">
        <v>2021</v>
      </c>
      <c r="B1880" t="s">
        <v>10994</v>
      </c>
      <c r="C1880" t="s">
        <v>10995</v>
      </c>
      <c r="D1880" t="s">
        <v>120</v>
      </c>
      <c r="E1880" t="s">
        <v>14</v>
      </c>
      <c r="F1880" t="str">
        <f>"49504"</f>
        <v>49504</v>
      </c>
      <c r="G1880" t="str">
        <f>"Pio448069"</f>
        <v>Pio448069</v>
      </c>
      <c r="H1880" s="2">
        <f>112</f>
        <v>112</v>
      </c>
      <c r="I1880" t="s">
        <v>86</v>
      </c>
      <c r="J1880" t="s">
        <v>87</v>
      </c>
      <c r="K1880" t="str">
        <f>"0"</f>
        <v>0</v>
      </c>
    </row>
    <row r="1881" spans="1:11" x14ac:dyDescent="0.25">
      <c r="A1881">
        <v>2021</v>
      </c>
      <c r="B1881" t="s">
        <v>11003</v>
      </c>
      <c r="C1881" t="s">
        <v>11004</v>
      </c>
      <c r="D1881" t="s">
        <v>50</v>
      </c>
      <c r="E1881" t="s">
        <v>20</v>
      </c>
      <c r="F1881" t="str">
        <f>"43560"</f>
        <v>43560</v>
      </c>
      <c r="G1881" t="str">
        <f>"402017"</f>
        <v>402017</v>
      </c>
      <c r="H1881" s="2">
        <f>15.26</f>
        <v>15.26</v>
      </c>
      <c r="I1881" t="s">
        <v>27</v>
      </c>
      <c r="J1881" t="s">
        <v>212</v>
      </c>
      <c r="K1881" t="str">
        <f>"35267"</f>
        <v>35267</v>
      </c>
    </row>
    <row r="1882" spans="1:11" x14ac:dyDescent="0.25">
      <c r="A1882">
        <v>2021</v>
      </c>
      <c r="B1882" t="s">
        <v>11005</v>
      </c>
      <c r="C1882" t="s">
        <v>11006</v>
      </c>
      <c r="D1882" t="s">
        <v>19</v>
      </c>
      <c r="E1882" t="s">
        <v>20</v>
      </c>
      <c r="F1882" t="str">
        <f>"43606-3074"</f>
        <v>43606-3074</v>
      </c>
      <c r="G1882" t="str">
        <f>"Swucf4621"</f>
        <v>Swucf4621</v>
      </c>
      <c r="H1882" s="2">
        <f>55.47</f>
        <v>55.47</v>
      </c>
      <c r="I1882" t="s">
        <v>15</v>
      </c>
      <c r="J1882" t="s">
        <v>81</v>
      </c>
      <c r="K1882" t="str">
        <f>"6298876"</f>
        <v>6298876</v>
      </c>
    </row>
    <row r="1883" spans="1:11" x14ac:dyDescent="0.25">
      <c r="A1883">
        <v>2021</v>
      </c>
      <c r="B1883" t="s">
        <v>11005</v>
      </c>
      <c r="C1883" t="s">
        <v>11006</v>
      </c>
      <c r="D1883" t="s">
        <v>19</v>
      </c>
      <c r="E1883" t="s">
        <v>20</v>
      </c>
      <c r="F1883" t="str">
        <f>"43606-3074"</f>
        <v>43606-3074</v>
      </c>
      <c r="G1883" t="str">
        <f>"Swucf4621"</f>
        <v>Swucf4621</v>
      </c>
      <c r="H1883" s="2">
        <f>55.47</f>
        <v>55.47</v>
      </c>
      <c r="I1883" t="s">
        <v>15</v>
      </c>
      <c r="J1883" t="s">
        <v>81</v>
      </c>
      <c r="K1883" t="str">
        <f>"6294076"</f>
        <v>6294076</v>
      </c>
    </row>
    <row r="1884" spans="1:11" x14ac:dyDescent="0.25">
      <c r="A1884">
        <v>2021</v>
      </c>
      <c r="B1884" t="s">
        <v>11017</v>
      </c>
      <c r="C1884" t="s">
        <v>11018</v>
      </c>
      <c r="D1884" t="s">
        <v>19</v>
      </c>
      <c r="E1884" t="s">
        <v>20</v>
      </c>
      <c r="F1884" t="str">
        <f>"43607-1376"</f>
        <v>43607-1376</v>
      </c>
      <c r="G1884" t="str">
        <f>"402019"</f>
        <v>402019</v>
      </c>
      <c r="H1884" s="2">
        <f>10</f>
        <v>10</v>
      </c>
      <c r="I1884" t="s">
        <v>27</v>
      </c>
      <c r="J1884" t="s">
        <v>42</v>
      </c>
      <c r="K1884" t="str">
        <f>"113630"</f>
        <v>113630</v>
      </c>
    </row>
    <row r="1885" spans="1:11" x14ac:dyDescent="0.25">
      <c r="A1885">
        <v>2021</v>
      </c>
      <c r="B1885" t="s">
        <v>11024</v>
      </c>
      <c r="C1885" t="s">
        <v>11025</v>
      </c>
      <c r="D1885" t="s">
        <v>19</v>
      </c>
      <c r="E1885" t="s">
        <v>20</v>
      </c>
      <c r="F1885" t="str">
        <f>"43614"</f>
        <v>43614</v>
      </c>
      <c r="G1885" t="str">
        <f>"402018"</f>
        <v>402018</v>
      </c>
      <c r="H1885" s="2">
        <f>9.08</f>
        <v>9.08</v>
      </c>
      <c r="I1885" t="s">
        <v>27</v>
      </c>
      <c r="J1885" t="s">
        <v>171</v>
      </c>
      <c r="K1885" t="str">
        <f>"517725"</f>
        <v>517725</v>
      </c>
    </row>
    <row r="1886" spans="1:11" x14ac:dyDescent="0.25">
      <c r="A1886">
        <v>2021</v>
      </c>
      <c r="B1886" t="s">
        <v>11026</v>
      </c>
      <c r="C1886" t="s">
        <v>11027</v>
      </c>
      <c r="D1886" t="s">
        <v>11028</v>
      </c>
      <c r="E1886" t="s">
        <v>20</v>
      </c>
      <c r="F1886" t="str">
        <f>"68501-2588"</f>
        <v>68501-2588</v>
      </c>
      <c r="G1886" t="str">
        <f>"Je110321"</f>
        <v>Je110321</v>
      </c>
      <c r="H1886" s="2">
        <f>206.04</f>
        <v>206.04</v>
      </c>
      <c r="I1886" t="s">
        <v>15</v>
      </c>
      <c r="J1886" t="s">
        <v>596</v>
      </c>
      <c r="K1886" t="str">
        <f>"60024356"</f>
        <v>60024356</v>
      </c>
    </row>
    <row r="1887" spans="1:11" x14ac:dyDescent="0.25">
      <c r="A1887">
        <v>2021</v>
      </c>
      <c r="B1887" t="s">
        <v>11029</v>
      </c>
      <c r="C1887" t="s">
        <v>11030</v>
      </c>
      <c r="D1887" t="s">
        <v>125</v>
      </c>
      <c r="E1887" t="s">
        <v>20</v>
      </c>
      <c r="F1887" t="str">
        <f>"43537"</f>
        <v>43537</v>
      </c>
      <c r="G1887" t="str">
        <f>"Pio448069"</f>
        <v>Pio448069</v>
      </c>
      <c r="H1887" s="2">
        <f>5</f>
        <v>5</v>
      </c>
      <c r="I1887" t="s">
        <v>86</v>
      </c>
      <c r="J1887" t="s">
        <v>87</v>
      </c>
      <c r="K1887" t="str">
        <f>"0"</f>
        <v>0</v>
      </c>
    </row>
    <row r="1888" spans="1:11" x14ac:dyDescent="0.25">
      <c r="A1888">
        <v>2021</v>
      </c>
      <c r="B1888" t="s">
        <v>11031</v>
      </c>
      <c r="C1888" t="s">
        <v>11032</v>
      </c>
      <c r="D1888" t="s">
        <v>19</v>
      </c>
      <c r="E1888" t="s">
        <v>20</v>
      </c>
      <c r="F1888" t="str">
        <f>"43604"</f>
        <v>43604</v>
      </c>
      <c r="G1888" t="str">
        <f>"Pio448069"</f>
        <v>Pio448069</v>
      </c>
      <c r="H1888" s="2">
        <f>12</f>
        <v>12</v>
      </c>
      <c r="I1888" t="s">
        <v>86</v>
      </c>
      <c r="J1888" t="s">
        <v>87</v>
      </c>
      <c r="K1888" t="str">
        <f>"0"</f>
        <v>0</v>
      </c>
    </row>
    <row r="1889" spans="1:11" x14ac:dyDescent="0.25">
      <c r="A1889">
        <v>2021</v>
      </c>
      <c r="B1889" t="s">
        <v>11036</v>
      </c>
      <c r="C1889" t="s">
        <v>11037</v>
      </c>
      <c r="D1889" t="s">
        <v>19</v>
      </c>
      <c r="E1889" t="s">
        <v>20</v>
      </c>
      <c r="F1889" t="str">
        <f>"43613"</f>
        <v>43613</v>
      </c>
      <c r="G1889" t="str">
        <f>"Je110321"</f>
        <v>Je110321</v>
      </c>
      <c r="H1889" s="2">
        <f>96.92</f>
        <v>96.92</v>
      </c>
      <c r="I1889" t="s">
        <v>15</v>
      </c>
      <c r="J1889" t="s">
        <v>596</v>
      </c>
      <c r="K1889" t="str">
        <f>"60021758"</f>
        <v>60021758</v>
      </c>
    </row>
    <row r="1890" spans="1:11" x14ac:dyDescent="0.25">
      <c r="A1890">
        <v>2021</v>
      </c>
      <c r="B1890" t="s">
        <v>11038</v>
      </c>
      <c r="C1890" t="s">
        <v>11039</v>
      </c>
      <c r="D1890" t="s">
        <v>19</v>
      </c>
      <c r="E1890" t="s">
        <v>20</v>
      </c>
      <c r="F1890" t="str">
        <f>"43613"</f>
        <v>43613</v>
      </c>
      <c r="G1890" t="str">
        <f t="shared" ref="G1890:G1896" si="55">"402018"</f>
        <v>402018</v>
      </c>
      <c r="H1890" s="2">
        <f>9.08</f>
        <v>9.08</v>
      </c>
      <c r="I1890" t="s">
        <v>27</v>
      </c>
      <c r="J1890" t="s">
        <v>171</v>
      </c>
      <c r="K1890" t="str">
        <f>"517751"</f>
        <v>517751</v>
      </c>
    </row>
    <row r="1891" spans="1:11" x14ac:dyDescent="0.25">
      <c r="A1891">
        <v>2021</v>
      </c>
      <c r="B1891" t="s">
        <v>11040</v>
      </c>
      <c r="C1891" t="s">
        <v>11041</v>
      </c>
      <c r="D1891" t="s">
        <v>19</v>
      </c>
      <c r="E1891" t="s">
        <v>20</v>
      </c>
      <c r="F1891" t="str">
        <f t="shared" ref="F1891:F1896" si="56">"43606"</f>
        <v>43606</v>
      </c>
      <c r="G1891" t="str">
        <f t="shared" si="55"/>
        <v>402018</v>
      </c>
      <c r="H1891" s="2">
        <f>1.82</f>
        <v>1.82</v>
      </c>
      <c r="I1891" t="s">
        <v>27</v>
      </c>
      <c r="J1891" t="s">
        <v>171</v>
      </c>
      <c r="K1891" t="str">
        <f>"517790"</f>
        <v>517790</v>
      </c>
    </row>
    <row r="1892" spans="1:11" x14ac:dyDescent="0.25">
      <c r="A1892">
        <v>2021</v>
      </c>
      <c r="B1892" t="s">
        <v>11040</v>
      </c>
      <c r="C1892" t="s">
        <v>11041</v>
      </c>
      <c r="D1892" t="s">
        <v>19</v>
      </c>
      <c r="E1892" t="s">
        <v>20</v>
      </c>
      <c r="F1892" t="str">
        <f t="shared" si="56"/>
        <v>43606</v>
      </c>
      <c r="G1892" t="str">
        <f t="shared" si="55"/>
        <v>402018</v>
      </c>
      <c r="H1892" s="2">
        <f>3.33</f>
        <v>3.33</v>
      </c>
      <c r="I1892" t="s">
        <v>27</v>
      </c>
      <c r="J1892" t="s">
        <v>171</v>
      </c>
      <c r="K1892" t="str">
        <f>"516364"</f>
        <v>516364</v>
      </c>
    </row>
    <row r="1893" spans="1:11" x14ac:dyDescent="0.25">
      <c r="A1893">
        <v>2021</v>
      </c>
      <c r="B1893" t="s">
        <v>11040</v>
      </c>
      <c r="C1893" t="s">
        <v>11041</v>
      </c>
      <c r="D1893" t="s">
        <v>19</v>
      </c>
      <c r="E1893" t="s">
        <v>20</v>
      </c>
      <c r="F1893" t="str">
        <f t="shared" si="56"/>
        <v>43606</v>
      </c>
      <c r="G1893" t="str">
        <f t="shared" si="55"/>
        <v>402018</v>
      </c>
      <c r="H1893" s="2">
        <f>2.08</f>
        <v>2.08</v>
      </c>
      <c r="I1893" t="s">
        <v>27</v>
      </c>
      <c r="J1893" t="s">
        <v>171</v>
      </c>
      <c r="K1893" t="str">
        <f>"516558"</f>
        <v>516558</v>
      </c>
    </row>
    <row r="1894" spans="1:11" x14ac:dyDescent="0.25">
      <c r="A1894">
        <v>2021</v>
      </c>
      <c r="B1894" t="s">
        <v>11040</v>
      </c>
      <c r="C1894" t="s">
        <v>11041</v>
      </c>
      <c r="D1894" t="s">
        <v>19</v>
      </c>
      <c r="E1894" t="s">
        <v>20</v>
      </c>
      <c r="F1894" t="str">
        <f t="shared" si="56"/>
        <v>43606</v>
      </c>
      <c r="G1894" t="str">
        <f t="shared" si="55"/>
        <v>402018</v>
      </c>
      <c r="H1894" s="2">
        <f>1.82</f>
        <v>1.82</v>
      </c>
      <c r="I1894" t="s">
        <v>27</v>
      </c>
      <c r="J1894" t="s">
        <v>171</v>
      </c>
      <c r="K1894" t="str">
        <f>"516995"</f>
        <v>516995</v>
      </c>
    </row>
    <row r="1895" spans="1:11" x14ac:dyDescent="0.25">
      <c r="A1895">
        <v>2021</v>
      </c>
      <c r="B1895" t="s">
        <v>11040</v>
      </c>
      <c r="C1895" t="s">
        <v>11041</v>
      </c>
      <c r="D1895" t="s">
        <v>19</v>
      </c>
      <c r="E1895" t="s">
        <v>20</v>
      </c>
      <c r="F1895" t="str">
        <f t="shared" si="56"/>
        <v>43606</v>
      </c>
      <c r="G1895" t="str">
        <f t="shared" si="55"/>
        <v>402018</v>
      </c>
      <c r="H1895" s="2">
        <f>1.82</f>
        <v>1.82</v>
      </c>
      <c r="I1895" t="s">
        <v>27</v>
      </c>
      <c r="J1895" t="s">
        <v>171</v>
      </c>
      <c r="K1895" t="str">
        <f>"517932"</f>
        <v>517932</v>
      </c>
    </row>
    <row r="1896" spans="1:11" x14ac:dyDescent="0.25">
      <c r="A1896">
        <v>2021</v>
      </c>
      <c r="B1896" t="s">
        <v>11040</v>
      </c>
      <c r="C1896" t="s">
        <v>11041</v>
      </c>
      <c r="D1896" t="s">
        <v>19</v>
      </c>
      <c r="E1896" t="s">
        <v>20</v>
      </c>
      <c r="F1896" t="str">
        <f t="shared" si="56"/>
        <v>43606</v>
      </c>
      <c r="G1896" t="str">
        <f t="shared" si="55"/>
        <v>402018</v>
      </c>
      <c r="H1896" s="2">
        <f>1.63</f>
        <v>1.63</v>
      </c>
      <c r="I1896" t="s">
        <v>27</v>
      </c>
      <c r="J1896" t="s">
        <v>171</v>
      </c>
      <c r="K1896" t="str">
        <f>"515664"</f>
        <v>515664</v>
      </c>
    </row>
    <row r="1897" spans="1:11" x14ac:dyDescent="0.25">
      <c r="A1897">
        <v>2021</v>
      </c>
      <c r="B1897" t="s">
        <v>11042</v>
      </c>
      <c r="C1897" t="s">
        <v>11043</v>
      </c>
      <c r="D1897" t="s">
        <v>19</v>
      </c>
      <c r="E1897" t="s">
        <v>20</v>
      </c>
      <c r="F1897" t="str">
        <f>"43604"</f>
        <v>43604</v>
      </c>
      <c r="G1897" t="str">
        <f>"402017"</f>
        <v>402017</v>
      </c>
      <c r="H1897" s="2">
        <f>4.05</f>
        <v>4.05</v>
      </c>
      <c r="I1897" t="s">
        <v>27</v>
      </c>
      <c r="J1897" t="s">
        <v>212</v>
      </c>
      <c r="K1897" t="str">
        <f>"35586"</f>
        <v>35586</v>
      </c>
    </row>
    <row r="1898" spans="1:11" x14ac:dyDescent="0.25">
      <c r="A1898">
        <v>2021</v>
      </c>
      <c r="B1898" t="s">
        <v>11052</v>
      </c>
      <c r="C1898" t="s">
        <v>11053</v>
      </c>
      <c r="D1898" t="s">
        <v>11054</v>
      </c>
      <c r="E1898" t="s">
        <v>418</v>
      </c>
      <c r="F1898" t="str">
        <f>"61702-2375"</f>
        <v>61702-2375</v>
      </c>
      <c r="G1898" t="str">
        <f>"402018"</f>
        <v>402018</v>
      </c>
      <c r="H1898" s="2">
        <f>6.77</f>
        <v>6.77</v>
      </c>
      <c r="I1898" t="s">
        <v>27</v>
      </c>
      <c r="J1898" t="s">
        <v>171</v>
      </c>
      <c r="K1898" t="str">
        <f>"517498"</f>
        <v>517498</v>
      </c>
    </row>
    <row r="1899" spans="1:11" x14ac:dyDescent="0.25">
      <c r="A1899">
        <v>2021</v>
      </c>
      <c r="B1899" t="s">
        <v>11066</v>
      </c>
      <c r="C1899" t="s">
        <v>11067</v>
      </c>
      <c r="D1899" t="s">
        <v>19</v>
      </c>
      <c r="E1899" t="s">
        <v>20</v>
      </c>
      <c r="F1899" t="str">
        <f>"43612"</f>
        <v>43612</v>
      </c>
      <c r="G1899" t="str">
        <f>"Pio448069"</f>
        <v>Pio448069</v>
      </c>
      <c r="H1899" s="2">
        <f>8</f>
        <v>8</v>
      </c>
      <c r="I1899" t="s">
        <v>86</v>
      </c>
      <c r="J1899" t="s">
        <v>87</v>
      </c>
      <c r="K1899" t="str">
        <f>"0"</f>
        <v>0</v>
      </c>
    </row>
    <row r="1900" spans="1:11" x14ac:dyDescent="0.25">
      <c r="A1900">
        <v>2021</v>
      </c>
      <c r="B1900" t="s">
        <v>11072</v>
      </c>
      <c r="C1900" t="s">
        <v>11073</v>
      </c>
      <c r="D1900" t="s">
        <v>125</v>
      </c>
      <c r="E1900" t="s">
        <v>20</v>
      </c>
      <c r="F1900" t="str">
        <f>"43537-2441"</f>
        <v>43537-2441</v>
      </c>
      <c r="G1900" t="str">
        <f>"402019"</f>
        <v>402019</v>
      </c>
      <c r="H1900" s="2">
        <f>20</f>
        <v>20</v>
      </c>
      <c r="I1900" t="s">
        <v>27</v>
      </c>
      <c r="J1900" t="s">
        <v>42</v>
      </c>
      <c r="K1900" t="str">
        <f>"112439"</f>
        <v>112439</v>
      </c>
    </row>
    <row r="1901" spans="1:11" x14ac:dyDescent="0.25">
      <c r="A1901">
        <v>2021</v>
      </c>
      <c r="B1901" t="s">
        <v>11076</v>
      </c>
      <c r="C1901" t="s">
        <v>11077</v>
      </c>
      <c r="D1901" t="s">
        <v>19</v>
      </c>
      <c r="E1901" t="s">
        <v>20</v>
      </c>
      <c r="F1901" t="str">
        <f>"43614"</f>
        <v>43614</v>
      </c>
      <c r="G1901" t="str">
        <f>"Pio448069"</f>
        <v>Pio448069</v>
      </c>
      <c r="H1901" s="2">
        <f>4</f>
        <v>4</v>
      </c>
      <c r="I1901" t="s">
        <v>86</v>
      </c>
      <c r="J1901" t="s">
        <v>87</v>
      </c>
      <c r="K1901" t="str">
        <f>"0"</f>
        <v>0</v>
      </c>
    </row>
    <row r="1902" spans="1:11" x14ac:dyDescent="0.25">
      <c r="A1902">
        <v>2021</v>
      </c>
      <c r="B1902" t="s">
        <v>11078</v>
      </c>
      <c r="C1902" t="s">
        <v>11079</v>
      </c>
      <c r="D1902" t="s">
        <v>105</v>
      </c>
      <c r="E1902" t="s">
        <v>20</v>
      </c>
      <c r="F1902" t="str">
        <f>"43528"</f>
        <v>43528</v>
      </c>
      <c r="G1902" t="str">
        <f>"402018"</f>
        <v>402018</v>
      </c>
      <c r="H1902" s="2">
        <f>9.08</f>
        <v>9.08</v>
      </c>
      <c r="I1902" t="s">
        <v>27</v>
      </c>
      <c r="J1902" t="s">
        <v>171</v>
      </c>
      <c r="K1902" t="str">
        <f>"517726"</f>
        <v>517726</v>
      </c>
    </row>
    <row r="1903" spans="1:11" x14ac:dyDescent="0.25">
      <c r="A1903">
        <v>2021</v>
      </c>
      <c r="B1903" t="s">
        <v>11083</v>
      </c>
      <c r="C1903" t="s">
        <v>11084</v>
      </c>
      <c r="D1903" t="s">
        <v>19</v>
      </c>
      <c r="E1903" t="s">
        <v>20</v>
      </c>
      <c r="F1903" t="str">
        <f>"43606-1837"</f>
        <v>43606-1837</v>
      </c>
      <c r="G1903" t="str">
        <f>"402019"</f>
        <v>402019</v>
      </c>
      <c r="H1903" s="2">
        <f>20</f>
        <v>20</v>
      </c>
      <c r="I1903" t="s">
        <v>27</v>
      </c>
      <c r="J1903" t="s">
        <v>42</v>
      </c>
      <c r="K1903" t="str">
        <f>"113370"</f>
        <v>113370</v>
      </c>
    </row>
    <row r="1904" spans="1:11" x14ac:dyDescent="0.25">
      <c r="A1904">
        <v>2021</v>
      </c>
      <c r="B1904" t="s">
        <v>11100</v>
      </c>
      <c r="C1904" t="s">
        <v>11101</v>
      </c>
      <c r="D1904" t="s">
        <v>19</v>
      </c>
      <c r="E1904" t="s">
        <v>20</v>
      </c>
      <c r="F1904" t="str">
        <f>"43612-1824"</f>
        <v>43612-1824</v>
      </c>
      <c r="G1904" t="str">
        <f>"402019"</f>
        <v>402019</v>
      </c>
      <c r="H1904" s="2">
        <f>10</f>
        <v>10</v>
      </c>
      <c r="I1904" t="s">
        <v>27</v>
      </c>
      <c r="J1904" t="s">
        <v>42</v>
      </c>
      <c r="K1904" t="str">
        <f>"114858"</f>
        <v>114858</v>
      </c>
    </row>
    <row r="1905" spans="1:11" x14ac:dyDescent="0.25">
      <c r="A1905">
        <v>2021</v>
      </c>
      <c r="B1905" t="s">
        <v>11112</v>
      </c>
      <c r="C1905" t="s">
        <v>11113</v>
      </c>
      <c r="D1905" t="s">
        <v>50</v>
      </c>
      <c r="E1905" t="s">
        <v>20</v>
      </c>
      <c r="F1905" t="str">
        <f>"43560-2056"</f>
        <v>43560-2056</v>
      </c>
      <c r="G1905" t="str">
        <f>"402019"</f>
        <v>402019</v>
      </c>
      <c r="H1905" s="2">
        <f>10</f>
        <v>10</v>
      </c>
      <c r="I1905" t="s">
        <v>27</v>
      </c>
      <c r="J1905" t="s">
        <v>42</v>
      </c>
      <c r="K1905" t="str">
        <f>"115516"</f>
        <v>115516</v>
      </c>
    </row>
    <row r="1906" spans="1:11" x14ac:dyDescent="0.25">
      <c r="A1906">
        <v>2021</v>
      </c>
      <c r="B1906" t="s">
        <v>11135</v>
      </c>
      <c r="C1906" t="s">
        <v>11136</v>
      </c>
      <c r="D1906" t="s">
        <v>19</v>
      </c>
      <c r="E1906" t="s">
        <v>20</v>
      </c>
      <c r="F1906" t="str">
        <f>"43608"</f>
        <v>43608</v>
      </c>
      <c r="G1906" t="str">
        <f>"Pio448069"</f>
        <v>Pio448069</v>
      </c>
      <c r="H1906" s="2">
        <f>10</f>
        <v>10</v>
      </c>
      <c r="I1906" t="s">
        <v>86</v>
      </c>
      <c r="J1906" t="s">
        <v>87</v>
      </c>
      <c r="K1906" t="str">
        <f>"0"</f>
        <v>0</v>
      </c>
    </row>
    <row r="1907" spans="1:11" x14ac:dyDescent="0.25">
      <c r="A1907">
        <v>2021</v>
      </c>
      <c r="B1907" t="s">
        <v>11137</v>
      </c>
      <c r="C1907" t="s">
        <v>11138</v>
      </c>
      <c r="D1907" t="s">
        <v>11139</v>
      </c>
      <c r="E1907" t="s">
        <v>1341</v>
      </c>
      <c r="F1907" t="str">
        <f>"77497"</f>
        <v>77497</v>
      </c>
      <c r="G1907" t="str">
        <f>"402063"</f>
        <v>402063</v>
      </c>
      <c r="H1907" s="2">
        <f>5</f>
        <v>5</v>
      </c>
      <c r="I1907" t="s">
        <v>27</v>
      </c>
      <c r="J1907" t="s">
        <v>71</v>
      </c>
      <c r="K1907" t="str">
        <f>"11003523"</f>
        <v>11003523</v>
      </c>
    </row>
    <row r="1908" spans="1:11" x14ac:dyDescent="0.25">
      <c r="A1908">
        <v>2021</v>
      </c>
      <c r="B1908" t="s">
        <v>11142</v>
      </c>
      <c r="C1908" t="s">
        <v>11143</v>
      </c>
      <c r="D1908" t="s">
        <v>19</v>
      </c>
      <c r="E1908" t="s">
        <v>20</v>
      </c>
      <c r="F1908" t="str">
        <f>"43614"</f>
        <v>43614</v>
      </c>
      <c r="G1908" t="str">
        <f>"402018"</f>
        <v>402018</v>
      </c>
      <c r="H1908" s="2">
        <f>8</f>
        <v>8</v>
      </c>
      <c r="I1908" t="s">
        <v>27</v>
      </c>
      <c r="J1908" t="s">
        <v>171</v>
      </c>
      <c r="K1908" t="str">
        <f>"516644"</f>
        <v>516644</v>
      </c>
    </row>
    <row r="1909" spans="1:11" x14ac:dyDescent="0.25">
      <c r="A1909">
        <v>2021</v>
      </c>
      <c r="B1909" t="s">
        <v>11142</v>
      </c>
      <c r="C1909" t="s">
        <v>11143</v>
      </c>
      <c r="D1909" t="s">
        <v>19</v>
      </c>
      <c r="E1909" t="s">
        <v>20</v>
      </c>
      <c r="F1909" t="str">
        <f>"43614"</f>
        <v>43614</v>
      </c>
      <c r="G1909" t="str">
        <f>"402018"</f>
        <v>402018</v>
      </c>
      <c r="H1909" s="2">
        <f>10</f>
        <v>10</v>
      </c>
      <c r="I1909" t="s">
        <v>27</v>
      </c>
      <c r="J1909" t="s">
        <v>171</v>
      </c>
      <c r="K1909" t="str">
        <f>"515371"</f>
        <v>515371</v>
      </c>
    </row>
    <row r="1910" spans="1:11" x14ac:dyDescent="0.25">
      <c r="A1910">
        <v>2021</v>
      </c>
      <c r="B1910" t="s">
        <v>11156</v>
      </c>
      <c r="C1910" t="s">
        <v>11157</v>
      </c>
      <c r="D1910" t="s">
        <v>105</v>
      </c>
      <c r="E1910" t="s">
        <v>20</v>
      </c>
      <c r="F1910" t="str">
        <f>"43528-7836"</f>
        <v>43528-7836</v>
      </c>
      <c r="G1910" t="str">
        <f>"402019"</f>
        <v>402019</v>
      </c>
      <c r="H1910" s="2">
        <f>10</f>
        <v>10</v>
      </c>
      <c r="I1910" t="s">
        <v>27</v>
      </c>
      <c r="J1910" t="s">
        <v>42</v>
      </c>
      <c r="K1910" t="str">
        <f>"115594"</f>
        <v>115594</v>
      </c>
    </row>
    <row r="1911" spans="1:11" x14ac:dyDescent="0.25">
      <c r="A1911">
        <v>2021</v>
      </c>
      <c r="B1911" t="s">
        <v>11186</v>
      </c>
      <c r="C1911" t="s">
        <v>11187</v>
      </c>
      <c r="D1911" t="s">
        <v>19</v>
      </c>
      <c r="E1911" t="s">
        <v>20</v>
      </c>
      <c r="F1911" t="str">
        <f>"43620-1650"</f>
        <v>43620-1650</v>
      </c>
      <c r="G1911" t="str">
        <f>"402019"</f>
        <v>402019</v>
      </c>
      <c r="H1911" s="2">
        <f>20</f>
        <v>20</v>
      </c>
      <c r="I1911" t="s">
        <v>27</v>
      </c>
      <c r="J1911" t="s">
        <v>42</v>
      </c>
      <c r="K1911" t="str">
        <f>"112091"</f>
        <v>112091</v>
      </c>
    </row>
    <row r="1912" spans="1:11" x14ac:dyDescent="0.25">
      <c r="A1912">
        <v>2021</v>
      </c>
      <c r="B1912" t="s">
        <v>11188</v>
      </c>
      <c r="C1912" t="s">
        <v>11189</v>
      </c>
      <c r="D1912" t="s">
        <v>64</v>
      </c>
      <c r="E1912" t="s">
        <v>20</v>
      </c>
      <c r="F1912" t="str">
        <f>"43566-1234"</f>
        <v>43566-1234</v>
      </c>
      <c r="G1912" t="str">
        <f>"402019"</f>
        <v>402019</v>
      </c>
      <c r="H1912" s="2">
        <f>10</f>
        <v>10</v>
      </c>
      <c r="I1912" t="s">
        <v>27</v>
      </c>
      <c r="J1912" t="s">
        <v>42</v>
      </c>
      <c r="K1912" t="str">
        <f>"111437"</f>
        <v>111437</v>
      </c>
    </row>
    <row r="1913" spans="1:11" x14ac:dyDescent="0.25">
      <c r="A1913">
        <v>2021</v>
      </c>
      <c r="B1913" t="s">
        <v>11198</v>
      </c>
      <c r="C1913" t="s">
        <v>11199</v>
      </c>
      <c r="D1913" t="s">
        <v>128</v>
      </c>
      <c r="E1913" t="s">
        <v>20</v>
      </c>
      <c r="F1913" t="str">
        <f>"43619"</f>
        <v>43619</v>
      </c>
      <c r="G1913" t="str">
        <f>"Pio448069"</f>
        <v>Pio448069</v>
      </c>
      <c r="H1913" s="2">
        <f>50.28</f>
        <v>50.28</v>
      </c>
      <c r="I1913" t="s">
        <v>86</v>
      </c>
      <c r="J1913" t="s">
        <v>87</v>
      </c>
      <c r="K1913" t="str">
        <f>"0"</f>
        <v>0</v>
      </c>
    </row>
    <row r="1914" spans="1:11" x14ac:dyDescent="0.25">
      <c r="A1914">
        <v>2021</v>
      </c>
      <c r="B1914" t="s">
        <v>11202</v>
      </c>
      <c r="C1914" t="s">
        <v>11203</v>
      </c>
      <c r="D1914" t="s">
        <v>19</v>
      </c>
      <c r="E1914" t="s">
        <v>20</v>
      </c>
      <c r="F1914" t="str">
        <f>"43612"</f>
        <v>43612</v>
      </c>
      <c r="G1914" t="str">
        <f>"Pio448069"</f>
        <v>Pio448069</v>
      </c>
      <c r="H1914" s="2">
        <f>5</f>
        <v>5</v>
      </c>
      <c r="I1914" t="s">
        <v>86</v>
      </c>
      <c r="J1914" t="s">
        <v>87</v>
      </c>
      <c r="K1914" t="str">
        <f>"0"</f>
        <v>0</v>
      </c>
    </row>
    <row r="1915" spans="1:11" x14ac:dyDescent="0.25">
      <c r="A1915">
        <v>2021</v>
      </c>
      <c r="B1915" t="s">
        <v>11211</v>
      </c>
      <c r="C1915" t="s">
        <v>11212</v>
      </c>
      <c r="D1915" t="s">
        <v>19</v>
      </c>
      <c r="E1915" t="s">
        <v>20</v>
      </c>
      <c r="F1915" t="str">
        <f>"43613"</f>
        <v>43613</v>
      </c>
      <c r="G1915" t="str">
        <f>"Pio448069"</f>
        <v>Pio448069</v>
      </c>
      <c r="H1915" s="2">
        <f>0.32</f>
        <v>0.32</v>
      </c>
      <c r="I1915" t="s">
        <v>86</v>
      </c>
      <c r="J1915" t="s">
        <v>87</v>
      </c>
      <c r="K1915" t="str">
        <f>"0"</f>
        <v>0</v>
      </c>
    </row>
    <row r="1916" spans="1:11" x14ac:dyDescent="0.25">
      <c r="A1916">
        <v>2021</v>
      </c>
      <c r="B1916" t="s">
        <v>11215</v>
      </c>
      <c r="C1916" t="s">
        <v>11216</v>
      </c>
      <c r="D1916" t="s">
        <v>4488</v>
      </c>
      <c r="E1916" t="s">
        <v>20</v>
      </c>
      <c r="F1916" t="str">
        <f>"43502"</f>
        <v>43502</v>
      </c>
      <c r="G1916" t="str">
        <f>"Pio448069"</f>
        <v>Pio448069</v>
      </c>
      <c r="H1916" s="2">
        <f>2.06</f>
        <v>2.06</v>
      </c>
      <c r="I1916" t="s">
        <v>86</v>
      </c>
      <c r="J1916" t="s">
        <v>87</v>
      </c>
      <c r="K1916" t="str">
        <f>"0"</f>
        <v>0</v>
      </c>
    </row>
    <row r="1917" spans="1:11" x14ac:dyDescent="0.25">
      <c r="A1917">
        <v>2021</v>
      </c>
      <c r="B1917" t="s">
        <v>11222</v>
      </c>
      <c r="C1917" t="s">
        <v>11223</v>
      </c>
      <c r="D1917" t="s">
        <v>19</v>
      </c>
      <c r="E1917" t="s">
        <v>20</v>
      </c>
      <c r="F1917" t="str">
        <f>"43604"</f>
        <v>43604</v>
      </c>
      <c r="G1917" t="str">
        <f>"402017"</f>
        <v>402017</v>
      </c>
      <c r="H1917" s="2">
        <f>2.86</f>
        <v>2.86</v>
      </c>
      <c r="I1917" t="s">
        <v>27</v>
      </c>
      <c r="J1917" t="s">
        <v>212</v>
      </c>
      <c r="K1917" t="str">
        <f>"35090"</f>
        <v>35090</v>
      </c>
    </row>
    <row r="1918" spans="1:11" x14ac:dyDescent="0.25">
      <c r="A1918">
        <v>2021</v>
      </c>
      <c r="B1918" t="s">
        <v>11224</v>
      </c>
      <c r="C1918" t="s">
        <v>11225</v>
      </c>
      <c r="D1918" t="s">
        <v>19</v>
      </c>
      <c r="E1918" t="s">
        <v>20</v>
      </c>
      <c r="F1918" t="str">
        <f>"43614"</f>
        <v>43614</v>
      </c>
      <c r="G1918" t="str">
        <f>"Pio448069"</f>
        <v>Pio448069</v>
      </c>
      <c r="H1918" s="2">
        <f>5</f>
        <v>5</v>
      </c>
      <c r="I1918" t="s">
        <v>86</v>
      </c>
      <c r="J1918" t="s">
        <v>87</v>
      </c>
      <c r="K1918" t="str">
        <f>"0"</f>
        <v>0</v>
      </c>
    </row>
    <row r="1919" spans="1:11" x14ac:dyDescent="0.25">
      <c r="A1919">
        <v>2021</v>
      </c>
      <c r="B1919" t="s">
        <v>11226</v>
      </c>
      <c r="C1919" t="s">
        <v>11227</v>
      </c>
      <c r="D1919" t="s">
        <v>125</v>
      </c>
      <c r="E1919" t="s">
        <v>20</v>
      </c>
      <c r="F1919" t="str">
        <f>"43537"</f>
        <v>43537</v>
      </c>
      <c r="G1919" t="str">
        <f>"402018"</f>
        <v>402018</v>
      </c>
      <c r="H1919" s="2">
        <f>9.08</f>
        <v>9.08</v>
      </c>
      <c r="I1919" t="s">
        <v>27</v>
      </c>
      <c r="J1919" t="s">
        <v>171</v>
      </c>
      <c r="K1919" t="str">
        <f>"517728"</f>
        <v>517728</v>
      </c>
    </row>
    <row r="1920" spans="1:11" x14ac:dyDescent="0.25">
      <c r="A1920">
        <v>2021</v>
      </c>
      <c r="B1920" t="s">
        <v>11230</v>
      </c>
      <c r="C1920" t="s">
        <v>11231</v>
      </c>
      <c r="D1920" t="s">
        <v>19</v>
      </c>
      <c r="E1920" t="s">
        <v>20</v>
      </c>
      <c r="F1920" t="str">
        <f>"43612"</f>
        <v>43612</v>
      </c>
      <c r="G1920" t="str">
        <f>"Pio448069"</f>
        <v>Pio448069</v>
      </c>
      <c r="H1920" s="2">
        <f>0.1</f>
        <v>0.1</v>
      </c>
      <c r="I1920" t="s">
        <v>86</v>
      </c>
      <c r="J1920" t="s">
        <v>87</v>
      </c>
      <c r="K1920" t="str">
        <f>"0"</f>
        <v>0</v>
      </c>
    </row>
    <row r="1921" spans="1:11" x14ac:dyDescent="0.25">
      <c r="A1921">
        <v>2021</v>
      </c>
      <c r="B1921" t="s">
        <v>11234</v>
      </c>
      <c r="C1921" t="s">
        <v>11235</v>
      </c>
      <c r="D1921" t="s">
        <v>19</v>
      </c>
      <c r="E1921" t="s">
        <v>20</v>
      </c>
      <c r="F1921" t="str">
        <f>"43609-3354"</f>
        <v>43609-3354</v>
      </c>
      <c r="G1921" t="str">
        <f>"402019"</f>
        <v>402019</v>
      </c>
      <c r="H1921" s="2">
        <f>10</f>
        <v>10</v>
      </c>
      <c r="I1921" t="s">
        <v>27</v>
      </c>
      <c r="J1921" t="s">
        <v>42</v>
      </c>
      <c r="K1921" t="str">
        <f>"115601"</f>
        <v>115601</v>
      </c>
    </row>
    <row r="1922" spans="1:11" x14ac:dyDescent="0.25">
      <c r="A1922">
        <v>2021</v>
      </c>
      <c r="B1922" t="s">
        <v>11238</v>
      </c>
      <c r="C1922" t="s">
        <v>11239</v>
      </c>
      <c r="D1922" t="s">
        <v>19</v>
      </c>
      <c r="E1922" t="s">
        <v>20</v>
      </c>
      <c r="F1922" t="str">
        <f>"43607"</f>
        <v>43607</v>
      </c>
      <c r="G1922" t="str">
        <f>"Pio448069"</f>
        <v>Pio448069</v>
      </c>
      <c r="H1922" s="2">
        <f>200.85</f>
        <v>200.85</v>
      </c>
      <c r="I1922" t="s">
        <v>86</v>
      </c>
      <c r="J1922" t="s">
        <v>87</v>
      </c>
      <c r="K1922" t="str">
        <f>"0"</f>
        <v>0</v>
      </c>
    </row>
    <row r="1923" spans="1:11" x14ac:dyDescent="0.25">
      <c r="A1923">
        <v>2021</v>
      </c>
      <c r="B1923" t="s">
        <v>11245</v>
      </c>
      <c r="C1923" t="s">
        <v>11246</v>
      </c>
      <c r="D1923" t="s">
        <v>19</v>
      </c>
      <c r="E1923" t="s">
        <v>20</v>
      </c>
      <c r="F1923" t="str">
        <f>"43612"</f>
        <v>43612</v>
      </c>
      <c r="G1923" t="str">
        <f>"402018"</f>
        <v>402018</v>
      </c>
      <c r="H1923" s="2">
        <f>8.17</f>
        <v>8.17</v>
      </c>
      <c r="I1923" t="s">
        <v>27</v>
      </c>
      <c r="J1923" t="s">
        <v>171</v>
      </c>
      <c r="K1923" t="str">
        <f>"516074"</f>
        <v>516074</v>
      </c>
    </row>
    <row r="1924" spans="1:11" x14ac:dyDescent="0.25">
      <c r="A1924">
        <v>2021</v>
      </c>
      <c r="B1924" t="s">
        <v>11247</v>
      </c>
      <c r="C1924" t="s">
        <v>11248</v>
      </c>
      <c r="D1924" t="s">
        <v>125</v>
      </c>
      <c r="E1924" t="s">
        <v>20</v>
      </c>
      <c r="F1924" t="str">
        <f>"43537-2939"</f>
        <v>43537-2939</v>
      </c>
      <c r="G1924" t="str">
        <f>"402019"</f>
        <v>402019</v>
      </c>
      <c r="H1924" s="2">
        <f>10</f>
        <v>10</v>
      </c>
      <c r="I1924" t="s">
        <v>27</v>
      </c>
      <c r="J1924" t="s">
        <v>42</v>
      </c>
      <c r="K1924" t="str">
        <f>"113706"</f>
        <v>113706</v>
      </c>
    </row>
    <row r="1925" spans="1:11" x14ac:dyDescent="0.25">
      <c r="A1925">
        <v>2021</v>
      </c>
      <c r="B1925" t="s">
        <v>11259</v>
      </c>
      <c r="C1925" t="s">
        <v>11260</v>
      </c>
      <c r="D1925" t="s">
        <v>125</v>
      </c>
      <c r="E1925" t="s">
        <v>20</v>
      </c>
      <c r="F1925" t="str">
        <f>"43537"</f>
        <v>43537</v>
      </c>
      <c r="G1925" t="str">
        <f>"Pio448069"</f>
        <v>Pio448069</v>
      </c>
      <c r="H1925" s="2">
        <f>0.04</f>
        <v>0.04</v>
      </c>
      <c r="I1925" t="s">
        <v>86</v>
      </c>
      <c r="J1925" t="s">
        <v>87</v>
      </c>
      <c r="K1925" t="str">
        <f>"0"</f>
        <v>0</v>
      </c>
    </row>
    <row r="1926" spans="1:11" x14ac:dyDescent="0.25">
      <c r="A1926">
        <v>2021</v>
      </c>
      <c r="B1926" t="s">
        <v>11261</v>
      </c>
      <c r="C1926" t="s">
        <v>11262</v>
      </c>
      <c r="D1926" t="s">
        <v>4338</v>
      </c>
      <c r="E1926" t="s">
        <v>14</v>
      </c>
      <c r="F1926" t="str">
        <f>"48915"</f>
        <v>48915</v>
      </c>
      <c r="G1926" t="str">
        <f>"Pio448069"</f>
        <v>Pio448069</v>
      </c>
      <c r="H1926" s="2">
        <f>100</f>
        <v>100</v>
      </c>
      <c r="I1926" t="s">
        <v>86</v>
      </c>
      <c r="J1926" t="s">
        <v>87</v>
      </c>
      <c r="K1926" t="str">
        <f>"0"</f>
        <v>0</v>
      </c>
    </row>
    <row r="1927" spans="1:11" x14ac:dyDescent="0.25">
      <c r="A1927">
        <v>2021</v>
      </c>
      <c r="B1927" t="s">
        <v>11263</v>
      </c>
      <c r="C1927" t="s">
        <v>11264</v>
      </c>
      <c r="D1927" t="s">
        <v>125</v>
      </c>
      <c r="E1927" t="s">
        <v>20</v>
      </c>
      <c r="F1927" t="str">
        <f>"43537"</f>
        <v>43537</v>
      </c>
      <c r="G1927" t="str">
        <f>"402063"</f>
        <v>402063</v>
      </c>
      <c r="H1927" s="2">
        <f>14.63</f>
        <v>14.63</v>
      </c>
      <c r="I1927" t="s">
        <v>27</v>
      </c>
      <c r="J1927" t="s">
        <v>71</v>
      </c>
      <c r="K1927" t="str">
        <f>"33006524"</f>
        <v>33006524</v>
      </c>
    </row>
    <row r="1928" spans="1:11" x14ac:dyDescent="0.25">
      <c r="A1928">
        <v>2021</v>
      </c>
      <c r="B1928" t="s">
        <v>11272</v>
      </c>
      <c r="C1928" t="s">
        <v>11273</v>
      </c>
      <c r="D1928" t="s">
        <v>19</v>
      </c>
      <c r="E1928" t="s">
        <v>20</v>
      </c>
      <c r="F1928" t="str">
        <f>"43623"</f>
        <v>43623</v>
      </c>
      <c r="G1928" t="str">
        <f>"402018"</f>
        <v>402018</v>
      </c>
      <c r="H1928" s="2">
        <f>5</f>
        <v>5</v>
      </c>
      <c r="I1928" t="s">
        <v>27</v>
      </c>
      <c r="J1928" t="s">
        <v>171</v>
      </c>
      <c r="K1928" t="str">
        <f>"518206"</f>
        <v>518206</v>
      </c>
    </row>
    <row r="1929" spans="1:11" x14ac:dyDescent="0.25">
      <c r="A1929">
        <v>2021</v>
      </c>
      <c r="B1929" t="s">
        <v>11274</v>
      </c>
      <c r="C1929" t="s">
        <v>11275</v>
      </c>
      <c r="D1929" t="s">
        <v>19</v>
      </c>
      <c r="E1929" t="s">
        <v>20</v>
      </c>
      <c r="F1929" t="str">
        <f>"43615"</f>
        <v>43615</v>
      </c>
      <c r="G1929" t="str">
        <f>"397019"</f>
        <v>397019</v>
      </c>
      <c r="H1929" s="2">
        <f>25</f>
        <v>25</v>
      </c>
      <c r="I1929" t="s">
        <v>519</v>
      </c>
      <c r="J1929" t="s">
        <v>519</v>
      </c>
      <c r="K1929" t="str">
        <f>"10241"</f>
        <v>10241</v>
      </c>
    </row>
    <row r="1930" spans="1:11" x14ac:dyDescent="0.25">
      <c r="A1930">
        <v>2021</v>
      </c>
      <c r="B1930" t="s">
        <v>11278</v>
      </c>
      <c r="C1930" t="s">
        <v>11279</v>
      </c>
      <c r="D1930" t="s">
        <v>156</v>
      </c>
      <c r="E1930" t="s">
        <v>20</v>
      </c>
      <c r="F1930" t="str">
        <f>"43515"</f>
        <v>43515</v>
      </c>
      <c r="G1930" t="str">
        <f>"Bwucf4621"</f>
        <v>Bwucf4621</v>
      </c>
      <c r="H1930" s="2">
        <f>75</f>
        <v>75</v>
      </c>
      <c r="I1930" t="s">
        <v>15</v>
      </c>
      <c r="J1930" t="s">
        <v>295</v>
      </c>
      <c r="K1930" t="str">
        <f>"01433452"</f>
        <v>01433452</v>
      </c>
    </row>
    <row r="1931" spans="1:11" x14ac:dyDescent="0.25">
      <c r="A1931">
        <v>2021</v>
      </c>
      <c r="B1931" t="s">
        <v>11289</v>
      </c>
      <c r="C1931" t="s">
        <v>11290</v>
      </c>
      <c r="D1931" t="s">
        <v>19</v>
      </c>
      <c r="E1931" t="s">
        <v>20</v>
      </c>
      <c r="F1931" t="str">
        <f>"43614-2421"</f>
        <v>43614-2421</v>
      </c>
      <c r="G1931" t="str">
        <f>"402019"</f>
        <v>402019</v>
      </c>
      <c r="H1931" s="2">
        <f>20</f>
        <v>20</v>
      </c>
      <c r="I1931" t="s">
        <v>27</v>
      </c>
      <c r="J1931" t="s">
        <v>42</v>
      </c>
      <c r="K1931" t="str">
        <f>"115532"</f>
        <v>115532</v>
      </c>
    </row>
    <row r="1932" spans="1:11" x14ac:dyDescent="0.25">
      <c r="A1932">
        <v>2021</v>
      </c>
      <c r="B1932" t="s">
        <v>11295</v>
      </c>
      <c r="C1932" t="s">
        <v>11296</v>
      </c>
      <c r="D1932" t="s">
        <v>19</v>
      </c>
      <c r="E1932" t="s">
        <v>20</v>
      </c>
      <c r="F1932" t="str">
        <f>"43612-2036"</f>
        <v>43612-2036</v>
      </c>
      <c r="G1932" t="str">
        <f>"402019"</f>
        <v>402019</v>
      </c>
      <c r="H1932" s="2">
        <f>10</f>
        <v>10</v>
      </c>
      <c r="I1932" t="s">
        <v>27</v>
      </c>
      <c r="J1932" t="s">
        <v>42</v>
      </c>
      <c r="K1932" t="str">
        <f>"113092"</f>
        <v>113092</v>
      </c>
    </row>
    <row r="1933" spans="1:11" x14ac:dyDescent="0.25">
      <c r="A1933">
        <v>2021</v>
      </c>
      <c r="B1933" t="s">
        <v>11299</v>
      </c>
      <c r="C1933" t="s">
        <v>11300</v>
      </c>
      <c r="D1933" t="s">
        <v>19</v>
      </c>
      <c r="E1933" t="s">
        <v>20</v>
      </c>
      <c r="F1933" t="str">
        <f>"43613-4302"</f>
        <v>43613-4302</v>
      </c>
      <c r="G1933" t="str">
        <f>"402019"</f>
        <v>402019</v>
      </c>
      <c r="H1933" s="2">
        <f>40</f>
        <v>40</v>
      </c>
      <c r="I1933" t="s">
        <v>27</v>
      </c>
      <c r="J1933" t="s">
        <v>42</v>
      </c>
      <c r="K1933" t="str">
        <f>"114319"</f>
        <v>114319</v>
      </c>
    </row>
    <row r="1934" spans="1:11" x14ac:dyDescent="0.25">
      <c r="A1934">
        <v>2021</v>
      </c>
      <c r="B1934" t="s">
        <v>11299</v>
      </c>
      <c r="C1934" t="s">
        <v>11300</v>
      </c>
      <c r="D1934" t="s">
        <v>19</v>
      </c>
      <c r="E1934" t="s">
        <v>20</v>
      </c>
      <c r="F1934" t="str">
        <f>"43613-4302"</f>
        <v>43613-4302</v>
      </c>
      <c r="G1934" t="str">
        <f>"402019"</f>
        <v>402019</v>
      </c>
      <c r="H1934" s="2">
        <f>50</f>
        <v>50</v>
      </c>
      <c r="I1934" t="s">
        <v>27</v>
      </c>
      <c r="J1934" t="s">
        <v>42</v>
      </c>
      <c r="K1934" t="str">
        <f>"114271"</f>
        <v>114271</v>
      </c>
    </row>
    <row r="1935" spans="1:11" x14ac:dyDescent="0.25">
      <c r="A1935">
        <v>2021</v>
      </c>
      <c r="B1935" t="s">
        <v>11312</v>
      </c>
      <c r="C1935" t="s">
        <v>11313</v>
      </c>
      <c r="D1935" t="s">
        <v>19</v>
      </c>
      <c r="E1935" t="s">
        <v>20</v>
      </c>
      <c r="F1935" t="str">
        <f>"43614"</f>
        <v>43614</v>
      </c>
      <c r="G1935" t="str">
        <f>"Je061721"</f>
        <v>Je061721</v>
      </c>
      <c r="H1935" s="2">
        <f>20.34</f>
        <v>20.34</v>
      </c>
      <c r="I1935" t="s">
        <v>15</v>
      </c>
      <c r="J1935" t="s">
        <v>137</v>
      </c>
      <c r="K1935" t="str">
        <f>"60003976"</f>
        <v>60003976</v>
      </c>
    </row>
    <row r="1936" spans="1:11" x14ac:dyDescent="0.25">
      <c r="A1936">
        <v>2021</v>
      </c>
      <c r="B1936" t="s">
        <v>11314</v>
      </c>
      <c r="C1936" t="s">
        <v>11315</v>
      </c>
      <c r="D1936" t="s">
        <v>11316</v>
      </c>
      <c r="E1936" t="s">
        <v>20</v>
      </c>
      <c r="F1936" t="str">
        <f>"43442"</f>
        <v>43442</v>
      </c>
      <c r="G1936" t="str">
        <f>"Bwucf4621"</f>
        <v>Bwucf4621</v>
      </c>
      <c r="H1936" s="2">
        <f>12.17</f>
        <v>12.17</v>
      </c>
      <c r="I1936" t="s">
        <v>15</v>
      </c>
      <c r="J1936" t="s">
        <v>295</v>
      </c>
      <c r="K1936" t="str">
        <f>"01434788"</f>
        <v>01434788</v>
      </c>
    </row>
    <row r="1937" spans="1:11" x14ac:dyDescent="0.25">
      <c r="A1937">
        <v>2021</v>
      </c>
      <c r="B1937" t="s">
        <v>11322</v>
      </c>
      <c r="C1937" t="s">
        <v>2634</v>
      </c>
      <c r="D1937" t="s">
        <v>19</v>
      </c>
      <c r="E1937" t="s">
        <v>20</v>
      </c>
      <c r="F1937" t="str">
        <f>"43615"</f>
        <v>43615</v>
      </c>
      <c r="G1937" t="str">
        <f>"402018"</f>
        <v>402018</v>
      </c>
      <c r="H1937" s="2">
        <f>9.08</f>
        <v>9.08</v>
      </c>
      <c r="I1937" t="s">
        <v>27</v>
      </c>
      <c r="J1937" t="s">
        <v>171</v>
      </c>
      <c r="K1937" t="str">
        <f>"517729"</f>
        <v>517729</v>
      </c>
    </row>
    <row r="1938" spans="1:11" x14ac:dyDescent="0.25">
      <c r="A1938">
        <v>2021</v>
      </c>
      <c r="B1938" t="s">
        <v>11325</v>
      </c>
      <c r="C1938" t="s">
        <v>11326</v>
      </c>
      <c r="D1938" t="s">
        <v>19</v>
      </c>
      <c r="E1938" t="s">
        <v>20</v>
      </c>
      <c r="F1938" t="str">
        <f>"43611-1955"</f>
        <v>43611-1955</v>
      </c>
      <c r="G1938" t="str">
        <f>"402019"</f>
        <v>402019</v>
      </c>
      <c r="H1938" s="2">
        <f>10</f>
        <v>10</v>
      </c>
      <c r="I1938" t="s">
        <v>27</v>
      </c>
      <c r="J1938" t="s">
        <v>42</v>
      </c>
      <c r="K1938" t="str">
        <f>"115649"</f>
        <v>115649</v>
      </c>
    </row>
    <row r="1939" spans="1:11" x14ac:dyDescent="0.25">
      <c r="A1939">
        <v>2021</v>
      </c>
      <c r="B1939" t="s">
        <v>11332</v>
      </c>
      <c r="C1939" t="s">
        <v>11333</v>
      </c>
      <c r="D1939" t="s">
        <v>19</v>
      </c>
      <c r="E1939" t="s">
        <v>20</v>
      </c>
      <c r="F1939" t="str">
        <f>"43615"</f>
        <v>43615</v>
      </c>
      <c r="G1939" t="str">
        <f>"Pio448069"</f>
        <v>Pio448069</v>
      </c>
      <c r="H1939" s="2">
        <f>1.65</f>
        <v>1.65</v>
      </c>
      <c r="I1939" t="s">
        <v>86</v>
      </c>
      <c r="J1939" t="s">
        <v>87</v>
      </c>
      <c r="K1939" t="str">
        <f>"0"</f>
        <v>0</v>
      </c>
    </row>
    <row r="1940" spans="1:11" x14ac:dyDescent="0.25">
      <c r="A1940">
        <v>2021</v>
      </c>
      <c r="B1940" t="s">
        <v>11345</v>
      </c>
      <c r="C1940" t="s">
        <v>11346</v>
      </c>
      <c r="D1940" t="s">
        <v>45</v>
      </c>
      <c r="E1940" t="s">
        <v>20</v>
      </c>
      <c r="F1940" t="str">
        <f>"43542-9676"</f>
        <v>43542-9676</v>
      </c>
      <c r="G1940" t="str">
        <f>"402019"</f>
        <v>402019</v>
      </c>
      <c r="H1940" s="2">
        <f>40</f>
        <v>40</v>
      </c>
      <c r="I1940" t="s">
        <v>27</v>
      </c>
      <c r="J1940" t="s">
        <v>42</v>
      </c>
      <c r="K1940" t="str">
        <f>"112860"</f>
        <v>112860</v>
      </c>
    </row>
    <row r="1941" spans="1:11" x14ac:dyDescent="0.25">
      <c r="A1941">
        <v>2021</v>
      </c>
      <c r="B1941" t="s">
        <v>11353</v>
      </c>
      <c r="C1941" t="s">
        <v>11355</v>
      </c>
      <c r="D1941" t="s">
        <v>19</v>
      </c>
      <c r="E1941" t="s">
        <v>20</v>
      </c>
      <c r="F1941" t="str">
        <f>"43615"</f>
        <v>43615</v>
      </c>
      <c r="G1941" t="str">
        <f>"Je110321"</f>
        <v>Je110321</v>
      </c>
      <c r="H1941" s="2">
        <f>244.7</f>
        <v>244.7</v>
      </c>
      <c r="I1941" t="s">
        <v>15</v>
      </c>
      <c r="J1941" t="s">
        <v>596</v>
      </c>
      <c r="K1941" t="str">
        <f>"60024065"</f>
        <v>60024065</v>
      </c>
    </row>
    <row r="1942" spans="1:11" x14ac:dyDescent="0.25">
      <c r="A1942">
        <v>2021</v>
      </c>
      <c r="B1942" t="s">
        <v>11356</v>
      </c>
      <c r="C1942" t="s">
        <v>11357</v>
      </c>
      <c r="D1942" t="s">
        <v>19</v>
      </c>
      <c r="E1942" t="s">
        <v>20</v>
      </c>
      <c r="F1942" t="str">
        <f>"43615-1335"</f>
        <v>43615-1335</v>
      </c>
      <c r="G1942" t="str">
        <f>"Swucf4621"</f>
        <v>Swucf4621</v>
      </c>
      <c r="H1942" s="2">
        <f>293.99</f>
        <v>293.99</v>
      </c>
      <c r="I1942" t="s">
        <v>15</v>
      </c>
      <c r="J1942" t="s">
        <v>81</v>
      </c>
      <c r="K1942" t="str">
        <f>"6298906"</f>
        <v>6298906</v>
      </c>
    </row>
    <row r="1943" spans="1:11" x14ac:dyDescent="0.25">
      <c r="A1943">
        <v>2021</v>
      </c>
      <c r="B1943" t="s">
        <v>11353</v>
      </c>
      <c r="C1943" t="s">
        <v>11357</v>
      </c>
      <c r="D1943" t="s">
        <v>19</v>
      </c>
      <c r="E1943" t="s">
        <v>20</v>
      </c>
      <c r="F1943" t="str">
        <f>"43615"</f>
        <v>43615</v>
      </c>
      <c r="G1943" t="str">
        <f>"Je061721"</f>
        <v>Je061721</v>
      </c>
      <c r="H1943" s="2">
        <f>293.99</f>
        <v>293.99</v>
      </c>
      <c r="I1943" t="s">
        <v>15</v>
      </c>
      <c r="J1943" t="s">
        <v>137</v>
      </c>
      <c r="K1943" t="str">
        <f>"60007140"</f>
        <v>60007140</v>
      </c>
    </row>
    <row r="1944" spans="1:11" x14ac:dyDescent="0.25">
      <c r="A1944">
        <v>2021</v>
      </c>
      <c r="B1944" t="s">
        <v>11353</v>
      </c>
      <c r="C1944" t="s">
        <v>11355</v>
      </c>
      <c r="D1944" t="s">
        <v>19</v>
      </c>
      <c r="E1944" t="s">
        <v>20</v>
      </c>
      <c r="F1944" t="str">
        <f>"43615"</f>
        <v>43615</v>
      </c>
      <c r="G1944" t="str">
        <f>"Je110321"</f>
        <v>Je110321</v>
      </c>
      <c r="H1944" s="2">
        <f>244.7</f>
        <v>244.7</v>
      </c>
      <c r="I1944" t="s">
        <v>15</v>
      </c>
      <c r="J1944" t="s">
        <v>596</v>
      </c>
      <c r="K1944" t="str">
        <f>"60018056"</f>
        <v>60018056</v>
      </c>
    </row>
    <row r="1945" spans="1:11" x14ac:dyDescent="0.25">
      <c r="A1945">
        <v>2021</v>
      </c>
      <c r="B1945" t="s">
        <v>11353</v>
      </c>
      <c r="C1945" t="s">
        <v>11355</v>
      </c>
      <c r="D1945" t="s">
        <v>19</v>
      </c>
      <c r="E1945" t="s">
        <v>20</v>
      </c>
      <c r="F1945" t="str">
        <f>"43615"</f>
        <v>43615</v>
      </c>
      <c r="G1945" t="str">
        <f>"Je110321"</f>
        <v>Je110321</v>
      </c>
      <c r="H1945" s="2">
        <f>244.7</f>
        <v>244.7</v>
      </c>
      <c r="I1945" t="s">
        <v>15</v>
      </c>
      <c r="J1945" t="s">
        <v>596</v>
      </c>
      <c r="K1945" t="str">
        <f>"60020575"</f>
        <v>60020575</v>
      </c>
    </row>
    <row r="1946" spans="1:11" x14ac:dyDescent="0.25">
      <c r="A1946">
        <v>2021</v>
      </c>
      <c r="B1946" t="s">
        <v>11353</v>
      </c>
      <c r="C1946" t="s">
        <v>11357</v>
      </c>
      <c r="D1946" t="s">
        <v>19</v>
      </c>
      <c r="E1946" t="s">
        <v>20</v>
      </c>
      <c r="F1946" t="str">
        <f>"43615"</f>
        <v>43615</v>
      </c>
      <c r="G1946" t="str">
        <f>"Je092221"</f>
        <v>Je092221</v>
      </c>
      <c r="H1946" s="2">
        <f>244.7</f>
        <v>244.7</v>
      </c>
      <c r="I1946" t="s">
        <v>15</v>
      </c>
      <c r="J1946" t="s">
        <v>114</v>
      </c>
      <c r="K1946" t="str">
        <f>"60015810"</f>
        <v>60015810</v>
      </c>
    </row>
    <row r="1947" spans="1:11" x14ac:dyDescent="0.25">
      <c r="A1947">
        <v>2021</v>
      </c>
      <c r="B1947" t="s">
        <v>11364</v>
      </c>
      <c r="C1947" t="s">
        <v>11365</v>
      </c>
      <c r="D1947" t="s">
        <v>19</v>
      </c>
      <c r="E1947" t="s">
        <v>20</v>
      </c>
      <c r="F1947" t="str">
        <f>"43612"</f>
        <v>43612</v>
      </c>
      <c r="G1947" t="str">
        <f>"Je092221"</f>
        <v>Je092221</v>
      </c>
      <c r="H1947" s="2">
        <f>23.08</f>
        <v>23.08</v>
      </c>
      <c r="I1947" t="s">
        <v>15</v>
      </c>
      <c r="J1947" t="s">
        <v>114</v>
      </c>
      <c r="K1947" t="str">
        <f>"60013725"</f>
        <v>60013725</v>
      </c>
    </row>
    <row r="1948" spans="1:11" x14ac:dyDescent="0.25">
      <c r="A1948">
        <v>2021</v>
      </c>
      <c r="B1948" t="s">
        <v>11364</v>
      </c>
      <c r="C1948" t="s">
        <v>11365</v>
      </c>
      <c r="D1948" t="s">
        <v>19</v>
      </c>
      <c r="E1948" t="s">
        <v>20</v>
      </c>
      <c r="F1948" t="str">
        <f>"43612"</f>
        <v>43612</v>
      </c>
      <c r="G1948" t="str">
        <f>"Je110321"</f>
        <v>Je110321</v>
      </c>
      <c r="H1948" s="2">
        <f>23.08</f>
        <v>23.08</v>
      </c>
      <c r="I1948" t="s">
        <v>15</v>
      </c>
      <c r="J1948" t="s">
        <v>596</v>
      </c>
      <c r="K1948" t="str">
        <f>"60018057"</f>
        <v>60018057</v>
      </c>
    </row>
    <row r="1949" spans="1:11" x14ac:dyDescent="0.25">
      <c r="A1949">
        <v>2021</v>
      </c>
      <c r="B1949" t="s">
        <v>11366</v>
      </c>
      <c r="C1949" t="s">
        <v>11365</v>
      </c>
      <c r="D1949" t="s">
        <v>19</v>
      </c>
      <c r="E1949" t="s">
        <v>20</v>
      </c>
      <c r="F1949" t="str">
        <f>"43612-2142"</f>
        <v>43612-2142</v>
      </c>
      <c r="G1949" t="str">
        <f>"Swucf4621"</f>
        <v>Swucf4621</v>
      </c>
      <c r="H1949" s="2">
        <f>27.68</f>
        <v>27.68</v>
      </c>
      <c r="I1949" t="s">
        <v>15</v>
      </c>
      <c r="J1949" t="s">
        <v>81</v>
      </c>
      <c r="K1949" t="str">
        <f>"6292525"</f>
        <v>6292525</v>
      </c>
    </row>
    <row r="1950" spans="1:11" x14ac:dyDescent="0.25">
      <c r="A1950">
        <v>2021</v>
      </c>
      <c r="B1950" t="s">
        <v>11369</v>
      </c>
      <c r="C1950" t="s">
        <v>11370</v>
      </c>
      <c r="D1950" t="s">
        <v>19</v>
      </c>
      <c r="E1950" t="s">
        <v>20</v>
      </c>
      <c r="F1950" t="str">
        <f>"43615-6109"</f>
        <v>43615-6109</v>
      </c>
      <c r="G1950" t="str">
        <f>"402019"</f>
        <v>402019</v>
      </c>
      <c r="H1950" s="2">
        <f>20</f>
        <v>20</v>
      </c>
      <c r="I1950" t="s">
        <v>27</v>
      </c>
      <c r="J1950" t="s">
        <v>42</v>
      </c>
      <c r="K1950" t="str">
        <f>"114716"</f>
        <v>114716</v>
      </c>
    </row>
    <row r="1951" spans="1:11" x14ac:dyDescent="0.25">
      <c r="A1951">
        <v>2021</v>
      </c>
      <c r="B1951" t="s">
        <v>11377</v>
      </c>
      <c r="C1951" t="s">
        <v>11378</v>
      </c>
      <c r="D1951" t="s">
        <v>11379</v>
      </c>
      <c r="E1951" t="s">
        <v>20</v>
      </c>
      <c r="F1951" t="str">
        <f>"43462"</f>
        <v>43462</v>
      </c>
      <c r="G1951" t="str">
        <f>"Bwucf4621"</f>
        <v>Bwucf4621</v>
      </c>
      <c r="H1951" s="2">
        <f>29.95</f>
        <v>29.95</v>
      </c>
      <c r="I1951" t="s">
        <v>15</v>
      </c>
      <c r="J1951" t="s">
        <v>295</v>
      </c>
      <c r="K1951" t="str">
        <f>"01446682"</f>
        <v>01446682</v>
      </c>
    </row>
    <row r="1952" spans="1:11" x14ac:dyDescent="0.25">
      <c r="A1952">
        <v>2021</v>
      </c>
      <c r="B1952" t="s">
        <v>11380</v>
      </c>
      <c r="C1952" t="s">
        <v>11381</v>
      </c>
      <c r="D1952" t="s">
        <v>19</v>
      </c>
      <c r="E1952" t="s">
        <v>20</v>
      </c>
      <c r="F1952" t="str">
        <f>"43608-1320"</f>
        <v>43608-1320</v>
      </c>
      <c r="G1952" t="str">
        <f>"402019"</f>
        <v>402019</v>
      </c>
      <c r="H1952" s="2">
        <f>10</f>
        <v>10</v>
      </c>
      <c r="I1952" t="s">
        <v>27</v>
      </c>
      <c r="J1952" t="s">
        <v>42</v>
      </c>
      <c r="K1952" t="str">
        <f>"114798"</f>
        <v>114798</v>
      </c>
    </row>
    <row r="1953" spans="1:11" x14ac:dyDescent="0.25">
      <c r="A1953">
        <v>2021</v>
      </c>
      <c r="B1953" t="s">
        <v>11402</v>
      </c>
      <c r="C1953" t="s">
        <v>11403</v>
      </c>
      <c r="D1953" t="s">
        <v>50</v>
      </c>
      <c r="E1953" t="s">
        <v>20</v>
      </c>
      <c r="F1953" t="str">
        <f>"43560-3547"</f>
        <v>43560-3547</v>
      </c>
      <c r="G1953" t="str">
        <f>"402019"</f>
        <v>402019</v>
      </c>
      <c r="H1953" s="2">
        <f>50</f>
        <v>50</v>
      </c>
      <c r="I1953" t="s">
        <v>27</v>
      </c>
      <c r="J1953" t="s">
        <v>42</v>
      </c>
      <c r="K1953" t="str">
        <f>"116038"</f>
        <v>116038</v>
      </c>
    </row>
    <row r="1954" spans="1:11" x14ac:dyDescent="0.25">
      <c r="A1954">
        <v>2021</v>
      </c>
      <c r="B1954" t="s">
        <v>11406</v>
      </c>
      <c r="C1954" t="s">
        <v>11403</v>
      </c>
      <c r="D1954" t="s">
        <v>50</v>
      </c>
      <c r="E1954" t="s">
        <v>20</v>
      </c>
      <c r="F1954" t="str">
        <f>"43560-3547"</f>
        <v>43560-3547</v>
      </c>
      <c r="G1954" t="str">
        <f>"402019"</f>
        <v>402019</v>
      </c>
      <c r="H1954" s="2">
        <f>30</f>
        <v>30</v>
      </c>
      <c r="I1954" t="s">
        <v>27</v>
      </c>
      <c r="J1954" t="s">
        <v>42</v>
      </c>
      <c r="K1954" t="str">
        <f>"116059"</f>
        <v>116059</v>
      </c>
    </row>
    <row r="1955" spans="1:11" x14ac:dyDescent="0.25">
      <c r="A1955">
        <v>2021</v>
      </c>
      <c r="B1955" t="s">
        <v>11415</v>
      </c>
      <c r="C1955" t="s">
        <v>11416</v>
      </c>
      <c r="D1955" t="s">
        <v>19</v>
      </c>
      <c r="E1955" t="s">
        <v>20</v>
      </c>
      <c r="F1955" t="str">
        <f>"43615"</f>
        <v>43615</v>
      </c>
      <c r="G1955" t="str">
        <f>"Bwucf4621"</f>
        <v>Bwucf4621</v>
      </c>
      <c r="H1955" s="2">
        <f>22.96</f>
        <v>22.96</v>
      </c>
      <c r="I1955" t="s">
        <v>15</v>
      </c>
      <c r="J1955" t="s">
        <v>295</v>
      </c>
      <c r="K1955" t="str">
        <f>"01443711"</f>
        <v>01443711</v>
      </c>
    </row>
    <row r="1956" spans="1:11" x14ac:dyDescent="0.25">
      <c r="A1956">
        <v>2021</v>
      </c>
      <c r="B1956" t="s">
        <v>11418</v>
      </c>
      <c r="C1956" t="s">
        <v>11419</v>
      </c>
      <c r="D1956" t="s">
        <v>125</v>
      </c>
      <c r="E1956" t="s">
        <v>20</v>
      </c>
      <c r="F1956" t="str">
        <f>"43537"</f>
        <v>43537</v>
      </c>
      <c r="G1956" t="str">
        <f>"Pio448069"</f>
        <v>Pio448069</v>
      </c>
      <c r="H1956" s="2">
        <f>2.51</f>
        <v>2.5099999999999998</v>
      </c>
      <c r="I1956" t="s">
        <v>86</v>
      </c>
      <c r="J1956" t="s">
        <v>87</v>
      </c>
      <c r="K1956" t="str">
        <f>"0"</f>
        <v>0</v>
      </c>
    </row>
    <row r="1957" spans="1:11" x14ac:dyDescent="0.25">
      <c r="A1957">
        <v>2021</v>
      </c>
      <c r="B1957" t="s">
        <v>11426</v>
      </c>
      <c r="C1957" t="s">
        <v>11427</v>
      </c>
      <c r="D1957" t="s">
        <v>19</v>
      </c>
      <c r="E1957" t="s">
        <v>20</v>
      </c>
      <c r="F1957" t="str">
        <f>"43606-2106"</f>
        <v>43606-2106</v>
      </c>
      <c r="G1957" t="str">
        <f>"Swucf4621"</f>
        <v>Swucf4621</v>
      </c>
      <c r="H1957" s="2">
        <f>55.47</f>
        <v>55.47</v>
      </c>
      <c r="I1957" t="s">
        <v>15</v>
      </c>
      <c r="J1957" t="s">
        <v>81</v>
      </c>
      <c r="K1957" t="str">
        <f>"6298923"</f>
        <v>6298923</v>
      </c>
    </row>
    <row r="1958" spans="1:11" x14ac:dyDescent="0.25">
      <c r="A1958">
        <v>2021</v>
      </c>
      <c r="B1958" t="s">
        <v>11424</v>
      </c>
      <c r="C1958" t="s">
        <v>11425</v>
      </c>
      <c r="D1958" t="s">
        <v>1074</v>
      </c>
      <c r="E1958" t="s">
        <v>20</v>
      </c>
      <c r="F1958" t="str">
        <f>"43551"</f>
        <v>43551</v>
      </c>
      <c r="G1958" t="str">
        <f>"Je061721"</f>
        <v>Je061721</v>
      </c>
      <c r="H1958" s="2">
        <f>55.47</f>
        <v>55.47</v>
      </c>
      <c r="I1958" t="s">
        <v>15</v>
      </c>
      <c r="J1958" t="s">
        <v>137</v>
      </c>
      <c r="K1958" t="str">
        <f>"60007154"</f>
        <v>60007154</v>
      </c>
    </row>
    <row r="1959" spans="1:11" x14ac:dyDescent="0.25">
      <c r="A1959">
        <v>2021</v>
      </c>
      <c r="B1959" t="s">
        <v>11424</v>
      </c>
      <c r="C1959" t="s">
        <v>11425</v>
      </c>
      <c r="D1959" t="s">
        <v>1074</v>
      </c>
      <c r="E1959" t="s">
        <v>20</v>
      </c>
      <c r="F1959" t="str">
        <f>"43551"</f>
        <v>43551</v>
      </c>
      <c r="G1959" t="str">
        <f>"Je061721"</f>
        <v>Je061721</v>
      </c>
      <c r="H1959" s="2">
        <f>55.47</f>
        <v>55.47</v>
      </c>
      <c r="I1959" t="s">
        <v>15</v>
      </c>
      <c r="J1959" t="s">
        <v>137</v>
      </c>
      <c r="K1959" t="str">
        <f>"60003997"</f>
        <v>60003997</v>
      </c>
    </row>
    <row r="1960" spans="1:11" x14ac:dyDescent="0.25">
      <c r="A1960">
        <v>2021</v>
      </c>
      <c r="B1960" t="s">
        <v>11432</v>
      </c>
      <c r="C1960" t="s">
        <v>11433</v>
      </c>
      <c r="D1960" t="s">
        <v>19</v>
      </c>
      <c r="E1960" t="s">
        <v>20</v>
      </c>
      <c r="F1960" t="str">
        <f>"43608"</f>
        <v>43608</v>
      </c>
      <c r="G1960" t="str">
        <f>"Pio448069"</f>
        <v>Pio448069</v>
      </c>
      <c r="H1960" s="2">
        <f>1</f>
        <v>1</v>
      </c>
      <c r="I1960" t="s">
        <v>86</v>
      </c>
      <c r="J1960" t="s">
        <v>87</v>
      </c>
      <c r="K1960" t="str">
        <f>"0"</f>
        <v>0</v>
      </c>
    </row>
    <row r="1961" spans="1:11" x14ac:dyDescent="0.25">
      <c r="A1961">
        <v>2021</v>
      </c>
      <c r="B1961" t="s">
        <v>11434</v>
      </c>
      <c r="C1961" t="s">
        <v>153</v>
      </c>
      <c r="D1961" t="s">
        <v>11435</v>
      </c>
      <c r="E1961" t="s">
        <v>14</v>
      </c>
      <c r="F1961" t="str">
        <f>"48117"</f>
        <v>48117</v>
      </c>
      <c r="G1961" t="str">
        <f>"Pio448069"</f>
        <v>Pio448069</v>
      </c>
      <c r="H1961" s="2">
        <f>6.93</f>
        <v>6.93</v>
      </c>
      <c r="I1961" t="s">
        <v>86</v>
      </c>
      <c r="J1961" t="s">
        <v>87</v>
      </c>
      <c r="K1961" t="str">
        <f>"0"</f>
        <v>0</v>
      </c>
    </row>
    <row r="1962" spans="1:11" x14ac:dyDescent="0.25">
      <c r="A1962">
        <v>2021</v>
      </c>
      <c r="B1962" t="s">
        <v>11436</v>
      </c>
      <c r="C1962" t="s">
        <v>11437</v>
      </c>
      <c r="D1962" t="s">
        <v>19</v>
      </c>
      <c r="E1962" t="s">
        <v>20</v>
      </c>
      <c r="F1962" t="str">
        <f>"43620"</f>
        <v>43620</v>
      </c>
      <c r="G1962" t="str">
        <f>"Pio448069"</f>
        <v>Pio448069</v>
      </c>
      <c r="H1962" s="2">
        <f>6.35</f>
        <v>6.35</v>
      </c>
      <c r="I1962" t="s">
        <v>86</v>
      </c>
      <c r="J1962" t="s">
        <v>87</v>
      </c>
      <c r="K1962" t="str">
        <f>"0"</f>
        <v>0</v>
      </c>
    </row>
    <row r="1963" spans="1:11" x14ac:dyDescent="0.25">
      <c r="A1963">
        <v>2021</v>
      </c>
      <c r="B1963" t="s">
        <v>11443</v>
      </c>
      <c r="C1963" t="s">
        <v>11444</v>
      </c>
      <c r="D1963" t="s">
        <v>19</v>
      </c>
      <c r="E1963" t="s">
        <v>20</v>
      </c>
      <c r="F1963" t="str">
        <f>"43612"</f>
        <v>43612</v>
      </c>
      <c r="G1963" t="str">
        <f>"Pio448069"</f>
        <v>Pio448069</v>
      </c>
      <c r="H1963" s="2">
        <f>2</f>
        <v>2</v>
      </c>
      <c r="I1963" t="s">
        <v>86</v>
      </c>
      <c r="J1963" t="s">
        <v>87</v>
      </c>
      <c r="K1963" t="str">
        <f>"0"</f>
        <v>0</v>
      </c>
    </row>
    <row r="1964" spans="1:11" x14ac:dyDescent="0.25">
      <c r="A1964">
        <v>2021</v>
      </c>
      <c r="B1964" t="s">
        <v>11457</v>
      </c>
      <c r="C1964" t="s">
        <v>11458</v>
      </c>
      <c r="D1964" t="s">
        <v>19</v>
      </c>
      <c r="E1964" t="s">
        <v>20</v>
      </c>
      <c r="F1964" t="str">
        <f>"43606"</f>
        <v>43606</v>
      </c>
      <c r="G1964" t="str">
        <f>"402018"</f>
        <v>402018</v>
      </c>
      <c r="H1964" s="2">
        <f>44</f>
        <v>44</v>
      </c>
      <c r="I1964" t="s">
        <v>27</v>
      </c>
      <c r="J1964" t="s">
        <v>171</v>
      </c>
      <c r="K1964" t="str">
        <f>"517385"</f>
        <v>517385</v>
      </c>
    </row>
    <row r="1965" spans="1:11" x14ac:dyDescent="0.25">
      <c r="A1965">
        <v>2021</v>
      </c>
      <c r="B1965" t="s">
        <v>11457</v>
      </c>
      <c r="C1965" t="s">
        <v>11458</v>
      </c>
      <c r="D1965" t="s">
        <v>19</v>
      </c>
      <c r="E1965" t="s">
        <v>20</v>
      </c>
      <c r="F1965" t="str">
        <f>"43606"</f>
        <v>43606</v>
      </c>
      <c r="G1965" t="str">
        <f>"402018"</f>
        <v>402018</v>
      </c>
      <c r="H1965" s="2">
        <f>100</f>
        <v>100</v>
      </c>
      <c r="I1965" t="s">
        <v>27</v>
      </c>
      <c r="J1965" t="s">
        <v>171</v>
      </c>
      <c r="K1965" t="str">
        <f>"516579"</f>
        <v>516579</v>
      </c>
    </row>
    <row r="1966" spans="1:11" x14ac:dyDescent="0.25">
      <c r="A1966">
        <v>2021</v>
      </c>
      <c r="B1966" t="s">
        <v>11467</v>
      </c>
      <c r="C1966" t="s">
        <v>11468</v>
      </c>
      <c r="D1966" t="s">
        <v>19</v>
      </c>
      <c r="E1966" t="s">
        <v>20</v>
      </c>
      <c r="F1966" t="str">
        <f>"43604"</f>
        <v>43604</v>
      </c>
      <c r="G1966" t="str">
        <f>"Pio448069"</f>
        <v>Pio448069</v>
      </c>
      <c r="H1966" s="2">
        <f>1.55</f>
        <v>1.55</v>
      </c>
      <c r="I1966" t="s">
        <v>86</v>
      </c>
      <c r="J1966" t="s">
        <v>87</v>
      </c>
      <c r="K1966" t="str">
        <f>"0"</f>
        <v>0</v>
      </c>
    </row>
    <row r="1967" spans="1:11" x14ac:dyDescent="0.25">
      <c r="A1967">
        <v>2021</v>
      </c>
      <c r="B1967" t="s">
        <v>11467</v>
      </c>
      <c r="C1967" t="s">
        <v>11469</v>
      </c>
      <c r="D1967" t="s">
        <v>19</v>
      </c>
      <c r="E1967" t="s">
        <v>20</v>
      </c>
      <c r="F1967" t="str">
        <f>"43606"</f>
        <v>43606</v>
      </c>
      <c r="G1967" t="str">
        <f>"402018"</f>
        <v>402018</v>
      </c>
      <c r="H1967" s="2">
        <f>25</f>
        <v>25</v>
      </c>
      <c r="I1967" t="s">
        <v>27</v>
      </c>
      <c r="J1967" t="s">
        <v>171</v>
      </c>
      <c r="K1967" t="str">
        <f>"515373"</f>
        <v>515373</v>
      </c>
    </row>
    <row r="1968" spans="1:11" x14ac:dyDescent="0.25">
      <c r="A1968">
        <v>2021</v>
      </c>
      <c r="B1968" t="s">
        <v>11470</v>
      </c>
      <c r="C1968" t="s">
        <v>11471</v>
      </c>
      <c r="D1968" t="s">
        <v>105</v>
      </c>
      <c r="E1968" t="s">
        <v>20</v>
      </c>
      <c r="F1968" t="str">
        <f>"43528-7739"</f>
        <v>43528-7739</v>
      </c>
      <c r="G1968" t="str">
        <f>"402019"</f>
        <v>402019</v>
      </c>
      <c r="H1968" s="2">
        <f>10</f>
        <v>10</v>
      </c>
      <c r="I1968" t="s">
        <v>27</v>
      </c>
      <c r="J1968" t="s">
        <v>42</v>
      </c>
      <c r="K1968" t="str">
        <f>"114956"</f>
        <v>114956</v>
      </c>
    </row>
    <row r="1969" spans="1:11" x14ac:dyDescent="0.25">
      <c r="A1969">
        <v>2021</v>
      </c>
      <c r="B1969" t="s">
        <v>11480</v>
      </c>
      <c r="C1969" t="s">
        <v>11481</v>
      </c>
      <c r="D1969" t="s">
        <v>19</v>
      </c>
      <c r="E1969" t="s">
        <v>20</v>
      </c>
      <c r="F1969" t="str">
        <f>"43607"</f>
        <v>43607</v>
      </c>
      <c r="G1969" t="str">
        <f>"402063"</f>
        <v>402063</v>
      </c>
      <c r="H1969" s="2">
        <f>10</f>
        <v>10</v>
      </c>
      <c r="I1969" t="s">
        <v>27</v>
      </c>
      <c r="J1969" t="s">
        <v>71</v>
      </c>
      <c r="K1969" t="str">
        <f>"11003672"</f>
        <v>11003672</v>
      </c>
    </row>
    <row r="1970" spans="1:11" x14ac:dyDescent="0.25">
      <c r="A1970">
        <v>2021</v>
      </c>
      <c r="B1970" t="s">
        <v>11486</v>
      </c>
      <c r="C1970" t="s">
        <v>11487</v>
      </c>
      <c r="D1970" t="s">
        <v>19</v>
      </c>
      <c r="E1970" t="s">
        <v>20</v>
      </c>
      <c r="F1970" t="str">
        <f>"43604"</f>
        <v>43604</v>
      </c>
      <c r="G1970" t="str">
        <f>"402017"</f>
        <v>402017</v>
      </c>
      <c r="H1970" s="2">
        <f>20</f>
        <v>20</v>
      </c>
      <c r="I1970" t="s">
        <v>27</v>
      </c>
      <c r="J1970" t="s">
        <v>212</v>
      </c>
      <c r="K1970" t="str">
        <f>"34153"</f>
        <v>34153</v>
      </c>
    </row>
    <row r="1971" spans="1:11" x14ac:dyDescent="0.25">
      <c r="A1971">
        <v>2021</v>
      </c>
      <c r="B1971" t="s">
        <v>11488</v>
      </c>
      <c r="C1971" t="s">
        <v>11489</v>
      </c>
      <c r="D1971" t="s">
        <v>19</v>
      </c>
      <c r="E1971" t="s">
        <v>20</v>
      </c>
      <c r="F1971" t="str">
        <f>"43612"</f>
        <v>43612</v>
      </c>
      <c r="G1971" t="str">
        <f>"Je092221"</f>
        <v>Je092221</v>
      </c>
      <c r="H1971" s="2">
        <f>35</f>
        <v>35</v>
      </c>
      <c r="I1971" t="s">
        <v>15</v>
      </c>
      <c r="J1971" t="s">
        <v>114</v>
      </c>
      <c r="K1971" t="str">
        <f>"60011623"</f>
        <v>60011623</v>
      </c>
    </row>
    <row r="1972" spans="1:11" x14ac:dyDescent="0.25">
      <c r="A1972">
        <v>2021</v>
      </c>
      <c r="B1972" t="s">
        <v>11506</v>
      </c>
      <c r="C1972" t="s">
        <v>11507</v>
      </c>
      <c r="D1972" t="s">
        <v>19</v>
      </c>
      <c r="E1972" t="s">
        <v>20</v>
      </c>
      <c r="F1972" t="str">
        <f>"43605-2769"</f>
        <v>43605-2769</v>
      </c>
      <c r="G1972" t="str">
        <f>"402019"</f>
        <v>402019</v>
      </c>
      <c r="H1972" s="2">
        <f>10</f>
        <v>10</v>
      </c>
      <c r="I1972" t="s">
        <v>27</v>
      </c>
      <c r="J1972" t="s">
        <v>42</v>
      </c>
      <c r="K1972" t="str">
        <f>"114559"</f>
        <v>114559</v>
      </c>
    </row>
    <row r="1973" spans="1:11" x14ac:dyDescent="0.25">
      <c r="A1973">
        <v>2021</v>
      </c>
      <c r="B1973" t="s">
        <v>11508</v>
      </c>
      <c r="C1973" t="s">
        <v>11509</v>
      </c>
      <c r="D1973" t="s">
        <v>19</v>
      </c>
      <c r="E1973" t="s">
        <v>20</v>
      </c>
      <c r="F1973" t="str">
        <f>"43615-1323"</f>
        <v>43615-1323</v>
      </c>
      <c r="G1973" t="str">
        <f>"402019"</f>
        <v>402019</v>
      </c>
      <c r="H1973" s="2">
        <f>10</f>
        <v>10</v>
      </c>
      <c r="I1973" t="s">
        <v>27</v>
      </c>
      <c r="J1973" t="s">
        <v>42</v>
      </c>
      <c r="K1973" t="str">
        <f>"114197"</f>
        <v>114197</v>
      </c>
    </row>
    <row r="1974" spans="1:11" x14ac:dyDescent="0.25">
      <c r="A1974">
        <v>2021</v>
      </c>
      <c r="B1974" t="s">
        <v>11518</v>
      </c>
      <c r="C1974" t="s">
        <v>4201</v>
      </c>
      <c r="D1974" t="s">
        <v>1163</v>
      </c>
      <c r="E1974" t="s">
        <v>20</v>
      </c>
      <c r="F1974" t="str">
        <f>"45227"</f>
        <v>45227</v>
      </c>
      <c r="G1974" t="str">
        <f>"402017"</f>
        <v>402017</v>
      </c>
      <c r="H1974" s="2">
        <f>550</f>
        <v>550</v>
      </c>
      <c r="I1974" t="s">
        <v>27</v>
      </c>
      <c r="J1974" t="s">
        <v>212</v>
      </c>
      <c r="K1974" t="str">
        <f>"32673"</f>
        <v>32673</v>
      </c>
    </row>
    <row r="1975" spans="1:11" x14ac:dyDescent="0.25">
      <c r="A1975">
        <v>2021</v>
      </c>
      <c r="B1975" t="s">
        <v>11519</v>
      </c>
      <c r="C1975" t="s">
        <v>3314</v>
      </c>
      <c r="D1975" t="s">
        <v>1163</v>
      </c>
      <c r="E1975" t="s">
        <v>20</v>
      </c>
      <c r="F1975" t="str">
        <f>"45227"</f>
        <v>45227</v>
      </c>
      <c r="G1975" t="str">
        <f>"402017"</f>
        <v>402017</v>
      </c>
      <c r="H1975" s="2">
        <f>197.1</f>
        <v>197.1</v>
      </c>
      <c r="I1975" t="s">
        <v>27</v>
      </c>
      <c r="J1975" t="s">
        <v>212</v>
      </c>
      <c r="K1975" t="str">
        <f>"33696"</f>
        <v>33696</v>
      </c>
    </row>
    <row r="1976" spans="1:11" x14ac:dyDescent="0.25">
      <c r="A1976">
        <v>2021</v>
      </c>
      <c r="B1976" t="s">
        <v>11520</v>
      </c>
      <c r="C1976" t="s">
        <v>3314</v>
      </c>
      <c r="D1976" t="s">
        <v>1163</v>
      </c>
      <c r="E1976" t="s">
        <v>20</v>
      </c>
      <c r="F1976" t="str">
        <f>"45227"</f>
        <v>45227</v>
      </c>
      <c r="G1976" t="str">
        <f>"402017"</f>
        <v>402017</v>
      </c>
      <c r="H1976" s="2">
        <f>235.7</f>
        <v>235.7</v>
      </c>
      <c r="I1976" t="s">
        <v>27</v>
      </c>
      <c r="J1976" t="s">
        <v>212</v>
      </c>
      <c r="K1976" t="str">
        <f>"34048"</f>
        <v>34048</v>
      </c>
    </row>
    <row r="1977" spans="1:11" x14ac:dyDescent="0.25">
      <c r="A1977">
        <v>2021</v>
      </c>
      <c r="B1977" t="s">
        <v>11521</v>
      </c>
      <c r="C1977" t="s">
        <v>11522</v>
      </c>
      <c r="D1977" t="s">
        <v>11523</v>
      </c>
      <c r="E1977" t="s">
        <v>11524</v>
      </c>
      <c r="F1977" t="str">
        <f>"68198"</f>
        <v>68198</v>
      </c>
      <c r="G1977" t="str">
        <f>"Je110321"</f>
        <v>Je110321</v>
      </c>
      <c r="H1977" s="2">
        <f>200</f>
        <v>200</v>
      </c>
      <c r="I1977" t="s">
        <v>15</v>
      </c>
      <c r="J1977" t="s">
        <v>596</v>
      </c>
      <c r="K1977" t="str">
        <f>"60021570"</f>
        <v>60021570</v>
      </c>
    </row>
    <row r="1978" spans="1:11" x14ac:dyDescent="0.25">
      <c r="A1978">
        <v>2021</v>
      </c>
      <c r="B1978" t="s">
        <v>11541</v>
      </c>
      <c r="C1978" t="s">
        <v>895</v>
      </c>
      <c r="F1978" t="str">
        <f>""</f>
        <v/>
      </c>
      <c r="G1978" t="str">
        <f>"409071"</f>
        <v>409071</v>
      </c>
      <c r="H1978" s="2">
        <f>1530.21</f>
        <v>1530.21</v>
      </c>
      <c r="I1978" t="s">
        <v>148</v>
      </c>
      <c r="J1978" t="s">
        <v>11542</v>
      </c>
      <c r="K1978" t="str">
        <f>"23015"</f>
        <v>23015</v>
      </c>
    </row>
    <row r="1979" spans="1:11" x14ac:dyDescent="0.25">
      <c r="A1979">
        <v>2021</v>
      </c>
      <c r="B1979" t="s">
        <v>11545</v>
      </c>
      <c r="C1979" t="s">
        <v>3644</v>
      </c>
      <c r="D1979" t="s">
        <v>19</v>
      </c>
      <c r="E1979" t="s">
        <v>20</v>
      </c>
      <c r="F1979" t="str">
        <f t="shared" ref="F1979:F1991" si="57">"43697"</f>
        <v>43697</v>
      </c>
      <c r="G1979" t="str">
        <f t="shared" ref="G1979:G1992" si="58">"402018"</f>
        <v>402018</v>
      </c>
      <c r="H1979" s="2">
        <f>50</f>
        <v>50</v>
      </c>
      <c r="I1979" t="s">
        <v>27</v>
      </c>
      <c r="J1979" t="s">
        <v>171</v>
      </c>
      <c r="K1979" t="str">
        <f>"517998"</f>
        <v>517998</v>
      </c>
    </row>
    <row r="1980" spans="1:11" x14ac:dyDescent="0.25">
      <c r="A1980">
        <v>2021</v>
      </c>
      <c r="B1980" t="s">
        <v>11545</v>
      </c>
      <c r="C1980" t="s">
        <v>3644</v>
      </c>
      <c r="D1980" t="s">
        <v>19</v>
      </c>
      <c r="E1980" t="s">
        <v>20</v>
      </c>
      <c r="F1980" t="str">
        <f t="shared" si="57"/>
        <v>43697</v>
      </c>
      <c r="G1980" t="str">
        <f t="shared" si="58"/>
        <v>402018</v>
      </c>
      <c r="H1980" s="2">
        <f>50</f>
        <v>50</v>
      </c>
      <c r="I1980" t="s">
        <v>27</v>
      </c>
      <c r="J1980" t="s">
        <v>171</v>
      </c>
      <c r="K1980" t="str">
        <f>"518257"</f>
        <v>518257</v>
      </c>
    </row>
    <row r="1981" spans="1:11" x14ac:dyDescent="0.25">
      <c r="A1981">
        <v>2021</v>
      </c>
      <c r="B1981" t="s">
        <v>11545</v>
      </c>
      <c r="C1981" t="s">
        <v>3644</v>
      </c>
      <c r="D1981" t="s">
        <v>19</v>
      </c>
      <c r="E1981" t="s">
        <v>20</v>
      </c>
      <c r="F1981" t="str">
        <f t="shared" si="57"/>
        <v>43697</v>
      </c>
      <c r="G1981" t="str">
        <f t="shared" si="58"/>
        <v>402018</v>
      </c>
      <c r="H1981" s="2">
        <f>100</f>
        <v>100</v>
      </c>
      <c r="I1981" t="s">
        <v>27</v>
      </c>
      <c r="J1981" t="s">
        <v>171</v>
      </c>
      <c r="K1981" t="str">
        <f>"516621"</f>
        <v>516621</v>
      </c>
    </row>
    <row r="1982" spans="1:11" x14ac:dyDescent="0.25">
      <c r="A1982">
        <v>2021</v>
      </c>
      <c r="B1982" t="s">
        <v>11545</v>
      </c>
      <c r="C1982" t="s">
        <v>3644</v>
      </c>
      <c r="D1982" t="s">
        <v>19</v>
      </c>
      <c r="E1982" t="s">
        <v>20</v>
      </c>
      <c r="F1982" t="str">
        <f t="shared" si="57"/>
        <v>43697</v>
      </c>
      <c r="G1982" t="str">
        <f t="shared" si="58"/>
        <v>402018</v>
      </c>
      <c r="H1982" s="2">
        <f>100</f>
        <v>100</v>
      </c>
      <c r="I1982" t="s">
        <v>27</v>
      </c>
      <c r="J1982" t="s">
        <v>171</v>
      </c>
      <c r="K1982" t="str">
        <f>"516838"</f>
        <v>516838</v>
      </c>
    </row>
    <row r="1983" spans="1:11" x14ac:dyDescent="0.25">
      <c r="A1983">
        <v>2021</v>
      </c>
      <c r="B1983" t="s">
        <v>11545</v>
      </c>
      <c r="C1983" t="s">
        <v>3644</v>
      </c>
      <c r="D1983" t="s">
        <v>19</v>
      </c>
      <c r="E1983" t="s">
        <v>20</v>
      </c>
      <c r="F1983" t="str">
        <f t="shared" si="57"/>
        <v>43697</v>
      </c>
      <c r="G1983" t="str">
        <f t="shared" si="58"/>
        <v>402018</v>
      </c>
      <c r="H1983" s="2">
        <f>100</f>
        <v>100</v>
      </c>
      <c r="I1983" t="s">
        <v>27</v>
      </c>
      <c r="J1983" t="s">
        <v>171</v>
      </c>
      <c r="K1983" t="str">
        <f>"515916"</f>
        <v>515916</v>
      </c>
    </row>
    <row r="1984" spans="1:11" x14ac:dyDescent="0.25">
      <c r="A1984">
        <v>2021</v>
      </c>
      <c r="B1984" t="s">
        <v>11545</v>
      </c>
      <c r="C1984" t="s">
        <v>3644</v>
      </c>
      <c r="D1984" t="s">
        <v>19</v>
      </c>
      <c r="E1984" t="s">
        <v>20</v>
      </c>
      <c r="F1984" t="str">
        <f t="shared" si="57"/>
        <v>43697</v>
      </c>
      <c r="G1984" t="str">
        <f t="shared" si="58"/>
        <v>402018</v>
      </c>
      <c r="H1984" s="2">
        <f>100</f>
        <v>100</v>
      </c>
      <c r="I1984" t="s">
        <v>27</v>
      </c>
      <c r="J1984" t="s">
        <v>171</v>
      </c>
      <c r="K1984" t="str">
        <f>"516428"</f>
        <v>516428</v>
      </c>
    </row>
    <row r="1985" spans="1:11" x14ac:dyDescent="0.25">
      <c r="A1985">
        <v>2021</v>
      </c>
      <c r="B1985" t="s">
        <v>11545</v>
      </c>
      <c r="C1985" t="s">
        <v>3644</v>
      </c>
      <c r="D1985" t="s">
        <v>19</v>
      </c>
      <c r="E1985" t="s">
        <v>20</v>
      </c>
      <c r="F1985" t="str">
        <f t="shared" si="57"/>
        <v>43697</v>
      </c>
      <c r="G1985" t="str">
        <f t="shared" si="58"/>
        <v>402018</v>
      </c>
      <c r="H1985" s="2">
        <f>100</f>
        <v>100</v>
      </c>
      <c r="I1985" t="s">
        <v>27</v>
      </c>
      <c r="J1985" t="s">
        <v>171</v>
      </c>
      <c r="K1985" t="str">
        <f>"516145"</f>
        <v>516145</v>
      </c>
    </row>
    <row r="1986" spans="1:11" x14ac:dyDescent="0.25">
      <c r="A1986">
        <v>2021</v>
      </c>
      <c r="B1986" t="s">
        <v>11545</v>
      </c>
      <c r="C1986" t="s">
        <v>3644</v>
      </c>
      <c r="D1986" t="s">
        <v>19</v>
      </c>
      <c r="E1986" t="s">
        <v>20</v>
      </c>
      <c r="F1986" t="str">
        <f t="shared" si="57"/>
        <v>43697</v>
      </c>
      <c r="G1986" t="str">
        <f t="shared" si="58"/>
        <v>402018</v>
      </c>
      <c r="H1986" s="2">
        <f>100</f>
        <v>100</v>
      </c>
      <c r="I1986" t="s">
        <v>27</v>
      </c>
      <c r="J1986" t="s">
        <v>171</v>
      </c>
      <c r="K1986" t="str">
        <f>"517488"</f>
        <v>517488</v>
      </c>
    </row>
    <row r="1987" spans="1:11" x14ac:dyDescent="0.25">
      <c r="A1987">
        <v>2021</v>
      </c>
      <c r="B1987" t="s">
        <v>11545</v>
      </c>
      <c r="C1987" t="s">
        <v>3644</v>
      </c>
      <c r="D1987" t="s">
        <v>19</v>
      </c>
      <c r="E1987" t="s">
        <v>20</v>
      </c>
      <c r="F1987" t="str">
        <f t="shared" si="57"/>
        <v>43697</v>
      </c>
      <c r="G1987" t="str">
        <f t="shared" si="58"/>
        <v>402018</v>
      </c>
      <c r="H1987" s="2">
        <f>100</f>
        <v>100</v>
      </c>
      <c r="I1987" t="s">
        <v>27</v>
      </c>
      <c r="J1987" t="s">
        <v>171</v>
      </c>
      <c r="K1987" t="str">
        <f>"517240"</f>
        <v>517240</v>
      </c>
    </row>
    <row r="1988" spans="1:11" x14ac:dyDescent="0.25">
      <c r="A1988">
        <v>2021</v>
      </c>
      <c r="B1988" t="s">
        <v>11545</v>
      </c>
      <c r="C1988" t="s">
        <v>3644</v>
      </c>
      <c r="D1988" t="s">
        <v>19</v>
      </c>
      <c r="E1988" t="s">
        <v>20</v>
      </c>
      <c r="F1988" t="str">
        <f t="shared" si="57"/>
        <v>43697</v>
      </c>
      <c r="G1988" t="str">
        <f t="shared" si="58"/>
        <v>402018</v>
      </c>
      <c r="H1988" s="2">
        <f>50</f>
        <v>50</v>
      </c>
      <c r="I1988" t="s">
        <v>27</v>
      </c>
      <c r="J1988" t="s">
        <v>171</v>
      </c>
      <c r="K1988" t="str">
        <f>"517755"</f>
        <v>517755</v>
      </c>
    </row>
    <row r="1989" spans="1:11" x14ac:dyDescent="0.25">
      <c r="A1989">
        <v>2021</v>
      </c>
      <c r="B1989" t="s">
        <v>11545</v>
      </c>
      <c r="C1989" t="s">
        <v>3644</v>
      </c>
      <c r="D1989" t="s">
        <v>19</v>
      </c>
      <c r="E1989" t="s">
        <v>20</v>
      </c>
      <c r="F1989" t="str">
        <f t="shared" si="57"/>
        <v>43697</v>
      </c>
      <c r="G1989" t="str">
        <f t="shared" si="58"/>
        <v>402018</v>
      </c>
      <c r="H1989" s="2">
        <f>100</f>
        <v>100</v>
      </c>
      <c r="I1989" t="s">
        <v>27</v>
      </c>
      <c r="J1989" t="s">
        <v>171</v>
      </c>
      <c r="K1989" t="str">
        <f>"515340"</f>
        <v>515340</v>
      </c>
    </row>
    <row r="1990" spans="1:11" x14ac:dyDescent="0.25">
      <c r="A1990">
        <v>2021</v>
      </c>
      <c r="B1990" t="s">
        <v>11545</v>
      </c>
      <c r="C1990" t="s">
        <v>3644</v>
      </c>
      <c r="D1990" t="s">
        <v>19</v>
      </c>
      <c r="E1990" t="s">
        <v>20</v>
      </c>
      <c r="F1990" t="str">
        <f t="shared" si="57"/>
        <v>43697</v>
      </c>
      <c r="G1990" t="str">
        <f t="shared" si="58"/>
        <v>402018</v>
      </c>
      <c r="H1990" s="2">
        <f>100</f>
        <v>100</v>
      </c>
      <c r="I1990" t="s">
        <v>27</v>
      </c>
      <c r="J1990" t="s">
        <v>171</v>
      </c>
      <c r="K1990" t="str">
        <f>"515420"</f>
        <v>515420</v>
      </c>
    </row>
    <row r="1991" spans="1:11" x14ac:dyDescent="0.25">
      <c r="A1991">
        <v>2021</v>
      </c>
      <c r="B1991" t="s">
        <v>11545</v>
      </c>
      <c r="C1991" t="s">
        <v>3644</v>
      </c>
      <c r="D1991" t="s">
        <v>19</v>
      </c>
      <c r="E1991" t="s">
        <v>20</v>
      </c>
      <c r="F1991" t="str">
        <f t="shared" si="57"/>
        <v>43697</v>
      </c>
      <c r="G1991" t="str">
        <f t="shared" si="58"/>
        <v>402018</v>
      </c>
      <c r="H1991" s="2">
        <f>100</f>
        <v>100</v>
      </c>
      <c r="I1991" t="s">
        <v>27</v>
      </c>
      <c r="J1991" t="s">
        <v>171</v>
      </c>
      <c r="K1991" t="str">
        <f>"515782"</f>
        <v>515782</v>
      </c>
    </row>
    <row r="1992" spans="1:11" x14ac:dyDescent="0.25">
      <c r="A1992">
        <v>2021</v>
      </c>
      <c r="B1992" t="s">
        <v>11547</v>
      </c>
      <c r="C1992" t="s">
        <v>11548</v>
      </c>
      <c r="D1992" t="s">
        <v>19</v>
      </c>
      <c r="E1992" t="s">
        <v>20</v>
      </c>
      <c r="F1992" t="str">
        <f>"43605"</f>
        <v>43605</v>
      </c>
      <c r="G1992" t="str">
        <f t="shared" si="58"/>
        <v>402018</v>
      </c>
      <c r="H1992" s="2">
        <f>25</f>
        <v>25</v>
      </c>
      <c r="I1992" t="s">
        <v>27</v>
      </c>
      <c r="J1992" t="s">
        <v>171</v>
      </c>
      <c r="K1992" t="str">
        <f>"515591"</f>
        <v>515591</v>
      </c>
    </row>
    <row r="1993" spans="1:11" x14ac:dyDescent="0.25">
      <c r="A1993">
        <v>2021</v>
      </c>
      <c r="B1993" t="s">
        <v>11551</v>
      </c>
      <c r="C1993" t="s">
        <v>5004</v>
      </c>
      <c r="D1993" t="s">
        <v>19</v>
      </c>
      <c r="E1993" t="s">
        <v>20</v>
      </c>
      <c r="F1993" t="str">
        <f>"43604"</f>
        <v>43604</v>
      </c>
      <c r="G1993" t="str">
        <f>"402017"</f>
        <v>402017</v>
      </c>
      <c r="H1993" s="2">
        <f>20</f>
        <v>20</v>
      </c>
      <c r="I1993" t="s">
        <v>27</v>
      </c>
      <c r="J1993" t="s">
        <v>212</v>
      </c>
      <c r="K1993" t="str">
        <f>"34958"</f>
        <v>34958</v>
      </c>
    </row>
    <row r="1994" spans="1:11" x14ac:dyDescent="0.25">
      <c r="A1994">
        <v>2021</v>
      </c>
      <c r="B1994" t="s">
        <v>11552</v>
      </c>
      <c r="C1994" t="s">
        <v>3314</v>
      </c>
      <c r="D1994" t="s">
        <v>1163</v>
      </c>
      <c r="E1994" t="s">
        <v>20</v>
      </c>
      <c r="F1994" t="str">
        <f>"45227"</f>
        <v>45227</v>
      </c>
      <c r="G1994" t="str">
        <f>"402017"</f>
        <v>402017</v>
      </c>
      <c r="H1994" s="2">
        <f>550</f>
        <v>550</v>
      </c>
      <c r="I1994" t="s">
        <v>27</v>
      </c>
      <c r="J1994" t="s">
        <v>212</v>
      </c>
      <c r="K1994" t="str">
        <f>"33101"</f>
        <v>33101</v>
      </c>
    </row>
    <row r="1995" spans="1:11" x14ac:dyDescent="0.25">
      <c r="A1995">
        <v>2021</v>
      </c>
      <c r="B1995" t="s">
        <v>11564</v>
      </c>
      <c r="C1995" t="s">
        <v>11565</v>
      </c>
      <c r="D1995" t="s">
        <v>19</v>
      </c>
      <c r="E1995" t="s">
        <v>20</v>
      </c>
      <c r="F1995" t="str">
        <f>"43604"</f>
        <v>43604</v>
      </c>
      <c r="G1995" t="str">
        <f>"402018"</f>
        <v>402018</v>
      </c>
      <c r="H1995" s="2">
        <f>17.1</f>
        <v>17.100000000000001</v>
      </c>
      <c r="I1995" t="s">
        <v>27</v>
      </c>
      <c r="J1995" t="s">
        <v>171</v>
      </c>
      <c r="K1995" t="str">
        <f>"517973"</f>
        <v>517973</v>
      </c>
    </row>
    <row r="1996" spans="1:11" x14ac:dyDescent="0.25">
      <c r="A1996">
        <v>2021</v>
      </c>
      <c r="B1996" t="s">
        <v>11566</v>
      </c>
      <c r="C1996" t="s">
        <v>11567</v>
      </c>
      <c r="D1996" t="s">
        <v>19</v>
      </c>
      <c r="E1996" t="s">
        <v>20</v>
      </c>
      <c r="F1996" t="str">
        <f>"43606"</f>
        <v>43606</v>
      </c>
      <c r="G1996" t="str">
        <f>"Bwucf4621"</f>
        <v>Bwucf4621</v>
      </c>
      <c r="H1996" s="2">
        <f>600</f>
        <v>600</v>
      </c>
      <c r="I1996" t="s">
        <v>15</v>
      </c>
      <c r="J1996" t="s">
        <v>295</v>
      </c>
      <c r="K1996" t="str">
        <f>"01440235"</f>
        <v>01440235</v>
      </c>
    </row>
    <row r="1997" spans="1:11" x14ac:dyDescent="0.25">
      <c r="A1997">
        <v>2021</v>
      </c>
      <c r="B1997" t="s">
        <v>11581</v>
      </c>
      <c r="C1997" t="s">
        <v>11582</v>
      </c>
      <c r="D1997" t="s">
        <v>19</v>
      </c>
      <c r="E1997" t="s">
        <v>20</v>
      </c>
      <c r="F1997" t="str">
        <f>"43613-3336"</f>
        <v>43613-3336</v>
      </c>
      <c r="G1997" t="str">
        <f>"402019"</f>
        <v>402019</v>
      </c>
      <c r="H1997" s="2">
        <f>10</f>
        <v>10</v>
      </c>
      <c r="I1997" t="s">
        <v>27</v>
      </c>
      <c r="J1997" t="s">
        <v>42</v>
      </c>
      <c r="K1997" t="str">
        <f>"115638"</f>
        <v>115638</v>
      </c>
    </row>
    <row r="1998" spans="1:11" x14ac:dyDescent="0.25">
      <c r="A1998">
        <v>2021</v>
      </c>
      <c r="B1998" t="s">
        <v>11585</v>
      </c>
      <c r="C1998" t="s">
        <v>11586</v>
      </c>
      <c r="D1998" t="s">
        <v>125</v>
      </c>
      <c r="E1998" t="s">
        <v>20</v>
      </c>
      <c r="F1998" t="str">
        <f>"43537-3727"</f>
        <v>43537-3727</v>
      </c>
      <c r="G1998" t="str">
        <f>"402019"</f>
        <v>402019</v>
      </c>
      <c r="H1998" s="2">
        <f>10</f>
        <v>10</v>
      </c>
      <c r="I1998" t="s">
        <v>27</v>
      </c>
      <c r="J1998" t="s">
        <v>42</v>
      </c>
      <c r="K1998" t="str">
        <f>"113677"</f>
        <v>113677</v>
      </c>
    </row>
    <row r="1999" spans="1:11" x14ac:dyDescent="0.25">
      <c r="A1999">
        <v>2021</v>
      </c>
      <c r="B1999" t="s">
        <v>11591</v>
      </c>
      <c r="C1999" t="s">
        <v>11592</v>
      </c>
      <c r="D1999" t="s">
        <v>19</v>
      </c>
      <c r="E1999" t="s">
        <v>20</v>
      </c>
      <c r="F1999" t="str">
        <f>"43623"</f>
        <v>43623</v>
      </c>
      <c r="G1999" t="str">
        <f>"Je092221"</f>
        <v>Je092221</v>
      </c>
      <c r="H1999" s="2">
        <f>6.95</f>
        <v>6.95</v>
      </c>
      <c r="I1999" t="s">
        <v>15</v>
      </c>
      <c r="J1999" t="s">
        <v>114</v>
      </c>
      <c r="K1999" t="str">
        <f>"60015835"</f>
        <v>60015835</v>
      </c>
    </row>
    <row r="2000" spans="1:11" x14ac:dyDescent="0.25">
      <c r="A2000">
        <v>2021</v>
      </c>
      <c r="B2000" t="s">
        <v>11593</v>
      </c>
      <c r="C2000" t="s">
        <v>11594</v>
      </c>
      <c r="D2000" t="s">
        <v>1825</v>
      </c>
      <c r="E2000" t="s">
        <v>20</v>
      </c>
      <c r="F2000" t="str">
        <f>"43430"</f>
        <v>43430</v>
      </c>
      <c r="G2000" t="str">
        <f>"402018"</f>
        <v>402018</v>
      </c>
      <c r="H2000" s="2">
        <f>20</f>
        <v>20</v>
      </c>
      <c r="I2000" t="s">
        <v>27</v>
      </c>
      <c r="J2000" t="s">
        <v>171</v>
      </c>
      <c r="K2000" t="str">
        <f>"515455"</f>
        <v>515455</v>
      </c>
    </row>
    <row r="2001" spans="1:11" x14ac:dyDescent="0.25">
      <c r="A2001">
        <v>2021</v>
      </c>
      <c r="B2001" t="s">
        <v>11595</v>
      </c>
      <c r="C2001" t="s">
        <v>11596</v>
      </c>
      <c r="D2001" t="s">
        <v>19</v>
      </c>
      <c r="E2001" t="s">
        <v>20</v>
      </c>
      <c r="F2001" t="str">
        <f>"43604"</f>
        <v>43604</v>
      </c>
      <c r="G2001" t="str">
        <f>"Je092221"</f>
        <v>Je092221</v>
      </c>
      <c r="H2001" s="2">
        <f>35</f>
        <v>35</v>
      </c>
      <c r="I2001" t="s">
        <v>15</v>
      </c>
      <c r="J2001" t="s">
        <v>114</v>
      </c>
      <c r="K2001" t="str">
        <f>"60011637"</f>
        <v>60011637</v>
      </c>
    </row>
    <row r="2002" spans="1:11" x14ac:dyDescent="0.25">
      <c r="A2002">
        <v>2021</v>
      </c>
      <c r="B2002" t="s">
        <v>11607</v>
      </c>
      <c r="C2002" t="s">
        <v>11608</v>
      </c>
      <c r="D2002" t="s">
        <v>50</v>
      </c>
      <c r="E2002" t="s">
        <v>20</v>
      </c>
      <c r="F2002" t="str">
        <f>"43560-2224"</f>
        <v>43560-2224</v>
      </c>
      <c r="G2002" t="str">
        <f>"402019"</f>
        <v>402019</v>
      </c>
      <c r="H2002" s="2">
        <f>10</f>
        <v>10</v>
      </c>
      <c r="I2002" t="s">
        <v>27</v>
      </c>
      <c r="J2002" t="s">
        <v>42</v>
      </c>
      <c r="K2002" t="str">
        <f>"112675"</f>
        <v>112675</v>
      </c>
    </row>
    <row r="2003" spans="1:11" x14ac:dyDescent="0.25">
      <c r="A2003">
        <v>2021</v>
      </c>
      <c r="B2003" t="s">
        <v>11609</v>
      </c>
      <c r="C2003" t="s">
        <v>11610</v>
      </c>
      <c r="D2003" t="s">
        <v>5502</v>
      </c>
      <c r="E2003" t="s">
        <v>20</v>
      </c>
      <c r="F2003" t="str">
        <f>"45013"</f>
        <v>45013</v>
      </c>
      <c r="G2003" t="str">
        <f>"402018"</f>
        <v>402018</v>
      </c>
      <c r="H2003" s="2">
        <f>3.27</f>
        <v>3.27</v>
      </c>
      <c r="I2003" t="s">
        <v>27</v>
      </c>
      <c r="J2003" t="s">
        <v>171</v>
      </c>
      <c r="K2003" t="str">
        <f>"515882"</f>
        <v>515882</v>
      </c>
    </row>
    <row r="2004" spans="1:11" x14ac:dyDescent="0.25">
      <c r="A2004">
        <v>2021</v>
      </c>
      <c r="B2004" t="s">
        <v>11621</v>
      </c>
      <c r="C2004" t="s">
        <v>11622</v>
      </c>
      <c r="D2004" t="s">
        <v>19</v>
      </c>
      <c r="E2004" t="s">
        <v>20</v>
      </c>
      <c r="F2004" t="str">
        <f>"43615"</f>
        <v>43615</v>
      </c>
      <c r="G2004" t="str">
        <f>"Je110321"</f>
        <v>Je110321</v>
      </c>
      <c r="H2004" s="2">
        <f>2885.82</f>
        <v>2885.82</v>
      </c>
      <c r="I2004" t="s">
        <v>15</v>
      </c>
      <c r="J2004" t="s">
        <v>596</v>
      </c>
      <c r="K2004" t="str">
        <f>"60018975"</f>
        <v>60018975</v>
      </c>
    </row>
    <row r="2005" spans="1:11" x14ac:dyDescent="0.25">
      <c r="A2005">
        <v>2021</v>
      </c>
      <c r="B2005" t="s">
        <v>11632</v>
      </c>
      <c r="C2005" t="s">
        <v>11633</v>
      </c>
      <c r="D2005" t="s">
        <v>64</v>
      </c>
      <c r="E2005" t="s">
        <v>20</v>
      </c>
      <c r="F2005" t="str">
        <f>"43566-9446"</f>
        <v>43566-9446</v>
      </c>
      <c r="G2005" t="str">
        <f>"402019"</f>
        <v>402019</v>
      </c>
      <c r="H2005" s="2">
        <f>10</f>
        <v>10</v>
      </c>
      <c r="I2005" t="s">
        <v>27</v>
      </c>
      <c r="J2005" t="s">
        <v>42</v>
      </c>
      <c r="K2005" t="str">
        <f>"112770"</f>
        <v>112770</v>
      </c>
    </row>
    <row r="2006" spans="1:11" x14ac:dyDescent="0.25">
      <c r="A2006">
        <v>2021</v>
      </c>
      <c r="B2006" t="s">
        <v>11653</v>
      </c>
      <c r="C2006" t="s">
        <v>11654</v>
      </c>
      <c r="D2006" t="s">
        <v>50</v>
      </c>
      <c r="E2006" t="s">
        <v>20</v>
      </c>
      <c r="F2006" t="str">
        <f>"43560-4517"</f>
        <v>43560-4517</v>
      </c>
      <c r="G2006" t="str">
        <f>"402019"</f>
        <v>402019</v>
      </c>
      <c r="H2006" s="2">
        <f>10</f>
        <v>10</v>
      </c>
      <c r="I2006" t="s">
        <v>27</v>
      </c>
      <c r="J2006" t="s">
        <v>42</v>
      </c>
      <c r="K2006" t="str">
        <f>"114964"</f>
        <v>114964</v>
      </c>
    </row>
    <row r="2007" spans="1:11" x14ac:dyDescent="0.25">
      <c r="A2007">
        <v>2021</v>
      </c>
      <c r="B2007" t="s">
        <v>11666</v>
      </c>
      <c r="C2007" t="s">
        <v>7221</v>
      </c>
      <c r="D2007" t="s">
        <v>58</v>
      </c>
      <c r="E2007" t="s">
        <v>20</v>
      </c>
      <c r="F2007" t="str">
        <f>"43616-4014"</f>
        <v>43616-4014</v>
      </c>
      <c r="G2007" t="str">
        <f>"Swucf4621"</f>
        <v>Swucf4621</v>
      </c>
      <c r="H2007" s="2">
        <f>60</f>
        <v>60</v>
      </c>
      <c r="I2007" t="s">
        <v>15</v>
      </c>
      <c r="J2007" t="s">
        <v>81</v>
      </c>
      <c r="K2007" t="str">
        <f>"6292558"</f>
        <v>6292558</v>
      </c>
    </row>
    <row r="2008" spans="1:11" x14ac:dyDescent="0.25">
      <c r="A2008">
        <v>2021</v>
      </c>
      <c r="B2008" t="s">
        <v>11675</v>
      </c>
      <c r="C2008" t="s">
        <v>11676</v>
      </c>
      <c r="D2008" t="s">
        <v>11677</v>
      </c>
      <c r="E2008" t="s">
        <v>20</v>
      </c>
      <c r="F2008" t="str">
        <f>"44094"</f>
        <v>44094</v>
      </c>
      <c r="G2008" t="str">
        <f>"402017"</f>
        <v>402017</v>
      </c>
      <c r="H2008" s="2">
        <f>20</f>
        <v>20</v>
      </c>
      <c r="I2008" t="s">
        <v>27</v>
      </c>
      <c r="J2008" t="s">
        <v>212</v>
      </c>
      <c r="K2008" t="str">
        <f>"33514"</f>
        <v>33514</v>
      </c>
    </row>
    <row r="2009" spans="1:11" x14ac:dyDescent="0.25">
      <c r="A2009">
        <v>2021</v>
      </c>
      <c r="B2009" t="s">
        <v>11678</v>
      </c>
      <c r="C2009" t="s">
        <v>11679</v>
      </c>
      <c r="D2009" t="s">
        <v>19</v>
      </c>
      <c r="E2009" t="s">
        <v>20</v>
      </c>
      <c r="F2009" t="str">
        <f>"43612"</f>
        <v>43612</v>
      </c>
      <c r="G2009" t="str">
        <f>"402017"</f>
        <v>402017</v>
      </c>
      <c r="H2009" s="2">
        <f>306.02</f>
        <v>306.02</v>
      </c>
      <c r="I2009" t="s">
        <v>27</v>
      </c>
      <c r="J2009" t="s">
        <v>212</v>
      </c>
      <c r="K2009" t="str">
        <f>"34629"</f>
        <v>34629</v>
      </c>
    </row>
    <row r="2010" spans="1:11" x14ac:dyDescent="0.25">
      <c r="A2010">
        <v>2021</v>
      </c>
      <c r="B2010" t="s">
        <v>11686</v>
      </c>
      <c r="C2010" t="s">
        <v>11687</v>
      </c>
      <c r="D2010" t="s">
        <v>3853</v>
      </c>
      <c r="E2010" t="s">
        <v>20</v>
      </c>
      <c r="F2010" t="str">
        <f>"43447"</f>
        <v>43447</v>
      </c>
      <c r="G2010" t="str">
        <f>"Pio448069"</f>
        <v>Pio448069</v>
      </c>
      <c r="H2010" s="2">
        <f>0.18</f>
        <v>0.18</v>
      </c>
      <c r="I2010" t="s">
        <v>86</v>
      </c>
      <c r="J2010" t="s">
        <v>87</v>
      </c>
      <c r="K2010" t="str">
        <f>"0"</f>
        <v>0</v>
      </c>
    </row>
    <row r="2011" spans="1:11" x14ac:dyDescent="0.25">
      <c r="A2011">
        <v>2021</v>
      </c>
      <c r="B2011" t="s">
        <v>11688</v>
      </c>
      <c r="C2011" t="s">
        <v>11689</v>
      </c>
      <c r="D2011" t="s">
        <v>19</v>
      </c>
      <c r="E2011" t="s">
        <v>20</v>
      </c>
      <c r="F2011" t="str">
        <f>"43612"</f>
        <v>43612</v>
      </c>
      <c r="G2011" t="str">
        <f>"Pio448069"</f>
        <v>Pio448069</v>
      </c>
      <c r="H2011" s="2">
        <f>40.25</f>
        <v>40.25</v>
      </c>
      <c r="I2011" t="s">
        <v>86</v>
      </c>
      <c r="J2011" t="s">
        <v>87</v>
      </c>
      <c r="K2011" t="str">
        <f>"0"</f>
        <v>0</v>
      </c>
    </row>
    <row r="2012" spans="1:11" x14ac:dyDescent="0.25">
      <c r="A2012">
        <v>2021</v>
      </c>
      <c r="B2012" t="s">
        <v>11692</v>
      </c>
      <c r="C2012" t="s">
        <v>11693</v>
      </c>
      <c r="D2012" t="s">
        <v>50</v>
      </c>
      <c r="E2012" t="s">
        <v>2122</v>
      </c>
      <c r="F2012" t="str">
        <f>"43560"</f>
        <v>43560</v>
      </c>
      <c r="G2012" t="str">
        <f>"Je110321"</f>
        <v>Je110321</v>
      </c>
      <c r="H2012" s="2">
        <f>760.74</f>
        <v>760.74</v>
      </c>
      <c r="I2012" t="s">
        <v>15</v>
      </c>
      <c r="J2012" t="s">
        <v>596</v>
      </c>
      <c r="K2012" t="str">
        <f>"60020605"</f>
        <v>60020605</v>
      </c>
    </row>
    <row r="2013" spans="1:11" x14ac:dyDescent="0.25">
      <c r="A2013">
        <v>2021</v>
      </c>
      <c r="B2013" t="s">
        <v>11692</v>
      </c>
      <c r="C2013" t="s">
        <v>11693</v>
      </c>
      <c r="D2013" t="s">
        <v>50</v>
      </c>
      <c r="E2013" t="s">
        <v>20</v>
      </c>
      <c r="F2013" t="str">
        <f>"43560"</f>
        <v>43560</v>
      </c>
      <c r="G2013" t="str">
        <f>"Je061721"</f>
        <v>Je061721</v>
      </c>
      <c r="H2013" s="2">
        <f>790.74</f>
        <v>790.74</v>
      </c>
      <c r="I2013" t="s">
        <v>15</v>
      </c>
      <c r="J2013" t="s">
        <v>137</v>
      </c>
      <c r="K2013" t="str">
        <f>"60004014"</f>
        <v>60004014</v>
      </c>
    </row>
    <row r="2014" spans="1:11" x14ac:dyDescent="0.25">
      <c r="A2014">
        <v>2021</v>
      </c>
      <c r="B2014" t="s">
        <v>11692</v>
      </c>
      <c r="C2014" t="s">
        <v>11693</v>
      </c>
      <c r="D2014" t="s">
        <v>50</v>
      </c>
      <c r="E2014" t="s">
        <v>20</v>
      </c>
      <c r="F2014" t="str">
        <f>"43560"</f>
        <v>43560</v>
      </c>
      <c r="G2014" t="str">
        <f>"Je061721"</f>
        <v>Je061721</v>
      </c>
      <c r="H2014" s="2">
        <f>760.74</f>
        <v>760.74</v>
      </c>
      <c r="I2014" t="s">
        <v>15</v>
      </c>
      <c r="J2014" t="s">
        <v>137</v>
      </c>
      <c r="K2014" t="str">
        <f>"60001026"</f>
        <v>60001026</v>
      </c>
    </row>
    <row r="2015" spans="1:11" x14ac:dyDescent="0.25">
      <c r="A2015">
        <v>2021</v>
      </c>
      <c r="B2015" t="s">
        <v>11700</v>
      </c>
      <c r="C2015" t="s">
        <v>11701</v>
      </c>
      <c r="D2015" t="s">
        <v>19</v>
      </c>
      <c r="E2015" t="s">
        <v>20</v>
      </c>
      <c r="F2015" t="str">
        <f>"43614-1713"</f>
        <v>43614-1713</v>
      </c>
      <c r="G2015" t="str">
        <f>"402019"</f>
        <v>402019</v>
      </c>
      <c r="H2015" s="2">
        <f>20</f>
        <v>20</v>
      </c>
      <c r="I2015" t="s">
        <v>27</v>
      </c>
      <c r="J2015" t="s">
        <v>42</v>
      </c>
      <c r="K2015" t="str">
        <f>"114373"</f>
        <v>114373</v>
      </c>
    </row>
    <row r="2016" spans="1:11" x14ac:dyDescent="0.25">
      <c r="A2016">
        <v>2021</v>
      </c>
      <c r="B2016" t="s">
        <v>11740</v>
      </c>
      <c r="C2016" t="s">
        <v>11741</v>
      </c>
      <c r="D2016" t="s">
        <v>19</v>
      </c>
      <c r="E2016" t="s">
        <v>20</v>
      </c>
      <c r="F2016" t="str">
        <f>"43610"</f>
        <v>43610</v>
      </c>
      <c r="G2016" t="str">
        <f>"Je092221"</f>
        <v>Je092221</v>
      </c>
      <c r="H2016" s="2">
        <f>665.28</f>
        <v>665.28</v>
      </c>
      <c r="I2016" t="s">
        <v>15</v>
      </c>
      <c r="J2016" t="s">
        <v>114</v>
      </c>
      <c r="K2016" t="str">
        <f>"60014125"</f>
        <v>60014125</v>
      </c>
    </row>
    <row r="2017" spans="1:11" x14ac:dyDescent="0.25">
      <c r="A2017">
        <v>2021</v>
      </c>
      <c r="B2017" t="s">
        <v>11746</v>
      </c>
      <c r="C2017" t="s">
        <v>6740</v>
      </c>
      <c r="D2017" t="s">
        <v>19</v>
      </c>
      <c r="E2017" t="s">
        <v>20</v>
      </c>
      <c r="F2017" t="str">
        <f>"43611"</f>
        <v>43611</v>
      </c>
      <c r="G2017" t="str">
        <f>"Je092221"</f>
        <v>Je092221</v>
      </c>
      <c r="H2017" s="2">
        <f>35</f>
        <v>35</v>
      </c>
      <c r="I2017" t="s">
        <v>15</v>
      </c>
      <c r="J2017" t="s">
        <v>114</v>
      </c>
      <c r="K2017" t="str">
        <f>"60011654"</f>
        <v>60011654</v>
      </c>
    </row>
    <row r="2018" spans="1:11" x14ac:dyDescent="0.25">
      <c r="A2018">
        <v>2021</v>
      </c>
      <c r="B2018" t="s">
        <v>11747</v>
      </c>
      <c r="C2018" t="s">
        <v>6740</v>
      </c>
      <c r="D2018" t="s">
        <v>19</v>
      </c>
      <c r="E2018" t="s">
        <v>20</v>
      </c>
      <c r="F2018" t="str">
        <f>"43611"</f>
        <v>43611</v>
      </c>
      <c r="G2018" t="str">
        <f>"Swucf4621"</f>
        <v>Swucf4621</v>
      </c>
      <c r="H2018" s="2">
        <f>160</f>
        <v>160</v>
      </c>
      <c r="I2018" t="s">
        <v>15</v>
      </c>
      <c r="J2018" t="s">
        <v>81</v>
      </c>
      <c r="K2018" t="str">
        <f>"6294876"</f>
        <v>6294876</v>
      </c>
    </row>
    <row r="2019" spans="1:11" x14ac:dyDescent="0.25">
      <c r="A2019">
        <v>2021</v>
      </c>
      <c r="B2019" t="s">
        <v>11767</v>
      </c>
      <c r="C2019" t="s">
        <v>11768</v>
      </c>
      <c r="D2019" t="s">
        <v>19</v>
      </c>
      <c r="E2019" t="s">
        <v>20</v>
      </c>
      <c r="F2019" t="str">
        <f>"43623"</f>
        <v>43623</v>
      </c>
      <c r="G2019" t="str">
        <f>"Bwucf4621"</f>
        <v>Bwucf4621</v>
      </c>
      <c r="H2019" s="2">
        <f>0.01</f>
        <v>0.01</v>
      </c>
      <c r="I2019" t="s">
        <v>15</v>
      </c>
      <c r="J2019" t="s">
        <v>295</v>
      </c>
      <c r="K2019" t="str">
        <f>"01448795"</f>
        <v>01448795</v>
      </c>
    </row>
    <row r="2020" spans="1:11" x14ac:dyDescent="0.25">
      <c r="A2020">
        <v>2021</v>
      </c>
      <c r="B2020" t="s">
        <v>11780</v>
      </c>
      <c r="C2020" t="s">
        <v>11781</v>
      </c>
      <c r="D2020" t="s">
        <v>105</v>
      </c>
      <c r="E2020" t="s">
        <v>20</v>
      </c>
      <c r="F2020" t="str">
        <f>"43528"</f>
        <v>43528</v>
      </c>
      <c r="G2020" t="str">
        <f>"402063"</f>
        <v>402063</v>
      </c>
      <c r="H2020" s="2">
        <f>2</f>
        <v>2</v>
      </c>
      <c r="I2020" t="s">
        <v>27</v>
      </c>
      <c r="J2020" t="s">
        <v>71</v>
      </c>
      <c r="K2020" t="str">
        <f>"22017860"</f>
        <v>22017860</v>
      </c>
    </row>
    <row r="2021" spans="1:11" x14ac:dyDescent="0.25">
      <c r="A2021">
        <v>2021</v>
      </c>
      <c r="B2021" t="s">
        <v>11794</v>
      </c>
      <c r="C2021" t="s">
        <v>11795</v>
      </c>
      <c r="D2021" t="s">
        <v>899</v>
      </c>
      <c r="E2021" t="s">
        <v>20</v>
      </c>
      <c r="F2021" t="str">
        <f>"43412-9791"</f>
        <v>43412-9791</v>
      </c>
      <c r="G2021" t="str">
        <f>"402019"</f>
        <v>402019</v>
      </c>
      <c r="H2021" s="2">
        <f>80</f>
        <v>80</v>
      </c>
      <c r="I2021" t="s">
        <v>27</v>
      </c>
      <c r="J2021" t="s">
        <v>42</v>
      </c>
      <c r="K2021" t="str">
        <f>"113750"</f>
        <v>113750</v>
      </c>
    </row>
    <row r="2022" spans="1:11" x14ac:dyDescent="0.25">
      <c r="A2022">
        <v>2021</v>
      </c>
      <c r="B2022" t="s">
        <v>11798</v>
      </c>
      <c r="C2022" t="s">
        <v>11799</v>
      </c>
      <c r="D2022" t="s">
        <v>105</v>
      </c>
      <c r="E2022" t="s">
        <v>20</v>
      </c>
      <c r="F2022" t="str">
        <f>"43528-9625"</f>
        <v>43528-9625</v>
      </c>
      <c r="G2022" t="str">
        <f>"402019"</f>
        <v>402019</v>
      </c>
      <c r="H2022" s="2">
        <f>20</f>
        <v>20</v>
      </c>
      <c r="I2022" t="s">
        <v>27</v>
      </c>
      <c r="J2022" t="s">
        <v>42</v>
      </c>
      <c r="K2022" t="str">
        <f>"112868"</f>
        <v>112868</v>
      </c>
    </row>
    <row r="2023" spans="1:11" x14ac:dyDescent="0.25">
      <c r="A2023">
        <v>2021</v>
      </c>
      <c r="B2023" t="s">
        <v>11810</v>
      </c>
      <c r="C2023" t="s">
        <v>11811</v>
      </c>
      <c r="D2023" t="s">
        <v>19</v>
      </c>
      <c r="E2023" t="s">
        <v>20</v>
      </c>
      <c r="F2023" t="str">
        <f>"43615-2811"</f>
        <v>43615-2811</v>
      </c>
      <c r="G2023" t="str">
        <f>"402019"</f>
        <v>402019</v>
      </c>
      <c r="H2023" s="2">
        <f>10</f>
        <v>10</v>
      </c>
      <c r="I2023" t="s">
        <v>27</v>
      </c>
      <c r="J2023" t="s">
        <v>42</v>
      </c>
      <c r="K2023" t="str">
        <f>"113913"</f>
        <v>113913</v>
      </c>
    </row>
    <row r="2024" spans="1:11" x14ac:dyDescent="0.25">
      <c r="A2024">
        <v>2021</v>
      </c>
      <c r="B2024" t="s">
        <v>11812</v>
      </c>
      <c r="C2024" t="s">
        <v>11813</v>
      </c>
      <c r="D2024" t="s">
        <v>125</v>
      </c>
      <c r="E2024" t="s">
        <v>20</v>
      </c>
      <c r="F2024" t="str">
        <f>"43537"</f>
        <v>43537</v>
      </c>
      <c r="G2024" t="str">
        <f>"Je061721"</f>
        <v>Je061721</v>
      </c>
      <c r="H2024" s="2">
        <f>136.45</f>
        <v>136.44999999999999</v>
      </c>
      <c r="I2024" t="s">
        <v>15</v>
      </c>
      <c r="J2024" t="s">
        <v>137</v>
      </c>
      <c r="K2024" t="str">
        <f>"60001038"</f>
        <v>60001038</v>
      </c>
    </row>
    <row r="2025" spans="1:11" x14ac:dyDescent="0.25">
      <c r="A2025">
        <v>2021</v>
      </c>
      <c r="B2025" t="s">
        <v>11816</v>
      </c>
      <c r="C2025" t="s">
        <v>11817</v>
      </c>
      <c r="D2025" t="s">
        <v>19</v>
      </c>
      <c r="E2025" t="s">
        <v>20</v>
      </c>
      <c r="F2025" t="str">
        <f>"43617-2254"</f>
        <v>43617-2254</v>
      </c>
      <c r="G2025" t="str">
        <f>"402019"</f>
        <v>402019</v>
      </c>
      <c r="H2025" s="2">
        <f>20</f>
        <v>20</v>
      </c>
      <c r="I2025" t="s">
        <v>27</v>
      </c>
      <c r="J2025" t="s">
        <v>42</v>
      </c>
      <c r="K2025" t="str">
        <f>"113385"</f>
        <v>113385</v>
      </c>
    </row>
    <row r="2026" spans="1:11" x14ac:dyDescent="0.25">
      <c r="A2026">
        <v>2021</v>
      </c>
      <c r="B2026" t="s">
        <v>11818</v>
      </c>
      <c r="C2026" t="s">
        <v>11819</v>
      </c>
      <c r="D2026" t="s">
        <v>383</v>
      </c>
      <c r="E2026" t="s">
        <v>20</v>
      </c>
      <c r="F2026" t="str">
        <f>"44309"</f>
        <v>44309</v>
      </c>
      <c r="G2026" t="str">
        <f>"Bwucf4621"</f>
        <v>Bwucf4621</v>
      </c>
      <c r="H2026" s="2">
        <f>385.72</f>
        <v>385.72</v>
      </c>
      <c r="I2026" t="s">
        <v>15</v>
      </c>
      <c r="J2026" t="s">
        <v>295</v>
      </c>
      <c r="K2026" t="str">
        <f>"01438387"</f>
        <v>01438387</v>
      </c>
    </row>
    <row r="2027" spans="1:11" x14ac:dyDescent="0.25">
      <c r="A2027">
        <v>2021</v>
      </c>
      <c r="B2027" t="s">
        <v>11818</v>
      </c>
      <c r="C2027" t="s">
        <v>11819</v>
      </c>
      <c r="D2027" t="s">
        <v>383</v>
      </c>
      <c r="E2027" t="s">
        <v>20</v>
      </c>
      <c r="F2027" t="str">
        <f>"44309"</f>
        <v>44309</v>
      </c>
      <c r="G2027" t="str">
        <f>"Bwucf4621"</f>
        <v>Bwucf4621</v>
      </c>
      <c r="H2027" s="2">
        <f>175</f>
        <v>175</v>
      </c>
      <c r="I2027" t="s">
        <v>15</v>
      </c>
      <c r="J2027" t="s">
        <v>295</v>
      </c>
      <c r="K2027" t="str">
        <f>"01447970"</f>
        <v>01447970</v>
      </c>
    </row>
    <row r="2028" spans="1:11" x14ac:dyDescent="0.25">
      <c r="A2028">
        <v>2021</v>
      </c>
      <c r="B2028" t="s">
        <v>11833</v>
      </c>
      <c r="C2028" t="s">
        <v>11834</v>
      </c>
      <c r="D2028" t="s">
        <v>422</v>
      </c>
      <c r="E2028" t="s">
        <v>20</v>
      </c>
      <c r="F2028" t="str">
        <f>"44114"</f>
        <v>44114</v>
      </c>
      <c r="G2028" t="str">
        <f>"Swucf4621"</f>
        <v>Swucf4621</v>
      </c>
      <c r="H2028" s="2">
        <f>77.56</f>
        <v>77.56</v>
      </c>
      <c r="I2028" t="s">
        <v>15</v>
      </c>
      <c r="J2028" t="s">
        <v>81</v>
      </c>
      <c r="K2028" t="str">
        <f>"6291179"</f>
        <v>6291179</v>
      </c>
    </row>
    <row r="2029" spans="1:11" x14ac:dyDescent="0.25">
      <c r="A2029">
        <v>2021</v>
      </c>
      <c r="B2029" t="s">
        <v>11835</v>
      </c>
      <c r="C2029" t="s">
        <v>11836</v>
      </c>
      <c r="D2029" t="s">
        <v>19</v>
      </c>
      <c r="E2029" t="s">
        <v>20</v>
      </c>
      <c r="F2029" t="str">
        <f>"43617"</f>
        <v>43617</v>
      </c>
      <c r="G2029" t="str">
        <f>"402018"</f>
        <v>402018</v>
      </c>
      <c r="H2029" s="2">
        <f>60</f>
        <v>60</v>
      </c>
      <c r="I2029" t="s">
        <v>27</v>
      </c>
      <c r="J2029" t="s">
        <v>171</v>
      </c>
      <c r="K2029" t="str">
        <f>"517904"</f>
        <v>517904</v>
      </c>
    </row>
    <row r="2030" spans="1:11" x14ac:dyDescent="0.25">
      <c r="A2030">
        <v>2021</v>
      </c>
      <c r="B2030" t="s">
        <v>11839</v>
      </c>
      <c r="C2030" t="s">
        <v>11841</v>
      </c>
      <c r="D2030" t="s">
        <v>19</v>
      </c>
      <c r="E2030" t="s">
        <v>20</v>
      </c>
      <c r="F2030" t="str">
        <f t="shared" ref="F2030:F2036" si="59">"43613"</f>
        <v>43613</v>
      </c>
      <c r="G2030" t="str">
        <f t="shared" ref="G2030:G2036" si="60">"402063"</f>
        <v>402063</v>
      </c>
      <c r="H2030" s="2">
        <f>32.76</f>
        <v>32.76</v>
      </c>
      <c r="I2030" t="s">
        <v>27</v>
      </c>
      <c r="J2030" t="s">
        <v>71</v>
      </c>
      <c r="K2030" t="str">
        <f>"22018005"</f>
        <v>22018005</v>
      </c>
    </row>
    <row r="2031" spans="1:11" x14ac:dyDescent="0.25">
      <c r="A2031">
        <v>2021</v>
      </c>
      <c r="B2031" t="s">
        <v>11839</v>
      </c>
      <c r="C2031" t="s">
        <v>11841</v>
      </c>
      <c r="D2031" t="s">
        <v>19</v>
      </c>
      <c r="E2031" t="s">
        <v>20</v>
      </c>
      <c r="F2031" t="str">
        <f t="shared" si="59"/>
        <v>43613</v>
      </c>
      <c r="G2031" t="str">
        <f t="shared" si="60"/>
        <v>402063</v>
      </c>
      <c r="H2031" s="2">
        <f>10.25</f>
        <v>10.25</v>
      </c>
      <c r="I2031" t="s">
        <v>27</v>
      </c>
      <c r="J2031" t="s">
        <v>71</v>
      </c>
      <c r="K2031" t="str">
        <f>"22022020"</f>
        <v>22022020</v>
      </c>
    </row>
    <row r="2032" spans="1:11" x14ac:dyDescent="0.25">
      <c r="A2032">
        <v>2021</v>
      </c>
      <c r="B2032" t="s">
        <v>11839</v>
      </c>
      <c r="C2032" t="s">
        <v>11841</v>
      </c>
      <c r="D2032" t="s">
        <v>19</v>
      </c>
      <c r="E2032" t="s">
        <v>20</v>
      </c>
      <c r="F2032" t="str">
        <f t="shared" si="59"/>
        <v>43613</v>
      </c>
      <c r="G2032" t="str">
        <f t="shared" si="60"/>
        <v>402063</v>
      </c>
      <c r="H2032" s="2">
        <f>86.71</f>
        <v>86.71</v>
      </c>
      <c r="I2032" t="s">
        <v>27</v>
      </c>
      <c r="J2032" t="s">
        <v>71</v>
      </c>
      <c r="K2032" t="str">
        <f>"11003547"</f>
        <v>11003547</v>
      </c>
    </row>
    <row r="2033" spans="1:11" x14ac:dyDescent="0.25">
      <c r="A2033">
        <v>2021</v>
      </c>
      <c r="B2033" t="s">
        <v>11839</v>
      </c>
      <c r="C2033" t="s">
        <v>11841</v>
      </c>
      <c r="D2033" t="s">
        <v>19</v>
      </c>
      <c r="E2033" t="s">
        <v>20</v>
      </c>
      <c r="F2033" t="str">
        <f t="shared" si="59"/>
        <v>43613</v>
      </c>
      <c r="G2033" t="str">
        <f t="shared" si="60"/>
        <v>402063</v>
      </c>
      <c r="H2033" s="2">
        <f>14.68</f>
        <v>14.68</v>
      </c>
      <c r="I2033" t="s">
        <v>27</v>
      </c>
      <c r="J2033" t="s">
        <v>71</v>
      </c>
      <c r="K2033" t="str">
        <f>"22020412"</f>
        <v>22020412</v>
      </c>
    </row>
    <row r="2034" spans="1:11" x14ac:dyDescent="0.25">
      <c r="A2034">
        <v>2021</v>
      </c>
      <c r="B2034" t="s">
        <v>11839</v>
      </c>
      <c r="C2034" t="s">
        <v>11841</v>
      </c>
      <c r="D2034" t="s">
        <v>19</v>
      </c>
      <c r="E2034" t="s">
        <v>20</v>
      </c>
      <c r="F2034" t="str">
        <f t="shared" si="59"/>
        <v>43613</v>
      </c>
      <c r="G2034" t="str">
        <f t="shared" si="60"/>
        <v>402063</v>
      </c>
      <c r="H2034" s="2">
        <f>38.49</f>
        <v>38.49</v>
      </c>
      <c r="I2034" t="s">
        <v>27</v>
      </c>
      <c r="J2034" t="s">
        <v>71</v>
      </c>
      <c r="K2034" t="str">
        <f>"22020376"</f>
        <v>22020376</v>
      </c>
    </row>
    <row r="2035" spans="1:11" x14ac:dyDescent="0.25">
      <c r="A2035">
        <v>2021</v>
      </c>
      <c r="B2035" t="s">
        <v>11839</v>
      </c>
      <c r="C2035" t="s">
        <v>11841</v>
      </c>
      <c r="D2035" t="s">
        <v>19</v>
      </c>
      <c r="E2035" t="s">
        <v>20</v>
      </c>
      <c r="F2035" t="str">
        <f t="shared" si="59"/>
        <v>43613</v>
      </c>
      <c r="G2035" t="str">
        <f t="shared" si="60"/>
        <v>402063</v>
      </c>
      <c r="H2035" s="2">
        <f>51.49</f>
        <v>51.49</v>
      </c>
      <c r="I2035" t="s">
        <v>27</v>
      </c>
      <c r="J2035" t="s">
        <v>71</v>
      </c>
      <c r="K2035" t="str">
        <f>"22022303"</f>
        <v>22022303</v>
      </c>
    </row>
    <row r="2036" spans="1:11" x14ac:dyDescent="0.25">
      <c r="A2036">
        <v>2021</v>
      </c>
      <c r="B2036" t="s">
        <v>11839</v>
      </c>
      <c r="C2036" t="s">
        <v>11841</v>
      </c>
      <c r="D2036" t="s">
        <v>19</v>
      </c>
      <c r="E2036" t="s">
        <v>20</v>
      </c>
      <c r="F2036" t="str">
        <f t="shared" si="59"/>
        <v>43613</v>
      </c>
      <c r="G2036" t="str">
        <f t="shared" si="60"/>
        <v>402063</v>
      </c>
      <c r="H2036" s="2">
        <f>8.03</f>
        <v>8.0299999999999994</v>
      </c>
      <c r="I2036" t="s">
        <v>27</v>
      </c>
      <c r="J2036" t="s">
        <v>71</v>
      </c>
      <c r="K2036" t="str">
        <f>"22022465"</f>
        <v>22022465</v>
      </c>
    </row>
    <row r="2037" spans="1:11" x14ac:dyDescent="0.25">
      <c r="A2037">
        <v>2021</v>
      </c>
      <c r="B2037" t="s">
        <v>11844</v>
      </c>
      <c r="C2037" t="s">
        <v>11229</v>
      </c>
      <c r="D2037" t="s">
        <v>19</v>
      </c>
      <c r="E2037" t="s">
        <v>20</v>
      </c>
      <c r="F2037" t="str">
        <f>"43620"</f>
        <v>43620</v>
      </c>
      <c r="G2037" t="str">
        <f>"Je092221"</f>
        <v>Je092221</v>
      </c>
      <c r="H2037" s="2">
        <f>35</f>
        <v>35</v>
      </c>
      <c r="I2037" t="s">
        <v>15</v>
      </c>
      <c r="J2037" t="s">
        <v>114</v>
      </c>
      <c r="K2037" t="str">
        <f>"60011660"</f>
        <v>60011660</v>
      </c>
    </row>
    <row r="2038" spans="1:11" x14ac:dyDescent="0.25">
      <c r="A2038">
        <v>2021</v>
      </c>
      <c r="B2038" t="s">
        <v>11853</v>
      </c>
      <c r="C2038" t="s">
        <v>11854</v>
      </c>
      <c r="D2038" t="s">
        <v>19</v>
      </c>
      <c r="E2038" t="s">
        <v>20</v>
      </c>
      <c r="F2038" t="str">
        <f>"43617-2118"</f>
        <v>43617-2118</v>
      </c>
      <c r="G2038" t="str">
        <f>"Swucf4621"</f>
        <v>Swucf4621</v>
      </c>
      <c r="H2038" s="2">
        <f>42.53</f>
        <v>42.53</v>
      </c>
      <c r="I2038" t="s">
        <v>15</v>
      </c>
      <c r="J2038" t="s">
        <v>81</v>
      </c>
      <c r="K2038" t="str">
        <f>"6294157"</f>
        <v>6294157</v>
      </c>
    </row>
    <row r="2039" spans="1:11" x14ac:dyDescent="0.25">
      <c r="A2039">
        <v>2021</v>
      </c>
      <c r="B2039" t="s">
        <v>11853</v>
      </c>
      <c r="C2039" t="s">
        <v>11854</v>
      </c>
      <c r="D2039" t="s">
        <v>19</v>
      </c>
      <c r="E2039" t="s">
        <v>20</v>
      </c>
      <c r="F2039" t="str">
        <f>"43617-2118"</f>
        <v>43617-2118</v>
      </c>
      <c r="G2039" t="str">
        <f>"Swucf4621"</f>
        <v>Swucf4621</v>
      </c>
      <c r="H2039" s="2">
        <f>42.53</f>
        <v>42.53</v>
      </c>
      <c r="I2039" t="s">
        <v>15</v>
      </c>
      <c r="J2039" t="s">
        <v>81</v>
      </c>
      <c r="K2039" t="str">
        <f>"6298955"</f>
        <v>6298955</v>
      </c>
    </row>
    <row r="2040" spans="1:11" x14ac:dyDescent="0.25">
      <c r="A2040">
        <v>2021</v>
      </c>
      <c r="B2040" t="s">
        <v>11857</v>
      </c>
      <c r="C2040" t="s">
        <v>11858</v>
      </c>
      <c r="D2040" t="s">
        <v>19</v>
      </c>
      <c r="E2040" t="s">
        <v>20</v>
      </c>
      <c r="F2040" t="str">
        <f>"43604"</f>
        <v>43604</v>
      </c>
      <c r="G2040" t="str">
        <f>"Je092221"</f>
        <v>Je092221</v>
      </c>
      <c r="H2040" s="2">
        <f>35</f>
        <v>35</v>
      </c>
      <c r="I2040" t="s">
        <v>15</v>
      </c>
      <c r="J2040" t="s">
        <v>114</v>
      </c>
      <c r="K2040" t="str">
        <f>"60011661"</f>
        <v>60011661</v>
      </c>
    </row>
    <row r="2041" spans="1:11" x14ac:dyDescent="0.25">
      <c r="A2041">
        <v>2021</v>
      </c>
      <c r="B2041" t="s">
        <v>11859</v>
      </c>
      <c r="C2041" t="s">
        <v>11860</v>
      </c>
      <c r="D2041" t="s">
        <v>105</v>
      </c>
      <c r="E2041" t="s">
        <v>20</v>
      </c>
      <c r="F2041" t="str">
        <f>"43528-8329"</f>
        <v>43528-8329</v>
      </c>
      <c r="G2041" t="str">
        <f>"402019"</f>
        <v>402019</v>
      </c>
      <c r="H2041" s="2">
        <f>10</f>
        <v>10</v>
      </c>
      <c r="I2041" t="s">
        <v>27</v>
      </c>
      <c r="J2041" t="s">
        <v>42</v>
      </c>
      <c r="K2041" t="str">
        <f>"111248"</f>
        <v>111248</v>
      </c>
    </row>
    <row r="2042" spans="1:11" x14ac:dyDescent="0.25">
      <c r="A2042">
        <v>2021</v>
      </c>
      <c r="B2042" t="s">
        <v>11875</v>
      </c>
      <c r="C2042" t="s">
        <v>11876</v>
      </c>
      <c r="D2042" t="s">
        <v>19</v>
      </c>
      <c r="E2042" t="s">
        <v>20</v>
      </c>
      <c r="F2042" t="str">
        <f>"43612"</f>
        <v>43612</v>
      </c>
      <c r="G2042" t="str">
        <f>"402017"</f>
        <v>402017</v>
      </c>
      <c r="H2042" s="2">
        <f>396.16</f>
        <v>396.16</v>
      </c>
      <c r="I2042" t="s">
        <v>27</v>
      </c>
      <c r="J2042" t="s">
        <v>212</v>
      </c>
      <c r="K2042" t="str">
        <f>"34628"</f>
        <v>34628</v>
      </c>
    </row>
    <row r="2043" spans="1:11" x14ac:dyDescent="0.25">
      <c r="A2043">
        <v>2021</v>
      </c>
      <c r="B2043" t="s">
        <v>11877</v>
      </c>
      <c r="C2043" t="s">
        <v>11878</v>
      </c>
      <c r="D2043" t="s">
        <v>19</v>
      </c>
      <c r="E2043" t="s">
        <v>20</v>
      </c>
      <c r="F2043" t="str">
        <f>"43623-1222"</f>
        <v>43623-1222</v>
      </c>
      <c r="G2043" t="str">
        <f>"Je061721"</f>
        <v>Je061721</v>
      </c>
      <c r="H2043" s="2">
        <f>32</f>
        <v>32</v>
      </c>
      <c r="I2043" t="s">
        <v>15</v>
      </c>
      <c r="J2043" t="s">
        <v>137</v>
      </c>
      <c r="K2043" t="str">
        <f>"60005201"</f>
        <v>60005201</v>
      </c>
    </row>
    <row r="2044" spans="1:11" x14ac:dyDescent="0.25">
      <c r="A2044">
        <v>2021</v>
      </c>
      <c r="B2044" t="s">
        <v>11879</v>
      </c>
      <c r="C2044" t="s">
        <v>11880</v>
      </c>
      <c r="D2044" t="s">
        <v>19</v>
      </c>
      <c r="E2044" t="s">
        <v>20</v>
      </c>
      <c r="F2044" t="str">
        <f>"43611"</f>
        <v>43611</v>
      </c>
      <c r="G2044" t="str">
        <f>"402018"</f>
        <v>402018</v>
      </c>
      <c r="H2044" s="2">
        <f>10.82</f>
        <v>10.82</v>
      </c>
      <c r="I2044" t="s">
        <v>27</v>
      </c>
      <c r="J2044" t="s">
        <v>171</v>
      </c>
      <c r="K2044" t="str">
        <f>"515973"</f>
        <v>515973</v>
      </c>
    </row>
    <row r="2045" spans="1:11" x14ac:dyDescent="0.25">
      <c r="A2045">
        <v>2021</v>
      </c>
      <c r="B2045" t="s">
        <v>11881</v>
      </c>
      <c r="C2045" t="s">
        <v>11882</v>
      </c>
      <c r="D2045" t="s">
        <v>19</v>
      </c>
      <c r="E2045" t="s">
        <v>20</v>
      </c>
      <c r="F2045" t="str">
        <f>"43611"</f>
        <v>43611</v>
      </c>
      <c r="G2045" t="str">
        <f>"Pio448069"</f>
        <v>Pio448069</v>
      </c>
      <c r="H2045" s="2">
        <f>0.35</f>
        <v>0.35</v>
      </c>
      <c r="I2045" t="s">
        <v>86</v>
      </c>
      <c r="J2045" t="s">
        <v>87</v>
      </c>
      <c r="K2045" t="str">
        <f>"0"</f>
        <v>0</v>
      </c>
    </row>
    <row r="2046" spans="1:11" x14ac:dyDescent="0.25">
      <c r="A2046">
        <v>2021</v>
      </c>
      <c r="B2046" t="s">
        <v>11883</v>
      </c>
      <c r="C2046" t="s">
        <v>11884</v>
      </c>
      <c r="D2046" t="s">
        <v>19</v>
      </c>
      <c r="E2046" t="s">
        <v>20</v>
      </c>
      <c r="F2046" t="str">
        <f>"43607"</f>
        <v>43607</v>
      </c>
      <c r="G2046" t="str">
        <f>"402018"</f>
        <v>402018</v>
      </c>
      <c r="H2046" s="2">
        <f>10</f>
        <v>10</v>
      </c>
      <c r="I2046" t="s">
        <v>27</v>
      </c>
      <c r="J2046" t="s">
        <v>171</v>
      </c>
      <c r="K2046" t="str">
        <f>"515822"</f>
        <v>515822</v>
      </c>
    </row>
    <row r="2047" spans="1:11" x14ac:dyDescent="0.25">
      <c r="A2047">
        <v>2021</v>
      </c>
      <c r="B2047" t="s">
        <v>11893</v>
      </c>
      <c r="C2047" t="s">
        <v>11894</v>
      </c>
      <c r="D2047" t="s">
        <v>19</v>
      </c>
      <c r="E2047" t="s">
        <v>20</v>
      </c>
      <c r="F2047" t="str">
        <f>"43606-2313"</f>
        <v>43606-2313</v>
      </c>
      <c r="G2047" t="str">
        <f>"402019"</f>
        <v>402019</v>
      </c>
      <c r="H2047" s="2">
        <f>10</f>
        <v>10</v>
      </c>
      <c r="I2047" t="s">
        <v>27</v>
      </c>
      <c r="J2047" t="s">
        <v>42</v>
      </c>
      <c r="K2047" t="str">
        <f>"114658"</f>
        <v>114658</v>
      </c>
    </row>
    <row r="2048" spans="1:11" x14ac:dyDescent="0.25">
      <c r="A2048">
        <v>2021</v>
      </c>
      <c r="B2048" t="s">
        <v>11896</v>
      </c>
      <c r="C2048" t="s">
        <v>11897</v>
      </c>
      <c r="D2048" t="s">
        <v>125</v>
      </c>
      <c r="E2048" t="s">
        <v>20</v>
      </c>
      <c r="F2048" t="str">
        <f>"43537-1024"</f>
        <v>43537-1024</v>
      </c>
      <c r="G2048" t="str">
        <f>"402019"</f>
        <v>402019</v>
      </c>
      <c r="H2048" s="2">
        <f>20</f>
        <v>20</v>
      </c>
      <c r="I2048" t="s">
        <v>27</v>
      </c>
      <c r="J2048" t="s">
        <v>42</v>
      </c>
      <c r="K2048" t="str">
        <f>"113668"</f>
        <v>113668</v>
      </c>
    </row>
    <row r="2049" spans="1:11" x14ac:dyDescent="0.25">
      <c r="A2049">
        <v>2021</v>
      </c>
      <c r="B2049" t="s">
        <v>11900</v>
      </c>
      <c r="C2049" t="s">
        <v>11901</v>
      </c>
      <c r="D2049" t="s">
        <v>19</v>
      </c>
      <c r="E2049" t="s">
        <v>20</v>
      </c>
      <c r="F2049" t="str">
        <f>"43623-1828"</f>
        <v>43623-1828</v>
      </c>
      <c r="G2049" t="str">
        <f>"402019"</f>
        <v>402019</v>
      </c>
      <c r="H2049" s="2">
        <f>20</f>
        <v>20</v>
      </c>
      <c r="I2049" t="s">
        <v>27</v>
      </c>
      <c r="J2049" t="s">
        <v>42</v>
      </c>
      <c r="K2049" t="str">
        <f>"115015"</f>
        <v>115015</v>
      </c>
    </row>
    <row r="2050" spans="1:11" x14ac:dyDescent="0.25">
      <c r="A2050">
        <v>2021</v>
      </c>
      <c r="B2050" t="s">
        <v>11908</v>
      </c>
      <c r="C2050" t="s">
        <v>11909</v>
      </c>
      <c r="D2050" t="s">
        <v>19</v>
      </c>
      <c r="E2050" t="s">
        <v>20</v>
      </c>
      <c r="F2050" t="str">
        <f>"43613-1909"</f>
        <v>43613-1909</v>
      </c>
      <c r="G2050" t="str">
        <f>"402019"</f>
        <v>402019</v>
      </c>
      <c r="H2050" s="2">
        <f>10</f>
        <v>10</v>
      </c>
      <c r="I2050" t="s">
        <v>27</v>
      </c>
      <c r="J2050" t="s">
        <v>42</v>
      </c>
      <c r="K2050" t="str">
        <f>"114218"</f>
        <v>114218</v>
      </c>
    </row>
    <row r="2051" spans="1:11" x14ac:dyDescent="0.25">
      <c r="A2051">
        <v>2021</v>
      </c>
      <c r="B2051" t="s">
        <v>11912</v>
      </c>
      <c r="C2051" t="s">
        <v>11913</v>
      </c>
      <c r="D2051" t="s">
        <v>19</v>
      </c>
      <c r="E2051" t="s">
        <v>20</v>
      </c>
      <c r="F2051" t="str">
        <f>"43605"</f>
        <v>43605</v>
      </c>
      <c r="G2051" t="str">
        <f>"Pio448069"</f>
        <v>Pio448069</v>
      </c>
      <c r="H2051" s="2">
        <f>0.19</f>
        <v>0.19</v>
      </c>
      <c r="I2051" t="s">
        <v>86</v>
      </c>
      <c r="J2051" t="s">
        <v>87</v>
      </c>
      <c r="K2051" t="str">
        <f>"0"</f>
        <v>0</v>
      </c>
    </row>
    <row r="2052" spans="1:11" x14ac:dyDescent="0.25">
      <c r="A2052">
        <v>2021</v>
      </c>
      <c r="B2052" t="s">
        <v>11927</v>
      </c>
      <c r="C2052" t="s">
        <v>11928</v>
      </c>
      <c r="D2052" t="s">
        <v>19</v>
      </c>
      <c r="E2052" t="s">
        <v>20</v>
      </c>
      <c r="F2052" t="str">
        <f>"43613"</f>
        <v>43613</v>
      </c>
      <c r="G2052" t="str">
        <f>"Bwucf4621"</f>
        <v>Bwucf4621</v>
      </c>
      <c r="H2052" s="2">
        <f>1236.22</f>
        <v>1236.22</v>
      </c>
      <c r="I2052" t="s">
        <v>15</v>
      </c>
      <c r="J2052" t="s">
        <v>295</v>
      </c>
      <c r="K2052" t="str">
        <f>"01445421"</f>
        <v>01445421</v>
      </c>
    </row>
    <row r="2053" spans="1:11" x14ac:dyDescent="0.25">
      <c r="A2053">
        <v>2021</v>
      </c>
      <c r="B2053" t="s">
        <v>11931</v>
      </c>
      <c r="C2053" t="s">
        <v>11932</v>
      </c>
      <c r="D2053" t="s">
        <v>125</v>
      </c>
      <c r="E2053" t="s">
        <v>20</v>
      </c>
      <c r="F2053" t="str">
        <f>"43537-9548"</f>
        <v>43537-9548</v>
      </c>
      <c r="G2053" t="str">
        <f>"402019"</f>
        <v>402019</v>
      </c>
      <c r="H2053" s="2">
        <f>10</f>
        <v>10</v>
      </c>
      <c r="I2053" t="s">
        <v>27</v>
      </c>
      <c r="J2053" t="s">
        <v>42</v>
      </c>
      <c r="K2053" t="str">
        <f>"115941"</f>
        <v>115941</v>
      </c>
    </row>
    <row r="2054" spans="1:11" x14ac:dyDescent="0.25">
      <c r="A2054">
        <v>2021</v>
      </c>
      <c r="B2054" t="s">
        <v>11933</v>
      </c>
      <c r="C2054" t="s">
        <v>11934</v>
      </c>
      <c r="D2054" t="s">
        <v>111</v>
      </c>
      <c r="E2054" t="s">
        <v>20</v>
      </c>
      <c r="F2054" t="str">
        <f>"43215"</f>
        <v>43215</v>
      </c>
      <c r="G2054" t="str">
        <f>"Je110321"</f>
        <v>Je110321</v>
      </c>
      <c r="H2054" s="2">
        <f>378.1</f>
        <v>378.1</v>
      </c>
      <c r="I2054" t="s">
        <v>15</v>
      </c>
      <c r="J2054" t="s">
        <v>596</v>
      </c>
      <c r="K2054" t="str">
        <f>"60021135"</f>
        <v>60021135</v>
      </c>
    </row>
    <row r="2055" spans="1:11" x14ac:dyDescent="0.25">
      <c r="A2055">
        <v>2021</v>
      </c>
      <c r="B2055" t="s">
        <v>11937</v>
      </c>
      <c r="C2055" t="s">
        <v>11938</v>
      </c>
      <c r="D2055" t="s">
        <v>19</v>
      </c>
      <c r="E2055" t="s">
        <v>20</v>
      </c>
      <c r="F2055" t="str">
        <f>"43612"</f>
        <v>43612</v>
      </c>
      <c r="G2055" t="str">
        <f>"Je092221"</f>
        <v>Je092221</v>
      </c>
      <c r="H2055" s="2">
        <f>110.94</f>
        <v>110.94</v>
      </c>
      <c r="I2055" t="s">
        <v>15</v>
      </c>
      <c r="J2055" t="s">
        <v>114</v>
      </c>
      <c r="K2055" t="str">
        <f>"60010171"</f>
        <v>60010171</v>
      </c>
    </row>
    <row r="2056" spans="1:11" x14ac:dyDescent="0.25">
      <c r="A2056">
        <v>2021</v>
      </c>
      <c r="B2056" t="s">
        <v>11939</v>
      </c>
      <c r="C2056" t="s">
        <v>11940</v>
      </c>
      <c r="D2056" t="s">
        <v>19</v>
      </c>
      <c r="E2056" t="s">
        <v>20</v>
      </c>
      <c r="F2056" t="str">
        <f>"43615-2806"</f>
        <v>43615-2806</v>
      </c>
      <c r="G2056" t="str">
        <f>"402019"</f>
        <v>402019</v>
      </c>
      <c r="H2056" s="2">
        <f>20</f>
        <v>20</v>
      </c>
      <c r="I2056" t="s">
        <v>27</v>
      </c>
      <c r="J2056" t="s">
        <v>42</v>
      </c>
      <c r="K2056" t="str">
        <f>"112728"</f>
        <v>112728</v>
      </c>
    </row>
    <row r="2057" spans="1:11" x14ac:dyDescent="0.25">
      <c r="A2057">
        <v>2021</v>
      </c>
      <c r="B2057" t="s">
        <v>11943</v>
      </c>
      <c r="C2057" t="s">
        <v>11944</v>
      </c>
      <c r="D2057" t="s">
        <v>19</v>
      </c>
      <c r="E2057" t="s">
        <v>20</v>
      </c>
      <c r="F2057" t="str">
        <f>"43606-4819"</f>
        <v>43606-4819</v>
      </c>
      <c r="G2057" t="str">
        <f>"402019"</f>
        <v>402019</v>
      </c>
      <c r="H2057" s="2">
        <f>10</f>
        <v>10</v>
      </c>
      <c r="I2057" t="s">
        <v>27</v>
      </c>
      <c r="J2057" t="s">
        <v>42</v>
      </c>
      <c r="K2057" t="str">
        <f>"112151"</f>
        <v>112151</v>
      </c>
    </row>
    <row r="2058" spans="1:11" x14ac:dyDescent="0.25">
      <c r="A2058">
        <v>2021</v>
      </c>
      <c r="B2058" t="s">
        <v>11947</v>
      </c>
      <c r="C2058" t="s">
        <v>11948</v>
      </c>
      <c r="D2058" t="s">
        <v>58</v>
      </c>
      <c r="E2058" t="s">
        <v>20</v>
      </c>
      <c r="F2058" t="str">
        <f>"43616-4403"</f>
        <v>43616-4403</v>
      </c>
      <c r="G2058" t="str">
        <f>"402019"</f>
        <v>402019</v>
      </c>
      <c r="H2058" s="2">
        <f>10</f>
        <v>10</v>
      </c>
      <c r="I2058" t="s">
        <v>27</v>
      </c>
      <c r="J2058" t="s">
        <v>42</v>
      </c>
      <c r="K2058" t="str">
        <f>"111303"</f>
        <v>111303</v>
      </c>
    </row>
    <row r="2059" spans="1:11" x14ac:dyDescent="0.25">
      <c r="A2059">
        <v>2021</v>
      </c>
      <c r="B2059" t="s">
        <v>11957</v>
      </c>
      <c r="C2059" t="s">
        <v>11958</v>
      </c>
      <c r="D2059" t="s">
        <v>19</v>
      </c>
      <c r="E2059" t="s">
        <v>20</v>
      </c>
      <c r="F2059" t="str">
        <f>"43606-3220"</f>
        <v>43606-3220</v>
      </c>
      <c r="G2059" t="str">
        <f>"402019"</f>
        <v>402019</v>
      </c>
      <c r="H2059" s="2">
        <f>10</f>
        <v>10</v>
      </c>
      <c r="I2059" t="s">
        <v>27</v>
      </c>
      <c r="J2059" t="s">
        <v>42</v>
      </c>
      <c r="K2059" t="str">
        <f>"113056"</f>
        <v>113056</v>
      </c>
    </row>
    <row r="2060" spans="1:11" x14ac:dyDescent="0.25">
      <c r="A2060">
        <v>2021</v>
      </c>
      <c r="B2060" t="s">
        <v>11981</v>
      </c>
      <c r="C2060" t="s">
        <v>11982</v>
      </c>
      <c r="D2060" t="s">
        <v>7913</v>
      </c>
      <c r="E2060" t="s">
        <v>20</v>
      </c>
      <c r="F2060" t="str">
        <f>"43420"</f>
        <v>43420</v>
      </c>
      <c r="G2060" t="str">
        <f>"Pio448069"</f>
        <v>Pio448069</v>
      </c>
      <c r="H2060" s="2">
        <f>5.15</f>
        <v>5.15</v>
      </c>
      <c r="I2060" t="s">
        <v>86</v>
      </c>
      <c r="J2060" t="s">
        <v>87</v>
      </c>
      <c r="K2060" t="str">
        <f>"0"</f>
        <v>0</v>
      </c>
    </row>
    <row r="2061" spans="1:11" x14ac:dyDescent="0.25">
      <c r="A2061">
        <v>2021</v>
      </c>
      <c r="B2061" t="s">
        <v>11988</v>
      </c>
      <c r="C2061" t="s">
        <v>11989</v>
      </c>
      <c r="D2061" t="s">
        <v>125</v>
      </c>
      <c r="E2061" t="s">
        <v>20</v>
      </c>
      <c r="F2061" t="str">
        <f>"43537-9226"</f>
        <v>43537-9226</v>
      </c>
      <c r="G2061" t="str">
        <f>"402019"</f>
        <v>402019</v>
      </c>
      <c r="H2061" s="2">
        <f>10</f>
        <v>10</v>
      </c>
      <c r="I2061" t="s">
        <v>27</v>
      </c>
      <c r="J2061" t="s">
        <v>42</v>
      </c>
      <c r="K2061" t="str">
        <f>"114961"</f>
        <v>114961</v>
      </c>
    </row>
    <row r="2062" spans="1:11" x14ac:dyDescent="0.25">
      <c r="A2062">
        <v>2021</v>
      </c>
      <c r="B2062" t="s">
        <v>11998</v>
      </c>
      <c r="C2062" t="s">
        <v>11999</v>
      </c>
      <c r="D2062" t="s">
        <v>19</v>
      </c>
      <c r="E2062" t="s">
        <v>20</v>
      </c>
      <c r="F2062" t="str">
        <f>"43612"</f>
        <v>43612</v>
      </c>
      <c r="G2062" t="str">
        <f>"Pio448069"</f>
        <v>Pio448069</v>
      </c>
      <c r="H2062" s="2">
        <f>0.3</f>
        <v>0.3</v>
      </c>
      <c r="I2062" t="s">
        <v>86</v>
      </c>
      <c r="J2062" t="s">
        <v>87</v>
      </c>
      <c r="K2062" t="str">
        <f>"0"</f>
        <v>0</v>
      </c>
    </row>
    <row r="2063" spans="1:11" x14ac:dyDescent="0.25">
      <c r="A2063">
        <v>2021</v>
      </c>
      <c r="B2063" t="s">
        <v>12002</v>
      </c>
      <c r="C2063" t="s">
        <v>12003</v>
      </c>
      <c r="D2063" t="s">
        <v>19</v>
      </c>
      <c r="E2063" t="s">
        <v>20</v>
      </c>
      <c r="F2063" t="str">
        <f>"43615"</f>
        <v>43615</v>
      </c>
      <c r="G2063" t="str">
        <f>"Je110321"</f>
        <v>Je110321</v>
      </c>
      <c r="H2063" s="2">
        <f>46.17</f>
        <v>46.17</v>
      </c>
      <c r="I2063" t="s">
        <v>15</v>
      </c>
      <c r="J2063" t="s">
        <v>596</v>
      </c>
      <c r="K2063" t="str">
        <f>"60018108"</f>
        <v>60018108</v>
      </c>
    </row>
    <row r="2064" spans="1:11" x14ac:dyDescent="0.25">
      <c r="A2064">
        <v>2021</v>
      </c>
      <c r="B2064" t="s">
        <v>12002</v>
      </c>
      <c r="C2064" t="s">
        <v>12003</v>
      </c>
      <c r="D2064" t="s">
        <v>19</v>
      </c>
      <c r="E2064" t="s">
        <v>20</v>
      </c>
      <c r="F2064" t="str">
        <f>"43615"</f>
        <v>43615</v>
      </c>
      <c r="G2064" t="str">
        <f>"Je061721"</f>
        <v>Je061721</v>
      </c>
      <c r="H2064" s="2">
        <f>55.47</f>
        <v>55.47</v>
      </c>
      <c r="I2064" t="s">
        <v>15</v>
      </c>
      <c r="J2064" t="s">
        <v>137</v>
      </c>
      <c r="K2064" t="str">
        <f>"60001049"</f>
        <v>60001049</v>
      </c>
    </row>
    <row r="2065" spans="1:11" x14ac:dyDescent="0.25">
      <c r="A2065">
        <v>2021</v>
      </c>
      <c r="B2065" t="s">
        <v>12004</v>
      </c>
      <c r="C2065" t="s">
        <v>12003</v>
      </c>
      <c r="D2065" t="s">
        <v>19</v>
      </c>
      <c r="E2065" t="s">
        <v>20</v>
      </c>
      <c r="F2065" t="str">
        <f>"43615-6116"</f>
        <v>43615-6116</v>
      </c>
      <c r="G2065" t="str">
        <f>"Swucf4621"</f>
        <v>Swucf4621</v>
      </c>
      <c r="H2065" s="2">
        <f>55.36</f>
        <v>55.36</v>
      </c>
      <c r="I2065" t="s">
        <v>15</v>
      </c>
      <c r="J2065" t="s">
        <v>81</v>
      </c>
      <c r="K2065" t="str">
        <f>"6289437"</f>
        <v>6289437</v>
      </c>
    </row>
    <row r="2066" spans="1:11" x14ac:dyDescent="0.25">
      <c r="A2066">
        <v>2021</v>
      </c>
      <c r="B2066" t="s">
        <v>12007</v>
      </c>
      <c r="C2066" t="s">
        <v>12008</v>
      </c>
      <c r="D2066" t="s">
        <v>19</v>
      </c>
      <c r="E2066" t="s">
        <v>20</v>
      </c>
      <c r="F2066" t="str">
        <f>"43615"</f>
        <v>43615</v>
      </c>
      <c r="G2066" t="str">
        <f>"Pio448069"</f>
        <v>Pio448069</v>
      </c>
      <c r="H2066" s="2">
        <f>20</f>
        <v>20</v>
      </c>
      <c r="I2066" t="s">
        <v>86</v>
      </c>
      <c r="J2066" t="s">
        <v>87</v>
      </c>
      <c r="K2066" t="str">
        <f>"0"</f>
        <v>0</v>
      </c>
    </row>
    <row r="2067" spans="1:11" x14ac:dyDescent="0.25">
      <c r="A2067">
        <v>2021</v>
      </c>
      <c r="B2067" t="s">
        <v>12009</v>
      </c>
      <c r="C2067" t="s">
        <v>12010</v>
      </c>
      <c r="D2067" t="s">
        <v>383</v>
      </c>
      <c r="E2067" t="s">
        <v>20</v>
      </c>
      <c r="F2067" t="str">
        <f>"44302"</f>
        <v>44302</v>
      </c>
      <c r="G2067" t="str">
        <f>"Pio448069"</f>
        <v>Pio448069</v>
      </c>
      <c r="H2067" s="2">
        <f>59.79</f>
        <v>59.79</v>
      </c>
      <c r="I2067" t="s">
        <v>86</v>
      </c>
      <c r="J2067" t="s">
        <v>87</v>
      </c>
      <c r="K2067" t="str">
        <f>"0"</f>
        <v>0</v>
      </c>
    </row>
    <row r="2068" spans="1:11" x14ac:dyDescent="0.25">
      <c r="A2068">
        <v>2021</v>
      </c>
      <c r="B2068" t="s">
        <v>12015</v>
      </c>
      <c r="C2068" t="s">
        <v>12016</v>
      </c>
      <c r="D2068" t="s">
        <v>19</v>
      </c>
      <c r="E2068" t="s">
        <v>20</v>
      </c>
      <c r="F2068" t="str">
        <f>"43610"</f>
        <v>43610</v>
      </c>
      <c r="G2068" t="str">
        <f>"397019"</f>
        <v>397019</v>
      </c>
      <c r="H2068" s="2">
        <f>100</f>
        <v>100</v>
      </c>
      <c r="I2068" t="s">
        <v>519</v>
      </c>
      <c r="J2068" t="s">
        <v>519</v>
      </c>
      <c r="K2068" t="str">
        <f>"9977"</f>
        <v>9977</v>
      </c>
    </row>
    <row r="2069" spans="1:11" x14ac:dyDescent="0.25">
      <c r="A2069">
        <v>2021</v>
      </c>
      <c r="B2069" t="s">
        <v>12017</v>
      </c>
      <c r="C2069" t="s">
        <v>12018</v>
      </c>
      <c r="D2069" t="s">
        <v>19</v>
      </c>
      <c r="E2069" t="s">
        <v>20</v>
      </c>
      <c r="F2069" t="str">
        <f>"43605-3049"</f>
        <v>43605-3049</v>
      </c>
      <c r="G2069" t="str">
        <f>"Je061721"</f>
        <v>Je061721</v>
      </c>
      <c r="H2069" s="2">
        <f>8.8</f>
        <v>8.8000000000000007</v>
      </c>
      <c r="I2069" t="s">
        <v>15</v>
      </c>
      <c r="J2069" t="s">
        <v>137</v>
      </c>
      <c r="K2069" t="str">
        <f>"60008786"</f>
        <v>60008786</v>
      </c>
    </row>
    <row r="2070" spans="1:11" x14ac:dyDescent="0.25">
      <c r="A2070">
        <v>2021</v>
      </c>
      <c r="B2070" t="s">
        <v>12029</v>
      </c>
      <c r="C2070" t="s">
        <v>12030</v>
      </c>
      <c r="D2070" t="s">
        <v>19</v>
      </c>
      <c r="E2070" t="s">
        <v>20</v>
      </c>
      <c r="F2070" t="str">
        <f>"43614-3708"</f>
        <v>43614-3708</v>
      </c>
      <c r="G2070" t="str">
        <f>"402019"</f>
        <v>402019</v>
      </c>
      <c r="H2070" s="2">
        <f>20</f>
        <v>20</v>
      </c>
      <c r="I2070" t="s">
        <v>27</v>
      </c>
      <c r="J2070" t="s">
        <v>42</v>
      </c>
      <c r="K2070" t="str">
        <f>"116037"</f>
        <v>116037</v>
      </c>
    </row>
    <row r="2071" spans="1:11" x14ac:dyDescent="0.25">
      <c r="A2071">
        <v>2021</v>
      </c>
      <c r="B2071" t="s">
        <v>12033</v>
      </c>
      <c r="C2071" t="s">
        <v>12034</v>
      </c>
      <c r="D2071" t="s">
        <v>19</v>
      </c>
      <c r="E2071" t="s">
        <v>20</v>
      </c>
      <c r="F2071" t="str">
        <f>"43615-4742"</f>
        <v>43615-4742</v>
      </c>
      <c r="G2071" t="str">
        <f>"402019"</f>
        <v>402019</v>
      </c>
      <c r="H2071" s="2">
        <f>10</f>
        <v>10</v>
      </c>
      <c r="I2071" t="s">
        <v>27</v>
      </c>
      <c r="J2071" t="s">
        <v>42</v>
      </c>
      <c r="K2071" t="str">
        <f>"113870"</f>
        <v>113870</v>
      </c>
    </row>
    <row r="2072" spans="1:11" x14ac:dyDescent="0.25">
      <c r="A2072">
        <v>2021</v>
      </c>
      <c r="B2072" t="s">
        <v>12048</v>
      </c>
      <c r="C2072" t="s">
        <v>12049</v>
      </c>
      <c r="D2072" t="s">
        <v>19</v>
      </c>
      <c r="E2072" t="s">
        <v>20</v>
      </c>
      <c r="F2072" t="str">
        <f>"43623"</f>
        <v>43623</v>
      </c>
      <c r="G2072" t="str">
        <f>"Swucf4621"</f>
        <v>Swucf4621</v>
      </c>
      <c r="H2072" s="2">
        <f>160</f>
        <v>160</v>
      </c>
      <c r="I2072" t="s">
        <v>15</v>
      </c>
      <c r="J2072" t="s">
        <v>81</v>
      </c>
      <c r="K2072" t="str">
        <f>"6294889"</f>
        <v>6294889</v>
      </c>
    </row>
    <row r="2073" spans="1:11" x14ac:dyDescent="0.25">
      <c r="A2073">
        <v>2021</v>
      </c>
      <c r="B2073" t="s">
        <v>12053</v>
      </c>
      <c r="C2073" t="s">
        <v>12054</v>
      </c>
      <c r="D2073" t="s">
        <v>19</v>
      </c>
      <c r="E2073" t="s">
        <v>20</v>
      </c>
      <c r="F2073" t="str">
        <f>"43605"</f>
        <v>43605</v>
      </c>
      <c r="G2073" t="str">
        <f>"Pio448069"</f>
        <v>Pio448069</v>
      </c>
      <c r="H2073" s="2">
        <f>0.09</f>
        <v>0.09</v>
      </c>
      <c r="I2073" t="s">
        <v>86</v>
      </c>
      <c r="J2073" t="s">
        <v>87</v>
      </c>
      <c r="K2073" t="str">
        <f>"0"</f>
        <v>0</v>
      </c>
    </row>
    <row r="2074" spans="1:11" x14ac:dyDescent="0.25">
      <c r="A2074">
        <v>2021</v>
      </c>
      <c r="B2074" t="s">
        <v>12055</v>
      </c>
      <c r="C2074" t="s">
        <v>12056</v>
      </c>
      <c r="D2074" t="s">
        <v>1163</v>
      </c>
      <c r="E2074" t="s">
        <v>20</v>
      </c>
      <c r="F2074" t="str">
        <f>"45242"</f>
        <v>45242</v>
      </c>
      <c r="G2074" t="str">
        <f>"402017"</f>
        <v>402017</v>
      </c>
      <c r="H2074" s="2">
        <f>3.08</f>
        <v>3.08</v>
      </c>
      <c r="I2074" t="s">
        <v>27</v>
      </c>
      <c r="J2074" t="s">
        <v>212</v>
      </c>
      <c r="K2074" t="str">
        <f>"33273"</f>
        <v>33273</v>
      </c>
    </row>
    <row r="2075" spans="1:11" x14ac:dyDescent="0.25">
      <c r="A2075">
        <v>2021</v>
      </c>
      <c r="B2075" t="s">
        <v>12060</v>
      </c>
      <c r="C2075" t="s">
        <v>12061</v>
      </c>
      <c r="D2075" t="s">
        <v>11677</v>
      </c>
      <c r="E2075" t="s">
        <v>20</v>
      </c>
      <c r="F2075" t="str">
        <f>"44094"</f>
        <v>44094</v>
      </c>
      <c r="G2075" t="str">
        <f>"Je061721"</f>
        <v>Je061721</v>
      </c>
      <c r="H2075" s="2">
        <f>2327.48</f>
        <v>2327.48</v>
      </c>
      <c r="I2075" t="s">
        <v>15</v>
      </c>
      <c r="J2075" t="s">
        <v>137</v>
      </c>
      <c r="K2075" t="str">
        <f>"60004542"</f>
        <v>60004542</v>
      </c>
    </row>
    <row r="2076" spans="1:11" x14ac:dyDescent="0.25">
      <c r="A2076">
        <v>2021</v>
      </c>
      <c r="B2076" t="s">
        <v>12062</v>
      </c>
      <c r="C2076" t="s">
        <v>12063</v>
      </c>
      <c r="D2076" t="s">
        <v>19</v>
      </c>
      <c r="E2076" t="s">
        <v>20</v>
      </c>
      <c r="F2076" t="str">
        <f>"43604"</f>
        <v>43604</v>
      </c>
      <c r="G2076" t="str">
        <f>"Je110321"</f>
        <v>Je110321</v>
      </c>
      <c r="H2076" s="2">
        <f>300</f>
        <v>300</v>
      </c>
      <c r="I2076" t="s">
        <v>15</v>
      </c>
      <c r="J2076" t="s">
        <v>596</v>
      </c>
      <c r="K2076" t="str">
        <f>"60021711"</f>
        <v>60021711</v>
      </c>
    </row>
    <row r="2077" spans="1:11" x14ac:dyDescent="0.25">
      <c r="A2077">
        <v>2021</v>
      </c>
      <c r="B2077" t="s">
        <v>12062</v>
      </c>
      <c r="C2077" t="s">
        <v>12063</v>
      </c>
      <c r="D2077" t="s">
        <v>19</v>
      </c>
      <c r="E2077" t="s">
        <v>20</v>
      </c>
      <c r="F2077" t="str">
        <f>"43604"</f>
        <v>43604</v>
      </c>
      <c r="G2077" t="str">
        <f>"Je110321"</f>
        <v>Je110321</v>
      </c>
      <c r="H2077" s="2">
        <f>175</f>
        <v>175</v>
      </c>
      <c r="I2077" t="s">
        <v>15</v>
      </c>
      <c r="J2077" t="s">
        <v>596</v>
      </c>
      <c r="K2077" t="str">
        <f>"60021712"</f>
        <v>60021712</v>
      </c>
    </row>
    <row r="2078" spans="1:11" x14ac:dyDescent="0.25">
      <c r="A2078">
        <v>2021</v>
      </c>
      <c r="B2078" t="s">
        <v>12062</v>
      </c>
      <c r="C2078" t="s">
        <v>12063</v>
      </c>
      <c r="D2078" t="s">
        <v>19</v>
      </c>
      <c r="E2078" t="s">
        <v>20</v>
      </c>
      <c r="F2078" t="str">
        <f>"43604"</f>
        <v>43604</v>
      </c>
      <c r="G2078" t="str">
        <f>"Je110321"</f>
        <v>Je110321</v>
      </c>
      <c r="H2078" s="2">
        <f>925</f>
        <v>925</v>
      </c>
      <c r="I2078" t="s">
        <v>15</v>
      </c>
      <c r="J2078" t="s">
        <v>596</v>
      </c>
      <c r="K2078" t="str">
        <f>"60021999"</f>
        <v>60021999</v>
      </c>
    </row>
    <row r="2079" spans="1:11" x14ac:dyDescent="0.25">
      <c r="A2079">
        <v>2021</v>
      </c>
      <c r="B2079" t="s">
        <v>12064</v>
      </c>
      <c r="C2079" t="s">
        <v>12065</v>
      </c>
      <c r="D2079" t="s">
        <v>19</v>
      </c>
      <c r="E2079" t="s">
        <v>20</v>
      </c>
      <c r="F2079" t="str">
        <f>"43606"</f>
        <v>43606</v>
      </c>
      <c r="G2079" t="str">
        <f>"402018"</f>
        <v>402018</v>
      </c>
      <c r="H2079" s="2">
        <f>30</f>
        <v>30</v>
      </c>
      <c r="I2079" t="s">
        <v>27</v>
      </c>
      <c r="J2079" t="s">
        <v>171</v>
      </c>
      <c r="K2079" t="str">
        <f>"517369"</f>
        <v>517369</v>
      </c>
    </row>
    <row r="2080" spans="1:11" x14ac:dyDescent="0.25">
      <c r="A2080">
        <v>2021</v>
      </c>
      <c r="B2080" t="s">
        <v>12064</v>
      </c>
      <c r="C2080" t="s">
        <v>12065</v>
      </c>
      <c r="D2080" t="s">
        <v>19</v>
      </c>
      <c r="E2080" t="s">
        <v>20</v>
      </c>
      <c r="F2080" t="str">
        <f>"43606"</f>
        <v>43606</v>
      </c>
      <c r="G2080" t="str">
        <f>"402018"</f>
        <v>402018</v>
      </c>
      <c r="H2080" s="2">
        <f>10</f>
        <v>10</v>
      </c>
      <c r="I2080" t="s">
        <v>27</v>
      </c>
      <c r="J2080" t="s">
        <v>171</v>
      </c>
      <c r="K2080" t="str">
        <f>"516859"</f>
        <v>516859</v>
      </c>
    </row>
    <row r="2081" spans="1:11" x14ac:dyDescent="0.25">
      <c r="A2081">
        <v>2021</v>
      </c>
      <c r="B2081" t="s">
        <v>12086</v>
      </c>
      <c r="C2081" t="s">
        <v>12087</v>
      </c>
      <c r="D2081" t="s">
        <v>19</v>
      </c>
      <c r="E2081" t="s">
        <v>20</v>
      </c>
      <c r="F2081" t="str">
        <f>"43612"</f>
        <v>43612</v>
      </c>
      <c r="G2081" t="str">
        <f>"Pio448069"</f>
        <v>Pio448069</v>
      </c>
      <c r="H2081" s="2">
        <f>0.93</f>
        <v>0.93</v>
      </c>
      <c r="I2081" t="s">
        <v>86</v>
      </c>
      <c r="J2081" t="s">
        <v>87</v>
      </c>
      <c r="K2081" t="str">
        <f>"0"</f>
        <v>0</v>
      </c>
    </row>
    <row r="2082" spans="1:11" x14ac:dyDescent="0.25">
      <c r="A2082">
        <v>2021</v>
      </c>
      <c r="B2082" t="s">
        <v>12088</v>
      </c>
      <c r="C2082" t="s">
        <v>12089</v>
      </c>
      <c r="D2082" t="s">
        <v>105</v>
      </c>
      <c r="E2082" t="s">
        <v>20</v>
      </c>
      <c r="F2082" t="str">
        <f>"43528"</f>
        <v>43528</v>
      </c>
      <c r="G2082" t="str">
        <f>"402018"</f>
        <v>402018</v>
      </c>
      <c r="H2082" s="2">
        <f>5</f>
        <v>5</v>
      </c>
      <c r="I2082" t="s">
        <v>27</v>
      </c>
      <c r="J2082" t="s">
        <v>171</v>
      </c>
      <c r="K2082" t="str">
        <f>"517847"</f>
        <v>517847</v>
      </c>
    </row>
    <row r="2083" spans="1:11" x14ac:dyDescent="0.25">
      <c r="A2083">
        <v>2021</v>
      </c>
      <c r="B2083" t="s">
        <v>12092</v>
      </c>
      <c r="C2083" t="s">
        <v>12093</v>
      </c>
      <c r="D2083" t="s">
        <v>12094</v>
      </c>
      <c r="E2083" t="s">
        <v>12095</v>
      </c>
      <c r="F2083" t="str">
        <f>"08054"</f>
        <v>08054</v>
      </c>
      <c r="G2083" t="str">
        <f>"Je110321"</f>
        <v>Je110321</v>
      </c>
      <c r="H2083" s="2">
        <f>269.28</f>
        <v>269.27999999999997</v>
      </c>
      <c r="I2083" t="s">
        <v>15</v>
      </c>
      <c r="J2083" t="s">
        <v>596</v>
      </c>
      <c r="K2083" t="str">
        <f>"60019801"</f>
        <v>60019801</v>
      </c>
    </row>
    <row r="2084" spans="1:11" x14ac:dyDescent="0.25">
      <c r="A2084">
        <v>2021</v>
      </c>
      <c r="B2084" t="s">
        <v>12110</v>
      </c>
      <c r="C2084" t="s">
        <v>12111</v>
      </c>
      <c r="D2084" t="s">
        <v>19</v>
      </c>
      <c r="E2084" t="s">
        <v>20</v>
      </c>
      <c r="F2084" t="str">
        <f>"43606"</f>
        <v>43606</v>
      </c>
      <c r="G2084" t="str">
        <f>"Pio448069"</f>
        <v>Pio448069</v>
      </c>
      <c r="H2084" s="2">
        <f>1</f>
        <v>1</v>
      </c>
      <c r="I2084" t="s">
        <v>86</v>
      </c>
      <c r="J2084" t="s">
        <v>87</v>
      </c>
      <c r="K2084" t="str">
        <f>"0"</f>
        <v>0</v>
      </c>
    </row>
    <row r="2085" spans="1:11" x14ac:dyDescent="0.25">
      <c r="A2085">
        <v>2021</v>
      </c>
      <c r="B2085" t="s">
        <v>12112</v>
      </c>
      <c r="C2085" t="s">
        <v>12113</v>
      </c>
      <c r="D2085" t="s">
        <v>19</v>
      </c>
      <c r="E2085" t="s">
        <v>20</v>
      </c>
      <c r="F2085" t="str">
        <f>"46311"</f>
        <v>46311</v>
      </c>
      <c r="G2085" t="str">
        <f>"Je092221"</f>
        <v>Je092221</v>
      </c>
      <c r="H2085" s="2">
        <f>98.74</f>
        <v>98.74</v>
      </c>
      <c r="I2085" t="s">
        <v>15</v>
      </c>
      <c r="J2085" t="s">
        <v>114</v>
      </c>
      <c r="K2085" t="str">
        <f>"60010175"</f>
        <v>60010175</v>
      </c>
    </row>
    <row r="2086" spans="1:11" x14ac:dyDescent="0.25">
      <c r="A2086">
        <v>2021</v>
      </c>
      <c r="B2086" t="s">
        <v>12114</v>
      </c>
      <c r="C2086" t="s">
        <v>12115</v>
      </c>
      <c r="D2086" t="s">
        <v>19</v>
      </c>
      <c r="E2086" t="s">
        <v>20</v>
      </c>
      <c r="F2086" t="str">
        <f>"43609-2249"</f>
        <v>43609-2249</v>
      </c>
      <c r="G2086" t="str">
        <f>"Swucf4621"</f>
        <v>Swucf4621</v>
      </c>
      <c r="H2086" s="2">
        <f>98.74</f>
        <v>98.74</v>
      </c>
      <c r="I2086" t="s">
        <v>15</v>
      </c>
      <c r="J2086" t="s">
        <v>81</v>
      </c>
      <c r="K2086" t="str">
        <f>"6296437"</f>
        <v>6296437</v>
      </c>
    </row>
    <row r="2087" spans="1:11" x14ac:dyDescent="0.25">
      <c r="A2087">
        <v>2021</v>
      </c>
      <c r="B2087" t="s">
        <v>12114</v>
      </c>
      <c r="C2087" t="s">
        <v>12116</v>
      </c>
      <c r="D2087" t="s">
        <v>19</v>
      </c>
      <c r="E2087" t="s">
        <v>20</v>
      </c>
      <c r="F2087" t="str">
        <f>"43611-3045"</f>
        <v>43611-3045</v>
      </c>
      <c r="G2087" t="str">
        <f>"Swucf4621"</f>
        <v>Swucf4621</v>
      </c>
      <c r="H2087" s="2">
        <f>98.74</f>
        <v>98.74</v>
      </c>
      <c r="I2087" t="s">
        <v>15</v>
      </c>
      <c r="J2087" t="s">
        <v>81</v>
      </c>
      <c r="K2087" t="str">
        <f>"6298967"</f>
        <v>6298967</v>
      </c>
    </row>
    <row r="2088" spans="1:11" x14ac:dyDescent="0.25">
      <c r="A2088">
        <v>2021</v>
      </c>
      <c r="B2088" t="s">
        <v>12114</v>
      </c>
      <c r="C2088" t="s">
        <v>12115</v>
      </c>
      <c r="D2088" t="s">
        <v>19</v>
      </c>
      <c r="E2088" t="s">
        <v>20</v>
      </c>
      <c r="F2088" t="str">
        <f>"43609-2249"</f>
        <v>43609-2249</v>
      </c>
      <c r="G2088" t="str">
        <f>"Swucf4621"</f>
        <v>Swucf4621</v>
      </c>
      <c r="H2088" s="2">
        <f>98.55</f>
        <v>98.55</v>
      </c>
      <c r="I2088" t="s">
        <v>15</v>
      </c>
      <c r="J2088" t="s">
        <v>81</v>
      </c>
      <c r="K2088" t="str">
        <f>"6289440"</f>
        <v>6289440</v>
      </c>
    </row>
    <row r="2089" spans="1:11" x14ac:dyDescent="0.25">
      <c r="A2089">
        <v>2021</v>
      </c>
      <c r="B2089" t="s">
        <v>12114</v>
      </c>
      <c r="C2089" t="s">
        <v>12115</v>
      </c>
      <c r="D2089" t="s">
        <v>19</v>
      </c>
      <c r="E2089" t="s">
        <v>20</v>
      </c>
      <c r="F2089" t="str">
        <f>"43609-2249"</f>
        <v>43609-2249</v>
      </c>
      <c r="G2089" t="str">
        <f>"Swucf4621"</f>
        <v>Swucf4621</v>
      </c>
      <c r="H2089" s="2">
        <f>98.55</f>
        <v>98.55</v>
      </c>
      <c r="I2089" t="s">
        <v>15</v>
      </c>
      <c r="J2089" t="s">
        <v>81</v>
      </c>
      <c r="K2089" t="str">
        <f>"6291020"</f>
        <v>6291020</v>
      </c>
    </row>
    <row r="2090" spans="1:11" x14ac:dyDescent="0.25">
      <c r="A2090">
        <v>2021</v>
      </c>
      <c r="B2090" t="s">
        <v>12114</v>
      </c>
      <c r="C2090" t="s">
        <v>12115</v>
      </c>
      <c r="D2090" t="s">
        <v>19</v>
      </c>
      <c r="E2090" t="s">
        <v>20</v>
      </c>
      <c r="F2090" t="str">
        <f>"43609-2249"</f>
        <v>43609-2249</v>
      </c>
      <c r="G2090" t="str">
        <f>"Swucf4621"</f>
        <v>Swucf4621</v>
      </c>
      <c r="H2090" s="2">
        <f>98.55</f>
        <v>98.55</v>
      </c>
      <c r="I2090" t="s">
        <v>15</v>
      </c>
      <c r="J2090" t="s">
        <v>81</v>
      </c>
      <c r="K2090" t="str">
        <f>"6292582"</f>
        <v>6292582</v>
      </c>
    </row>
    <row r="2091" spans="1:11" x14ac:dyDescent="0.25">
      <c r="A2091">
        <v>2021</v>
      </c>
      <c r="B2091" t="s">
        <v>12127</v>
      </c>
      <c r="C2091" t="s">
        <v>12128</v>
      </c>
      <c r="D2091" t="s">
        <v>4977</v>
      </c>
      <c r="E2091" t="s">
        <v>20</v>
      </c>
      <c r="F2091" t="str">
        <f>"44122"</f>
        <v>44122</v>
      </c>
      <c r="G2091" t="str">
        <f>"402017"</f>
        <v>402017</v>
      </c>
      <c r="H2091" s="2">
        <f>20</f>
        <v>20</v>
      </c>
      <c r="I2091" t="s">
        <v>27</v>
      </c>
      <c r="J2091" t="s">
        <v>212</v>
      </c>
      <c r="K2091" t="str">
        <f>"34955"</f>
        <v>34955</v>
      </c>
    </row>
    <row r="2092" spans="1:11" x14ac:dyDescent="0.25">
      <c r="A2092">
        <v>2021</v>
      </c>
      <c r="B2092" t="s">
        <v>12136</v>
      </c>
      <c r="C2092" t="s">
        <v>12137</v>
      </c>
      <c r="D2092" t="s">
        <v>19</v>
      </c>
      <c r="E2092" t="s">
        <v>20</v>
      </c>
      <c r="F2092" t="str">
        <f>"43615"</f>
        <v>43615</v>
      </c>
      <c r="G2092" t="str">
        <f>"Je110321"</f>
        <v>Je110321</v>
      </c>
      <c r="H2092" s="2">
        <f>30.78</f>
        <v>30.78</v>
      </c>
      <c r="I2092" t="s">
        <v>15</v>
      </c>
      <c r="J2092" t="s">
        <v>596</v>
      </c>
      <c r="K2092" t="str">
        <f>"60024119"</f>
        <v>60024119</v>
      </c>
    </row>
    <row r="2093" spans="1:11" x14ac:dyDescent="0.25">
      <c r="A2093">
        <v>2021</v>
      </c>
      <c r="B2093" t="s">
        <v>12138</v>
      </c>
      <c r="C2093" t="s">
        <v>12137</v>
      </c>
      <c r="D2093" t="s">
        <v>19</v>
      </c>
      <c r="E2093" t="s">
        <v>20</v>
      </c>
      <c r="F2093" t="str">
        <f>"43615-6553"</f>
        <v>43615-6553</v>
      </c>
      <c r="G2093" t="str">
        <f>"Swucf4621"</f>
        <v>Swucf4621</v>
      </c>
      <c r="H2093" s="2">
        <f>36.91</f>
        <v>36.909999999999997</v>
      </c>
      <c r="I2093" t="s">
        <v>15</v>
      </c>
      <c r="J2093" t="s">
        <v>81</v>
      </c>
      <c r="K2093" t="str">
        <f>"6292586"</f>
        <v>6292586</v>
      </c>
    </row>
    <row r="2094" spans="1:11" x14ac:dyDescent="0.25">
      <c r="A2094">
        <v>2021</v>
      </c>
      <c r="B2094" t="s">
        <v>12136</v>
      </c>
      <c r="C2094" t="s">
        <v>12137</v>
      </c>
      <c r="D2094" t="s">
        <v>19</v>
      </c>
      <c r="E2094" t="s">
        <v>20</v>
      </c>
      <c r="F2094" t="str">
        <f t="shared" ref="F2094:F2099" si="61">"43615"</f>
        <v>43615</v>
      </c>
      <c r="G2094" t="str">
        <f>"Je092221"</f>
        <v>Je092221</v>
      </c>
      <c r="H2094" s="2">
        <f>36.98</f>
        <v>36.979999999999997</v>
      </c>
      <c r="I2094" t="s">
        <v>15</v>
      </c>
      <c r="J2094" t="s">
        <v>114</v>
      </c>
      <c r="K2094" t="str">
        <f>"60010178"</f>
        <v>60010178</v>
      </c>
    </row>
    <row r="2095" spans="1:11" x14ac:dyDescent="0.25">
      <c r="A2095">
        <v>2021</v>
      </c>
      <c r="B2095" t="s">
        <v>12136</v>
      </c>
      <c r="C2095" t="s">
        <v>12137</v>
      </c>
      <c r="D2095" t="s">
        <v>19</v>
      </c>
      <c r="E2095" t="s">
        <v>20</v>
      </c>
      <c r="F2095" t="str">
        <f t="shared" si="61"/>
        <v>43615</v>
      </c>
      <c r="G2095" t="str">
        <f>"Je061721"</f>
        <v>Je061721</v>
      </c>
      <c r="H2095" s="2">
        <f>36.98</f>
        <v>36.979999999999997</v>
      </c>
      <c r="I2095" t="s">
        <v>15</v>
      </c>
      <c r="J2095" t="s">
        <v>137</v>
      </c>
      <c r="K2095" t="str">
        <f>"60007202"</f>
        <v>60007202</v>
      </c>
    </row>
    <row r="2096" spans="1:11" x14ac:dyDescent="0.25">
      <c r="A2096">
        <v>2021</v>
      </c>
      <c r="B2096" t="s">
        <v>12136</v>
      </c>
      <c r="C2096" t="s">
        <v>12137</v>
      </c>
      <c r="D2096" t="s">
        <v>19</v>
      </c>
      <c r="E2096" t="s">
        <v>14</v>
      </c>
      <c r="F2096" t="str">
        <f t="shared" si="61"/>
        <v>43615</v>
      </c>
      <c r="G2096" t="str">
        <f>"Je110321"</f>
        <v>Je110321</v>
      </c>
      <c r="H2096" s="2">
        <f>30.78</f>
        <v>30.78</v>
      </c>
      <c r="I2096" t="s">
        <v>15</v>
      </c>
      <c r="J2096" t="s">
        <v>596</v>
      </c>
      <c r="K2096" t="str">
        <f>"60020629"</f>
        <v>60020629</v>
      </c>
    </row>
    <row r="2097" spans="1:11" x14ac:dyDescent="0.25">
      <c r="A2097">
        <v>2021</v>
      </c>
      <c r="B2097" t="s">
        <v>12136</v>
      </c>
      <c r="C2097" t="s">
        <v>12137</v>
      </c>
      <c r="D2097" t="s">
        <v>19</v>
      </c>
      <c r="E2097" t="s">
        <v>20</v>
      </c>
      <c r="F2097" t="str">
        <f t="shared" si="61"/>
        <v>43615</v>
      </c>
      <c r="G2097" t="str">
        <f>"Je092221"</f>
        <v>Je092221</v>
      </c>
      <c r="H2097" s="2">
        <f>30.78</f>
        <v>30.78</v>
      </c>
      <c r="I2097" t="s">
        <v>15</v>
      </c>
      <c r="J2097" t="s">
        <v>114</v>
      </c>
      <c r="K2097" t="str">
        <f>"60015866"</f>
        <v>60015866</v>
      </c>
    </row>
    <row r="2098" spans="1:11" x14ac:dyDescent="0.25">
      <c r="A2098">
        <v>2021</v>
      </c>
      <c r="B2098" t="s">
        <v>12136</v>
      </c>
      <c r="C2098" t="s">
        <v>12137</v>
      </c>
      <c r="D2098" t="s">
        <v>19</v>
      </c>
      <c r="E2098" t="s">
        <v>20</v>
      </c>
      <c r="F2098" t="str">
        <f t="shared" si="61"/>
        <v>43615</v>
      </c>
      <c r="G2098" t="str">
        <f>"Je092221"</f>
        <v>Je092221</v>
      </c>
      <c r="H2098" s="2">
        <f>30.78</f>
        <v>30.78</v>
      </c>
      <c r="I2098" t="s">
        <v>15</v>
      </c>
      <c r="J2098" t="s">
        <v>114</v>
      </c>
      <c r="K2098" t="str">
        <f>"60013778"</f>
        <v>60013778</v>
      </c>
    </row>
    <row r="2099" spans="1:11" x14ac:dyDescent="0.25">
      <c r="A2099">
        <v>2021</v>
      </c>
      <c r="B2099" t="s">
        <v>12136</v>
      </c>
      <c r="C2099" t="s">
        <v>12137</v>
      </c>
      <c r="D2099" t="s">
        <v>19</v>
      </c>
      <c r="E2099" t="s">
        <v>20</v>
      </c>
      <c r="F2099" t="str">
        <f t="shared" si="61"/>
        <v>43615</v>
      </c>
      <c r="G2099" t="str">
        <f>"Je110321"</f>
        <v>Je110321</v>
      </c>
      <c r="H2099" s="2">
        <f>30.78</f>
        <v>30.78</v>
      </c>
      <c r="I2099" t="s">
        <v>15</v>
      </c>
      <c r="J2099" t="s">
        <v>596</v>
      </c>
      <c r="K2099" t="str">
        <f>"60018114"</f>
        <v>60018114</v>
      </c>
    </row>
    <row r="2100" spans="1:11" x14ac:dyDescent="0.25">
      <c r="A2100">
        <v>2021</v>
      </c>
      <c r="B2100" t="s">
        <v>12140</v>
      </c>
      <c r="C2100" t="s">
        <v>12141</v>
      </c>
      <c r="D2100" t="s">
        <v>19</v>
      </c>
      <c r="E2100" t="s">
        <v>20</v>
      </c>
      <c r="F2100" t="str">
        <f>"43609"</f>
        <v>43609</v>
      </c>
      <c r="G2100" t="str">
        <f>"Pio448069"</f>
        <v>Pio448069</v>
      </c>
      <c r="H2100" s="2">
        <f>15</f>
        <v>15</v>
      </c>
      <c r="I2100" t="s">
        <v>86</v>
      </c>
      <c r="J2100" t="s">
        <v>87</v>
      </c>
      <c r="K2100" t="str">
        <f>"0"</f>
        <v>0</v>
      </c>
    </row>
    <row r="2101" spans="1:11" x14ac:dyDescent="0.25">
      <c r="A2101">
        <v>2021</v>
      </c>
      <c r="B2101" t="s">
        <v>12144</v>
      </c>
      <c r="C2101" t="s">
        <v>12145</v>
      </c>
      <c r="D2101" t="s">
        <v>19</v>
      </c>
      <c r="E2101" t="s">
        <v>20</v>
      </c>
      <c r="F2101" t="str">
        <f>"43611"</f>
        <v>43611</v>
      </c>
      <c r="G2101" t="str">
        <f>"Pio448069"</f>
        <v>Pio448069</v>
      </c>
      <c r="H2101" s="2">
        <f>10.36</f>
        <v>10.36</v>
      </c>
      <c r="I2101" t="s">
        <v>86</v>
      </c>
      <c r="J2101" t="s">
        <v>87</v>
      </c>
      <c r="K2101" t="str">
        <f>"0"</f>
        <v>0</v>
      </c>
    </row>
    <row r="2102" spans="1:11" x14ac:dyDescent="0.25">
      <c r="A2102">
        <v>2021</v>
      </c>
      <c r="B2102" t="s">
        <v>12146</v>
      </c>
      <c r="C2102" t="s">
        <v>12147</v>
      </c>
      <c r="D2102" t="s">
        <v>19</v>
      </c>
      <c r="E2102" t="s">
        <v>20</v>
      </c>
      <c r="F2102" t="str">
        <f>"43604"</f>
        <v>43604</v>
      </c>
      <c r="G2102" t="str">
        <f>"Pio448069"</f>
        <v>Pio448069</v>
      </c>
      <c r="H2102" s="2">
        <f>1.94</f>
        <v>1.94</v>
      </c>
      <c r="I2102" t="s">
        <v>86</v>
      </c>
      <c r="J2102" t="s">
        <v>87</v>
      </c>
      <c r="K2102" t="str">
        <f>"0"</f>
        <v>0</v>
      </c>
    </row>
    <row r="2103" spans="1:11" x14ac:dyDescent="0.25">
      <c r="A2103">
        <v>2021</v>
      </c>
      <c r="B2103" t="s">
        <v>12148</v>
      </c>
      <c r="C2103" t="s">
        <v>12149</v>
      </c>
      <c r="F2103" t="str">
        <f>""</f>
        <v/>
      </c>
      <c r="G2103" t="str">
        <f>"Swucf4621"</f>
        <v>Swucf4621</v>
      </c>
      <c r="H2103" s="2">
        <f>8.12</f>
        <v>8.1199999999999992</v>
      </c>
      <c r="I2103" t="s">
        <v>15</v>
      </c>
      <c r="J2103" t="s">
        <v>81</v>
      </c>
      <c r="K2103" t="str">
        <f>"6291429"</f>
        <v>6291429</v>
      </c>
    </row>
    <row r="2104" spans="1:11" x14ac:dyDescent="0.25">
      <c r="A2104">
        <v>2021</v>
      </c>
      <c r="B2104" t="s">
        <v>12165</v>
      </c>
      <c r="C2104" t="s">
        <v>12166</v>
      </c>
      <c r="D2104" t="s">
        <v>19</v>
      </c>
      <c r="E2104" t="s">
        <v>20</v>
      </c>
      <c r="F2104" t="str">
        <f>"43623-4108"</f>
        <v>43623-4108</v>
      </c>
      <c r="G2104" t="str">
        <f>"402019"</f>
        <v>402019</v>
      </c>
      <c r="H2104" s="2">
        <f>10</f>
        <v>10</v>
      </c>
      <c r="I2104" t="s">
        <v>27</v>
      </c>
      <c r="J2104" t="s">
        <v>42</v>
      </c>
      <c r="K2104" t="str">
        <f>"111501"</f>
        <v>111501</v>
      </c>
    </row>
    <row r="2105" spans="1:11" x14ac:dyDescent="0.25">
      <c r="A2105">
        <v>2021</v>
      </c>
      <c r="B2105" t="s">
        <v>12175</v>
      </c>
      <c r="C2105" t="s">
        <v>12176</v>
      </c>
      <c r="D2105" t="s">
        <v>19</v>
      </c>
      <c r="E2105" t="s">
        <v>20</v>
      </c>
      <c r="F2105" t="str">
        <f>"43609-3346"</f>
        <v>43609-3346</v>
      </c>
      <c r="G2105" t="str">
        <f>"402019"</f>
        <v>402019</v>
      </c>
      <c r="H2105" s="2">
        <f>10</f>
        <v>10</v>
      </c>
      <c r="I2105" t="s">
        <v>27</v>
      </c>
      <c r="J2105" t="s">
        <v>42</v>
      </c>
      <c r="K2105" t="str">
        <f>"111402"</f>
        <v>111402</v>
      </c>
    </row>
    <row r="2106" spans="1:11" x14ac:dyDescent="0.25">
      <c r="A2106">
        <v>2021</v>
      </c>
      <c r="B2106" t="s">
        <v>12177</v>
      </c>
      <c r="C2106" t="s">
        <v>12178</v>
      </c>
      <c r="D2106" t="s">
        <v>19</v>
      </c>
      <c r="E2106" t="s">
        <v>20</v>
      </c>
      <c r="F2106" t="str">
        <f>"43614-1009"</f>
        <v>43614-1009</v>
      </c>
      <c r="G2106" t="str">
        <f>"402019"</f>
        <v>402019</v>
      </c>
      <c r="H2106" s="2">
        <f>10</f>
        <v>10</v>
      </c>
      <c r="I2106" t="s">
        <v>27</v>
      </c>
      <c r="J2106" t="s">
        <v>42</v>
      </c>
      <c r="K2106" t="str">
        <f>"115146"</f>
        <v>115146</v>
      </c>
    </row>
    <row r="2107" spans="1:11" x14ac:dyDescent="0.25">
      <c r="A2107">
        <v>2021</v>
      </c>
      <c r="B2107" t="s">
        <v>12194</v>
      </c>
      <c r="C2107" t="s">
        <v>12195</v>
      </c>
      <c r="D2107" t="s">
        <v>19</v>
      </c>
      <c r="E2107" t="s">
        <v>20</v>
      </c>
      <c r="F2107" t="str">
        <f>"43614"</f>
        <v>43614</v>
      </c>
      <c r="G2107" t="str">
        <f>"402019"</f>
        <v>402019</v>
      </c>
      <c r="H2107" s="2">
        <f>10</f>
        <v>10</v>
      </c>
      <c r="I2107" t="s">
        <v>27</v>
      </c>
      <c r="J2107" t="s">
        <v>42</v>
      </c>
      <c r="K2107" t="str">
        <f>"111227"</f>
        <v>111227</v>
      </c>
    </row>
    <row r="2108" spans="1:11" x14ac:dyDescent="0.25">
      <c r="A2108">
        <v>2021</v>
      </c>
      <c r="B2108" t="s">
        <v>12204</v>
      </c>
      <c r="C2108" t="s">
        <v>12205</v>
      </c>
      <c r="D2108" t="s">
        <v>19</v>
      </c>
      <c r="E2108" t="s">
        <v>20</v>
      </c>
      <c r="F2108" t="str">
        <f>"43612"</f>
        <v>43612</v>
      </c>
      <c r="G2108" t="str">
        <f>"Pio448069"</f>
        <v>Pio448069</v>
      </c>
      <c r="H2108" s="2">
        <f>14</f>
        <v>14</v>
      </c>
      <c r="I2108" t="s">
        <v>86</v>
      </c>
      <c r="J2108" t="s">
        <v>87</v>
      </c>
      <c r="K2108" t="str">
        <f>"0"</f>
        <v>0</v>
      </c>
    </row>
    <row r="2109" spans="1:11" x14ac:dyDescent="0.25">
      <c r="A2109">
        <v>2021</v>
      </c>
      <c r="B2109" t="s">
        <v>12218</v>
      </c>
      <c r="C2109" t="s">
        <v>12219</v>
      </c>
      <c r="D2109" t="s">
        <v>64</v>
      </c>
      <c r="E2109" t="s">
        <v>20</v>
      </c>
      <c r="F2109" t="str">
        <f>"43566-9693"</f>
        <v>43566-9693</v>
      </c>
      <c r="G2109" t="str">
        <f>"402019"</f>
        <v>402019</v>
      </c>
      <c r="H2109" s="2">
        <f>10</f>
        <v>10</v>
      </c>
      <c r="I2109" t="s">
        <v>27</v>
      </c>
      <c r="J2109" t="s">
        <v>42</v>
      </c>
      <c r="K2109" t="str">
        <f>"112192"</f>
        <v>112192</v>
      </c>
    </row>
    <row r="2110" spans="1:11" x14ac:dyDescent="0.25">
      <c r="A2110">
        <v>2021</v>
      </c>
      <c r="B2110" t="s">
        <v>12228</v>
      </c>
      <c r="C2110" t="s">
        <v>12230</v>
      </c>
      <c r="D2110" t="s">
        <v>19</v>
      </c>
      <c r="E2110" t="s">
        <v>20</v>
      </c>
      <c r="F2110" t="str">
        <f>"43623"</f>
        <v>43623</v>
      </c>
      <c r="G2110" t="str">
        <f>"402018"</f>
        <v>402018</v>
      </c>
      <c r="H2110" s="2">
        <f>9.08</f>
        <v>9.08</v>
      </c>
      <c r="I2110" t="s">
        <v>27</v>
      </c>
      <c r="J2110" t="s">
        <v>171</v>
      </c>
      <c r="K2110" t="str">
        <f>"517734"</f>
        <v>517734</v>
      </c>
    </row>
    <row r="2111" spans="1:11" x14ac:dyDescent="0.25">
      <c r="A2111">
        <v>2021</v>
      </c>
      <c r="B2111" t="s">
        <v>12242</v>
      </c>
      <c r="C2111" t="s">
        <v>12243</v>
      </c>
      <c r="D2111" t="s">
        <v>7913</v>
      </c>
      <c r="E2111" t="s">
        <v>20</v>
      </c>
      <c r="F2111" t="str">
        <f>"43420"</f>
        <v>43420</v>
      </c>
      <c r="G2111" t="str">
        <f>"402018"</f>
        <v>402018</v>
      </c>
      <c r="H2111" s="2">
        <f>9.08</f>
        <v>9.08</v>
      </c>
      <c r="I2111" t="s">
        <v>27</v>
      </c>
      <c r="J2111" t="s">
        <v>171</v>
      </c>
      <c r="K2111" t="str">
        <f>"517735"</f>
        <v>517735</v>
      </c>
    </row>
    <row r="2112" spans="1:11" x14ac:dyDescent="0.25">
      <c r="A2112">
        <v>2021</v>
      </c>
      <c r="B2112" t="s">
        <v>12244</v>
      </c>
      <c r="C2112" t="s">
        <v>2634</v>
      </c>
      <c r="D2112" t="s">
        <v>19</v>
      </c>
      <c r="E2112" t="s">
        <v>20</v>
      </c>
      <c r="F2112" t="str">
        <f>"43615"</f>
        <v>43615</v>
      </c>
      <c r="G2112" t="str">
        <f>"402018"</f>
        <v>402018</v>
      </c>
      <c r="H2112" s="2">
        <f>9.08</f>
        <v>9.08</v>
      </c>
      <c r="I2112" t="s">
        <v>27</v>
      </c>
      <c r="J2112" t="s">
        <v>171</v>
      </c>
      <c r="K2112" t="str">
        <f>"517736"</f>
        <v>517736</v>
      </c>
    </row>
    <row r="2113" spans="1:11" x14ac:dyDescent="0.25">
      <c r="A2113">
        <v>2021</v>
      </c>
      <c r="B2113" t="s">
        <v>12251</v>
      </c>
      <c r="C2113" t="s">
        <v>12252</v>
      </c>
      <c r="D2113" t="s">
        <v>19</v>
      </c>
      <c r="E2113" t="s">
        <v>20</v>
      </c>
      <c r="F2113" t="str">
        <f>"43615"</f>
        <v>43615</v>
      </c>
      <c r="G2113" t="str">
        <f>"Pio448069"</f>
        <v>Pio448069</v>
      </c>
      <c r="H2113" s="2">
        <f>29</f>
        <v>29</v>
      </c>
      <c r="I2113" t="s">
        <v>86</v>
      </c>
      <c r="J2113" t="s">
        <v>87</v>
      </c>
      <c r="K2113" t="str">
        <f>"0"</f>
        <v>0</v>
      </c>
    </row>
    <row r="2114" spans="1:11" x14ac:dyDescent="0.25">
      <c r="A2114">
        <v>2021</v>
      </c>
      <c r="B2114" t="s">
        <v>12253</v>
      </c>
      <c r="C2114" t="s">
        <v>12254</v>
      </c>
      <c r="D2114" t="s">
        <v>3079</v>
      </c>
      <c r="E2114" t="s">
        <v>216</v>
      </c>
      <c r="F2114" t="str">
        <f>"46616"</f>
        <v>46616</v>
      </c>
      <c r="G2114" t="str">
        <f>"Pio448069"</f>
        <v>Pio448069</v>
      </c>
      <c r="H2114" s="2">
        <f>9.5</f>
        <v>9.5</v>
      </c>
      <c r="I2114" t="s">
        <v>86</v>
      </c>
      <c r="J2114" t="s">
        <v>87</v>
      </c>
      <c r="K2114" t="str">
        <f>"0"</f>
        <v>0</v>
      </c>
    </row>
    <row r="2115" spans="1:11" x14ac:dyDescent="0.25">
      <c r="A2115">
        <v>2021</v>
      </c>
      <c r="B2115" t="s">
        <v>12255</v>
      </c>
      <c r="C2115" t="s">
        <v>153</v>
      </c>
      <c r="D2115" t="s">
        <v>12256</v>
      </c>
      <c r="E2115" t="s">
        <v>14</v>
      </c>
      <c r="F2115" t="str">
        <f>"48341"</f>
        <v>48341</v>
      </c>
      <c r="G2115" t="str">
        <f>"Pio448069"</f>
        <v>Pio448069</v>
      </c>
      <c r="H2115" s="2">
        <f>0.87</f>
        <v>0.87</v>
      </c>
      <c r="I2115" t="s">
        <v>86</v>
      </c>
      <c r="J2115" t="s">
        <v>87</v>
      </c>
      <c r="K2115" t="str">
        <f>"0"</f>
        <v>0</v>
      </c>
    </row>
    <row r="2116" spans="1:11" x14ac:dyDescent="0.25">
      <c r="A2116">
        <v>2021</v>
      </c>
      <c r="B2116" t="s">
        <v>12257</v>
      </c>
      <c r="C2116" t="s">
        <v>12258</v>
      </c>
      <c r="D2116" t="s">
        <v>19</v>
      </c>
      <c r="E2116" t="s">
        <v>20</v>
      </c>
      <c r="F2116" t="str">
        <f>"43605"</f>
        <v>43605</v>
      </c>
      <c r="G2116" t="str">
        <f>"402018"</f>
        <v>402018</v>
      </c>
      <c r="H2116" s="2">
        <f>10</f>
        <v>10</v>
      </c>
      <c r="I2116" t="s">
        <v>27</v>
      </c>
      <c r="J2116" t="s">
        <v>171</v>
      </c>
      <c r="K2116" t="str">
        <f>"516033"</f>
        <v>516033</v>
      </c>
    </row>
    <row r="2117" spans="1:11" x14ac:dyDescent="0.25">
      <c r="A2117">
        <v>2021</v>
      </c>
      <c r="B2117" t="s">
        <v>12259</v>
      </c>
      <c r="C2117" t="s">
        <v>12260</v>
      </c>
      <c r="D2117" t="s">
        <v>383</v>
      </c>
      <c r="E2117" t="s">
        <v>20</v>
      </c>
      <c r="F2117" t="str">
        <f t="shared" ref="F2117:F2130" si="62">"44308"</f>
        <v>44308</v>
      </c>
      <c r="G2117" t="str">
        <f t="shared" ref="G2117:G2150" si="63">"Swucf4621"</f>
        <v>Swucf4621</v>
      </c>
      <c r="H2117" s="2">
        <f>3.42</f>
        <v>3.42</v>
      </c>
      <c r="I2117" t="s">
        <v>15</v>
      </c>
      <c r="J2117" t="s">
        <v>81</v>
      </c>
      <c r="K2117" t="str">
        <f>"6292626"</f>
        <v>6292626</v>
      </c>
    </row>
    <row r="2118" spans="1:11" x14ac:dyDescent="0.25">
      <c r="A2118">
        <v>2021</v>
      </c>
      <c r="B2118" t="s">
        <v>12259</v>
      </c>
      <c r="C2118" t="s">
        <v>12260</v>
      </c>
      <c r="D2118" t="s">
        <v>383</v>
      </c>
      <c r="E2118" t="s">
        <v>20</v>
      </c>
      <c r="F2118" t="str">
        <f t="shared" si="62"/>
        <v>44308</v>
      </c>
      <c r="G2118" t="str">
        <f t="shared" si="63"/>
        <v>Swucf4621</v>
      </c>
      <c r="H2118" s="2">
        <f>3.5</f>
        <v>3.5</v>
      </c>
      <c r="I2118" t="s">
        <v>15</v>
      </c>
      <c r="J2118" t="s">
        <v>81</v>
      </c>
      <c r="K2118" t="str">
        <f>"6292627"</f>
        <v>6292627</v>
      </c>
    </row>
    <row r="2119" spans="1:11" x14ac:dyDescent="0.25">
      <c r="A2119">
        <v>2021</v>
      </c>
      <c r="B2119" t="s">
        <v>12261</v>
      </c>
      <c r="C2119" t="s">
        <v>12260</v>
      </c>
      <c r="D2119" t="s">
        <v>383</v>
      </c>
      <c r="E2119" t="s">
        <v>20</v>
      </c>
      <c r="F2119" t="str">
        <f t="shared" si="62"/>
        <v>44308</v>
      </c>
      <c r="G2119" t="str">
        <f t="shared" si="63"/>
        <v>Swucf4621</v>
      </c>
      <c r="H2119" s="2">
        <f>1.9</f>
        <v>1.9</v>
      </c>
      <c r="I2119" t="s">
        <v>15</v>
      </c>
      <c r="J2119" t="s">
        <v>81</v>
      </c>
      <c r="K2119" t="str">
        <f>"6292628"</f>
        <v>6292628</v>
      </c>
    </row>
    <row r="2120" spans="1:11" x14ac:dyDescent="0.25">
      <c r="A2120">
        <v>2021</v>
      </c>
      <c r="B2120" t="s">
        <v>12261</v>
      </c>
      <c r="C2120" t="s">
        <v>12260</v>
      </c>
      <c r="D2120" t="s">
        <v>383</v>
      </c>
      <c r="E2120" t="s">
        <v>20</v>
      </c>
      <c r="F2120" t="str">
        <f t="shared" si="62"/>
        <v>44308</v>
      </c>
      <c r="G2120" t="str">
        <f t="shared" si="63"/>
        <v>Swucf4621</v>
      </c>
      <c r="H2120" s="2">
        <f>3.44</f>
        <v>3.44</v>
      </c>
      <c r="I2120" t="s">
        <v>15</v>
      </c>
      <c r="J2120" t="s">
        <v>81</v>
      </c>
      <c r="K2120" t="str">
        <f>"6292629"</f>
        <v>6292629</v>
      </c>
    </row>
    <row r="2121" spans="1:11" x14ac:dyDescent="0.25">
      <c r="A2121">
        <v>2021</v>
      </c>
      <c r="B2121" t="s">
        <v>12261</v>
      </c>
      <c r="C2121" t="s">
        <v>12260</v>
      </c>
      <c r="D2121" t="s">
        <v>383</v>
      </c>
      <c r="E2121" t="s">
        <v>20</v>
      </c>
      <c r="F2121" t="str">
        <f t="shared" si="62"/>
        <v>44308</v>
      </c>
      <c r="G2121" t="str">
        <f t="shared" si="63"/>
        <v>Swucf4621</v>
      </c>
      <c r="H2121" s="2">
        <f t="shared" ref="H2121:H2126" si="64">2.48</f>
        <v>2.48</v>
      </c>
      <c r="I2121" t="s">
        <v>15</v>
      </c>
      <c r="J2121" t="s">
        <v>81</v>
      </c>
      <c r="K2121" t="str">
        <f>"6292630"</f>
        <v>6292630</v>
      </c>
    </row>
    <row r="2122" spans="1:11" x14ac:dyDescent="0.25">
      <c r="A2122">
        <v>2021</v>
      </c>
      <c r="B2122" t="s">
        <v>12261</v>
      </c>
      <c r="C2122" t="s">
        <v>12260</v>
      </c>
      <c r="D2122" t="s">
        <v>383</v>
      </c>
      <c r="E2122" t="s">
        <v>20</v>
      </c>
      <c r="F2122" t="str">
        <f t="shared" si="62"/>
        <v>44308</v>
      </c>
      <c r="G2122" t="str">
        <f t="shared" si="63"/>
        <v>Swucf4621</v>
      </c>
      <c r="H2122" s="2">
        <f t="shared" si="64"/>
        <v>2.48</v>
      </c>
      <c r="I2122" t="s">
        <v>15</v>
      </c>
      <c r="J2122" t="s">
        <v>81</v>
      </c>
      <c r="K2122" t="str">
        <f>"6292631"</f>
        <v>6292631</v>
      </c>
    </row>
    <row r="2123" spans="1:11" x14ac:dyDescent="0.25">
      <c r="A2123">
        <v>2021</v>
      </c>
      <c r="B2123" t="s">
        <v>12261</v>
      </c>
      <c r="C2123" t="s">
        <v>12260</v>
      </c>
      <c r="D2123" t="s">
        <v>383</v>
      </c>
      <c r="E2123" t="s">
        <v>20</v>
      </c>
      <c r="F2123" t="str">
        <f t="shared" si="62"/>
        <v>44308</v>
      </c>
      <c r="G2123" t="str">
        <f t="shared" si="63"/>
        <v>Swucf4621</v>
      </c>
      <c r="H2123" s="2">
        <f t="shared" si="64"/>
        <v>2.48</v>
      </c>
      <c r="I2123" t="s">
        <v>15</v>
      </c>
      <c r="J2123" t="s">
        <v>81</v>
      </c>
      <c r="K2123" t="str">
        <f>"6292632"</f>
        <v>6292632</v>
      </c>
    </row>
    <row r="2124" spans="1:11" x14ac:dyDescent="0.25">
      <c r="A2124">
        <v>2021</v>
      </c>
      <c r="B2124" t="s">
        <v>12261</v>
      </c>
      <c r="C2124" t="s">
        <v>12260</v>
      </c>
      <c r="D2124" t="s">
        <v>383</v>
      </c>
      <c r="E2124" t="s">
        <v>20</v>
      </c>
      <c r="F2124" t="str">
        <f t="shared" si="62"/>
        <v>44308</v>
      </c>
      <c r="G2124" t="str">
        <f t="shared" si="63"/>
        <v>Swucf4621</v>
      </c>
      <c r="H2124" s="2">
        <f t="shared" si="64"/>
        <v>2.48</v>
      </c>
      <c r="I2124" t="s">
        <v>15</v>
      </c>
      <c r="J2124" t="s">
        <v>81</v>
      </c>
      <c r="K2124" t="str">
        <f>"6292633"</f>
        <v>6292633</v>
      </c>
    </row>
    <row r="2125" spans="1:11" x14ac:dyDescent="0.25">
      <c r="A2125">
        <v>2021</v>
      </c>
      <c r="B2125" t="s">
        <v>12261</v>
      </c>
      <c r="C2125" t="s">
        <v>12260</v>
      </c>
      <c r="D2125" t="s">
        <v>383</v>
      </c>
      <c r="E2125" t="s">
        <v>20</v>
      </c>
      <c r="F2125" t="str">
        <f t="shared" si="62"/>
        <v>44308</v>
      </c>
      <c r="G2125" t="str">
        <f t="shared" si="63"/>
        <v>Swucf4621</v>
      </c>
      <c r="H2125" s="2">
        <f t="shared" si="64"/>
        <v>2.48</v>
      </c>
      <c r="I2125" t="s">
        <v>15</v>
      </c>
      <c r="J2125" t="s">
        <v>81</v>
      </c>
      <c r="K2125" t="str">
        <f>"6292634"</f>
        <v>6292634</v>
      </c>
    </row>
    <row r="2126" spans="1:11" x14ac:dyDescent="0.25">
      <c r="A2126">
        <v>2021</v>
      </c>
      <c r="B2126" t="s">
        <v>12261</v>
      </c>
      <c r="C2126" t="s">
        <v>12260</v>
      </c>
      <c r="D2126" t="s">
        <v>383</v>
      </c>
      <c r="E2126" t="s">
        <v>20</v>
      </c>
      <c r="F2126" t="str">
        <f t="shared" si="62"/>
        <v>44308</v>
      </c>
      <c r="G2126" t="str">
        <f t="shared" si="63"/>
        <v>Swucf4621</v>
      </c>
      <c r="H2126" s="2">
        <f t="shared" si="64"/>
        <v>2.48</v>
      </c>
      <c r="I2126" t="s">
        <v>15</v>
      </c>
      <c r="J2126" t="s">
        <v>81</v>
      </c>
      <c r="K2126" t="str">
        <f>"6292635"</f>
        <v>6292635</v>
      </c>
    </row>
    <row r="2127" spans="1:11" x14ac:dyDescent="0.25">
      <c r="A2127">
        <v>2021</v>
      </c>
      <c r="B2127" t="s">
        <v>12261</v>
      </c>
      <c r="C2127" t="s">
        <v>12260</v>
      </c>
      <c r="D2127" t="s">
        <v>383</v>
      </c>
      <c r="E2127" t="s">
        <v>20</v>
      </c>
      <c r="F2127" t="str">
        <f t="shared" si="62"/>
        <v>44308</v>
      </c>
      <c r="G2127" t="str">
        <f t="shared" si="63"/>
        <v>Swucf4621</v>
      </c>
      <c r="H2127" s="2">
        <f>2.52</f>
        <v>2.52</v>
      </c>
      <c r="I2127" t="s">
        <v>15</v>
      </c>
      <c r="J2127" t="s">
        <v>81</v>
      </c>
      <c r="K2127" t="str">
        <f>"6292636"</f>
        <v>6292636</v>
      </c>
    </row>
    <row r="2128" spans="1:11" x14ac:dyDescent="0.25">
      <c r="A2128">
        <v>2021</v>
      </c>
      <c r="B2128" t="s">
        <v>12261</v>
      </c>
      <c r="C2128" t="s">
        <v>12260</v>
      </c>
      <c r="D2128" t="s">
        <v>383</v>
      </c>
      <c r="E2128" t="s">
        <v>20</v>
      </c>
      <c r="F2128" t="str">
        <f t="shared" si="62"/>
        <v>44308</v>
      </c>
      <c r="G2128" t="str">
        <f t="shared" si="63"/>
        <v>Swucf4621</v>
      </c>
      <c r="H2128" s="2">
        <f>1.88</f>
        <v>1.88</v>
      </c>
      <c r="I2128" t="s">
        <v>15</v>
      </c>
      <c r="J2128" t="s">
        <v>81</v>
      </c>
      <c r="K2128" t="str">
        <f>"6292637"</f>
        <v>6292637</v>
      </c>
    </row>
    <row r="2129" spans="1:11" x14ac:dyDescent="0.25">
      <c r="A2129">
        <v>2021</v>
      </c>
      <c r="B2129" t="s">
        <v>12261</v>
      </c>
      <c r="C2129" t="s">
        <v>12260</v>
      </c>
      <c r="D2129" t="s">
        <v>383</v>
      </c>
      <c r="E2129" t="s">
        <v>20</v>
      </c>
      <c r="F2129" t="str">
        <f t="shared" si="62"/>
        <v>44308</v>
      </c>
      <c r="G2129" t="str">
        <f t="shared" si="63"/>
        <v>Swucf4621</v>
      </c>
      <c r="H2129" s="2">
        <f>2.48</f>
        <v>2.48</v>
      </c>
      <c r="I2129" t="s">
        <v>15</v>
      </c>
      <c r="J2129" t="s">
        <v>81</v>
      </c>
      <c r="K2129" t="str">
        <f>"6292638"</f>
        <v>6292638</v>
      </c>
    </row>
    <row r="2130" spans="1:11" x14ac:dyDescent="0.25">
      <c r="A2130">
        <v>2021</v>
      </c>
      <c r="B2130" t="s">
        <v>12261</v>
      </c>
      <c r="C2130" t="s">
        <v>12260</v>
      </c>
      <c r="D2130" t="s">
        <v>383</v>
      </c>
      <c r="E2130" t="s">
        <v>20</v>
      </c>
      <c r="F2130" t="str">
        <f t="shared" si="62"/>
        <v>44308</v>
      </c>
      <c r="G2130" t="str">
        <f t="shared" si="63"/>
        <v>Swucf4621</v>
      </c>
      <c r="H2130" s="2">
        <f>2.6</f>
        <v>2.6</v>
      </c>
      <c r="I2130" t="s">
        <v>15</v>
      </c>
      <c r="J2130" t="s">
        <v>81</v>
      </c>
      <c r="K2130" t="str">
        <f>"6292625"</f>
        <v>6292625</v>
      </c>
    </row>
    <row r="2131" spans="1:11" x14ac:dyDescent="0.25">
      <c r="A2131">
        <v>2021</v>
      </c>
      <c r="B2131" t="s">
        <v>12262</v>
      </c>
      <c r="C2131" t="s">
        <v>12263</v>
      </c>
      <c r="D2131" t="s">
        <v>12264</v>
      </c>
      <c r="E2131" t="s">
        <v>12095</v>
      </c>
      <c r="F2131" t="str">
        <f t="shared" ref="F2131:F2150" si="65">"07960"</f>
        <v>07960</v>
      </c>
      <c r="G2131" t="str">
        <f t="shared" si="63"/>
        <v>Swucf4621</v>
      </c>
      <c r="H2131" s="2">
        <f>3.44</f>
        <v>3.44</v>
      </c>
      <c r="I2131" t="s">
        <v>15</v>
      </c>
      <c r="J2131" t="s">
        <v>81</v>
      </c>
      <c r="K2131" t="str">
        <f>"6292656"</f>
        <v>6292656</v>
      </c>
    </row>
    <row r="2132" spans="1:11" x14ac:dyDescent="0.25">
      <c r="A2132">
        <v>2021</v>
      </c>
      <c r="B2132" t="s">
        <v>12262</v>
      </c>
      <c r="C2132" t="s">
        <v>12263</v>
      </c>
      <c r="D2132" t="s">
        <v>12264</v>
      </c>
      <c r="E2132" t="s">
        <v>12095</v>
      </c>
      <c r="F2132" t="str">
        <f t="shared" si="65"/>
        <v>07960</v>
      </c>
      <c r="G2132" t="str">
        <f t="shared" si="63"/>
        <v>Swucf4621</v>
      </c>
      <c r="H2132" s="2">
        <f>3.46</f>
        <v>3.46</v>
      </c>
      <c r="I2132" t="s">
        <v>15</v>
      </c>
      <c r="J2132" t="s">
        <v>81</v>
      </c>
      <c r="K2132" t="str">
        <f>"6292657"</f>
        <v>6292657</v>
      </c>
    </row>
    <row r="2133" spans="1:11" x14ac:dyDescent="0.25">
      <c r="A2133">
        <v>2021</v>
      </c>
      <c r="B2133" t="s">
        <v>12262</v>
      </c>
      <c r="C2133" t="s">
        <v>12263</v>
      </c>
      <c r="D2133" t="s">
        <v>12264</v>
      </c>
      <c r="E2133" t="s">
        <v>12095</v>
      </c>
      <c r="F2133" t="str">
        <f t="shared" si="65"/>
        <v>07960</v>
      </c>
      <c r="G2133" t="str">
        <f t="shared" si="63"/>
        <v>Swucf4621</v>
      </c>
      <c r="H2133" s="2">
        <f>1.88</f>
        <v>1.88</v>
      </c>
      <c r="I2133" t="s">
        <v>15</v>
      </c>
      <c r="J2133" t="s">
        <v>81</v>
      </c>
      <c r="K2133" t="str">
        <f>"6292658"</f>
        <v>6292658</v>
      </c>
    </row>
    <row r="2134" spans="1:11" x14ac:dyDescent="0.25">
      <c r="A2134">
        <v>2021</v>
      </c>
      <c r="B2134" t="s">
        <v>12262</v>
      </c>
      <c r="C2134" t="s">
        <v>12263</v>
      </c>
      <c r="D2134" t="s">
        <v>12264</v>
      </c>
      <c r="E2134" t="s">
        <v>12095</v>
      </c>
      <c r="F2134" t="str">
        <f t="shared" si="65"/>
        <v>07960</v>
      </c>
      <c r="G2134" t="str">
        <f t="shared" si="63"/>
        <v>Swucf4621</v>
      </c>
      <c r="H2134" s="2">
        <f t="shared" ref="H2134:H2140" si="66">2.48</f>
        <v>2.48</v>
      </c>
      <c r="I2134" t="s">
        <v>15</v>
      </c>
      <c r="J2134" t="s">
        <v>81</v>
      </c>
      <c r="K2134" t="str">
        <f>"6292639"</f>
        <v>6292639</v>
      </c>
    </row>
    <row r="2135" spans="1:11" x14ac:dyDescent="0.25">
      <c r="A2135">
        <v>2021</v>
      </c>
      <c r="B2135" t="s">
        <v>12262</v>
      </c>
      <c r="C2135" t="s">
        <v>12263</v>
      </c>
      <c r="D2135" t="s">
        <v>12264</v>
      </c>
      <c r="E2135" t="s">
        <v>12095</v>
      </c>
      <c r="F2135" t="str">
        <f t="shared" si="65"/>
        <v>07960</v>
      </c>
      <c r="G2135" t="str">
        <f t="shared" si="63"/>
        <v>Swucf4621</v>
      </c>
      <c r="H2135" s="2">
        <f t="shared" si="66"/>
        <v>2.48</v>
      </c>
      <c r="I2135" t="s">
        <v>15</v>
      </c>
      <c r="J2135" t="s">
        <v>81</v>
      </c>
      <c r="K2135" t="str">
        <f>"6292640"</f>
        <v>6292640</v>
      </c>
    </row>
    <row r="2136" spans="1:11" x14ac:dyDescent="0.25">
      <c r="A2136">
        <v>2021</v>
      </c>
      <c r="B2136" t="s">
        <v>12262</v>
      </c>
      <c r="C2136" t="s">
        <v>12263</v>
      </c>
      <c r="D2136" t="s">
        <v>12264</v>
      </c>
      <c r="E2136" t="s">
        <v>12095</v>
      </c>
      <c r="F2136" t="str">
        <f t="shared" si="65"/>
        <v>07960</v>
      </c>
      <c r="G2136" t="str">
        <f t="shared" si="63"/>
        <v>Swucf4621</v>
      </c>
      <c r="H2136" s="2">
        <f t="shared" si="66"/>
        <v>2.48</v>
      </c>
      <c r="I2136" t="s">
        <v>15</v>
      </c>
      <c r="J2136" t="s">
        <v>81</v>
      </c>
      <c r="K2136" t="str">
        <f>"6292641"</f>
        <v>6292641</v>
      </c>
    </row>
    <row r="2137" spans="1:11" x14ac:dyDescent="0.25">
      <c r="A2137">
        <v>2021</v>
      </c>
      <c r="B2137" t="s">
        <v>12262</v>
      </c>
      <c r="C2137" t="s">
        <v>12263</v>
      </c>
      <c r="D2137" t="s">
        <v>12264</v>
      </c>
      <c r="E2137" t="s">
        <v>12095</v>
      </c>
      <c r="F2137" t="str">
        <f t="shared" si="65"/>
        <v>07960</v>
      </c>
      <c r="G2137" t="str">
        <f t="shared" si="63"/>
        <v>Swucf4621</v>
      </c>
      <c r="H2137" s="2">
        <f t="shared" si="66"/>
        <v>2.48</v>
      </c>
      <c r="I2137" t="s">
        <v>15</v>
      </c>
      <c r="J2137" t="s">
        <v>81</v>
      </c>
      <c r="K2137" t="str">
        <f>"6292642"</f>
        <v>6292642</v>
      </c>
    </row>
    <row r="2138" spans="1:11" x14ac:dyDescent="0.25">
      <c r="A2138">
        <v>2021</v>
      </c>
      <c r="B2138" t="s">
        <v>12262</v>
      </c>
      <c r="C2138" t="s">
        <v>12263</v>
      </c>
      <c r="D2138" t="s">
        <v>12264</v>
      </c>
      <c r="E2138" t="s">
        <v>12095</v>
      </c>
      <c r="F2138" t="str">
        <f t="shared" si="65"/>
        <v>07960</v>
      </c>
      <c r="G2138" t="str">
        <f t="shared" si="63"/>
        <v>Swucf4621</v>
      </c>
      <c r="H2138" s="2">
        <f t="shared" si="66"/>
        <v>2.48</v>
      </c>
      <c r="I2138" t="s">
        <v>15</v>
      </c>
      <c r="J2138" t="s">
        <v>81</v>
      </c>
      <c r="K2138" t="str">
        <f>"6292643"</f>
        <v>6292643</v>
      </c>
    </row>
    <row r="2139" spans="1:11" x14ac:dyDescent="0.25">
      <c r="A2139">
        <v>2021</v>
      </c>
      <c r="B2139" t="s">
        <v>12262</v>
      </c>
      <c r="C2139" t="s">
        <v>12263</v>
      </c>
      <c r="D2139" t="s">
        <v>12264</v>
      </c>
      <c r="E2139" t="s">
        <v>12095</v>
      </c>
      <c r="F2139" t="str">
        <f t="shared" si="65"/>
        <v>07960</v>
      </c>
      <c r="G2139" t="str">
        <f t="shared" si="63"/>
        <v>Swucf4621</v>
      </c>
      <c r="H2139" s="2">
        <f t="shared" si="66"/>
        <v>2.48</v>
      </c>
      <c r="I2139" t="s">
        <v>15</v>
      </c>
      <c r="J2139" t="s">
        <v>81</v>
      </c>
      <c r="K2139" t="str">
        <f>"6292644"</f>
        <v>6292644</v>
      </c>
    </row>
    <row r="2140" spans="1:11" x14ac:dyDescent="0.25">
      <c r="A2140">
        <v>2021</v>
      </c>
      <c r="B2140" t="s">
        <v>12262</v>
      </c>
      <c r="C2140" t="s">
        <v>12263</v>
      </c>
      <c r="D2140" t="s">
        <v>12264</v>
      </c>
      <c r="E2140" t="s">
        <v>12095</v>
      </c>
      <c r="F2140" t="str">
        <f t="shared" si="65"/>
        <v>07960</v>
      </c>
      <c r="G2140" t="str">
        <f t="shared" si="63"/>
        <v>Swucf4621</v>
      </c>
      <c r="H2140" s="2">
        <f t="shared" si="66"/>
        <v>2.48</v>
      </c>
      <c r="I2140" t="s">
        <v>15</v>
      </c>
      <c r="J2140" t="s">
        <v>81</v>
      </c>
      <c r="K2140" t="str">
        <f>"6292645"</f>
        <v>6292645</v>
      </c>
    </row>
    <row r="2141" spans="1:11" x14ac:dyDescent="0.25">
      <c r="A2141">
        <v>2021</v>
      </c>
      <c r="B2141" t="s">
        <v>12262</v>
      </c>
      <c r="C2141" t="s">
        <v>12263</v>
      </c>
      <c r="D2141" t="s">
        <v>12264</v>
      </c>
      <c r="E2141" t="s">
        <v>12095</v>
      </c>
      <c r="F2141" t="str">
        <f t="shared" si="65"/>
        <v>07960</v>
      </c>
      <c r="G2141" t="str">
        <f t="shared" si="63"/>
        <v>Swucf4621</v>
      </c>
      <c r="H2141" s="2">
        <f>1.88</f>
        <v>1.88</v>
      </c>
      <c r="I2141" t="s">
        <v>15</v>
      </c>
      <c r="J2141" t="s">
        <v>81</v>
      </c>
      <c r="K2141" t="str">
        <f>"6292646"</f>
        <v>6292646</v>
      </c>
    </row>
    <row r="2142" spans="1:11" x14ac:dyDescent="0.25">
      <c r="A2142">
        <v>2021</v>
      </c>
      <c r="B2142" t="s">
        <v>12262</v>
      </c>
      <c r="C2142" t="s">
        <v>12263</v>
      </c>
      <c r="D2142" t="s">
        <v>12264</v>
      </c>
      <c r="E2142" t="s">
        <v>12095</v>
      </c>
      <c r="F2142" t="str">
        <f t="shared" si="65"/>
        <v>07960</v>
      </c>
      <c r="G2142" t="str">
        <f t="shared" si="63"/>
        <v>Swucf4621</v>
      </c>
      <c r="H2142" s="2">
        <f>1.88</f>
        <v>1.88</v>
      </c>
      <c r="I2142" t="s">
        <v>15</v>
      </c>
      <c r="J2142" t="s">
        <v>81</v>
      </c>
      <c r="K2142" t="str">
        <f>"6292647"</f>
        <v>6292647</v>
      </c>
    </row>
    <row r="2143" spans="1:11" x14ac:dyDescent="0.25">
      <c r="A2143">
        <v>2021</v>
      </c>
      <c r="B2143" t="s">
        <v>12262</v>
      </c>
      <c r="C2143" t="s">
        <v>12263</v>
      </c>
      <c r="D2143" t="s">
        <v>12264</v>
      </c>
      <c r="E2143" t="s">
        <v>12095</v>
      </c>
      <c r="F2143" t="str">
        <f t="shared" si="65"/>
        <v>07960</v>
      </c>
      <c r="G2143" t="str">
        <f t="shared" si="63"/>
        <v>Swucf4621</v>
      </c>
      <c r="H2143" s="2">
        <f>1.88</f>
        <v>1.88</v>
      </c>
      <c r="I2143" t="s">
        <v>15</v>
      </c>
      <c r="J2143" t="s">
        <v>81</v>
      </c>
      <c r="K2143" t="str">
        <f>"6292648"</f>
        <v>6292648</v>
      </c>
    </row>
    <row r="2144" spans="1:11" x14ac:dyDescent="0.25">
      <c r="A2144">
        <v>2021</v>
      </c>
      <c r="B2144" t="s">
        <v>12262</v>
      </c>
      <c r="C2144" t="s">
        <v>12263</v>
      </c>
      <c r="D2144" t="s">
        <v>12264</v>
      </c>
      <c r="E2144" t="s">
        <v>12095</v>
      </c>
      <c r="F2144" t="str">
        <f t="shared" si="65"/>
        <v>07960</v>
      </c>
      <c r="G2144" t="str">
        <f t="shared" si="63"/>
        <v>Swucf4621</v>
      </c>
      <c r="H2144" s="2">
        <f>1.88</f>
        <v>1.88</v>
      </c>
      <c r="I2144" t="s">
        <v>15</v>
      </c>
      <c r="J2144" t="s">
        <v>81</v>
      </c>
      <c r="K2144" t="str">
        <f>"6292649"</f>
        <v>6292649</v>
      </c>
    </row>
    <row r="2145" spans="1:11" x14ac:dyDescent="0.25">
      <c r="A2145">
        <v>2021</v>
      </c>
      <c r="B2145" t="s">
        <v>12262</v>
      </c>
      <c r="C2145" t="s">
        <v>12263</v>
      </c>
      <c r="D2145" t="s">
        <v>12264</v>
      </c>
      <c r="E2145" t="s">
        <v>12095</v>
      </c>
      <c r="F2145" t="str">
        <f t="shared" si="65"/>
        <v>07960</v>
      </c>
      <c r="G2145" t="str">
        <f t="shared" si="63"/>
        <v>Swucf4621</v>
      </c>
      <c r="H2145" s="2">
        <f>3.44</f>
        <v>3.44</v>
      </c>
      <c r="I2145" t="s">
        <v>15</v>
      </c>
      <c r="J2145" t="s">
        <v>81</v>
      </c>
      <c r="K2145" t="str">
        <f>"6292650"</f>
        <v>6292650</v>
      </c>
    </row>
    <row r="2146" spans="1:11" x14ac:dyDescent="0.25">
      <c r="A2146">
        <v>2021</v>
      </c>
      <c r="B2146" t="s">
        <v>12262</v>
      </c>
      <c r="C2146" t="s">
        <v>12263</v>
      </c>
      <c r="D2146" t="s">
        <v>12264</v>
      </c>
      <c r="E2146" t="s">
        <v>12095</v>
      </c>
      <c r="F2146" t="str">
        <f t="shared" si="65"/>
        <v>07960</v>
      </c>
      <c r="G2146" t="str">
        <f t="shared" si="63"/>
        <v>Swucf4621</v>
      </c>
      <c r="H2146" s="2">
        <f>2.48</f>
        <v>2.48</v>
      </c>
      <c r="I2146" t="s">
        <v>15</v>
      </c>
      <c r="J2146" t="s">
        <v>81</v>
      </c>
      <c r="K2146" t="str">
        <f>"6292651"</f>
        <v>6292651</v>
      </c>
    </row>
    <row r="2147" spans="1:11" x14ac:dyDescent="0.25">
      <c r="A2147">
        <v>2021</v>
      </c>
      <c r="B2147" t="s">
        <v>12262</v>
      </c>
      <c r="C2147" t="s">
        <v>12263</v>
      </c>
      <c r="D2147" t="s">
        <v>12264</v>
      </c>
      <c r="E2147" t="s">
        <v>12095</v>
      </c>
      <c r="F2147" t="str">
        <f t="shared" si="65"/>
        <v>07960</v>
      </c>
      <c r="G2147" t="str">
        <f t="shared" si="63"/>
        <v>Swucf4621</v>
      </c>
      <c r="H2147" s="2">
        <f>2.48</f>
        <v>2.48</v>
      </c>
      <c r="I2147" t="s">
        <v>15</v>
      </c>
      <c r="J2147" t="s">
        <v>81</v>
      </c>
      <c r="K2147" t="str">
        <f>"6292652"</f>
        <v>6292652</v>
      </c>
    </row>
    <row r="2148" spans="1:11" x14ac:dyDescent="0.25">
      <c r="A2148">
        <v>2021</v>
      </c>
      <c r="B2148" t="s">
        <v>12262</v>
      </c>
      <c r="C2148" t="s">
        <v>12263</v>
      </c>
      <c r="D2148" t="s">
        <v>12264</v>
      </c>
      <c r="E2148" t="s">
        <v>12095</v>
      </c>
      <c r="F2148" t="str">
        <f t="shared" si="65"/>
        <v>07960</v>
      </c>
      <c r="G2148" t="str">
        <f t="shared" si="63"/>
        <v>Swucf4621</v>
      </c>
      <c r="H2148" s="2">
        <f>2.48</f>
        <v>2.48</v>
      </c>
      <c r="I2148" t="s">
        <v>15</v>
      </c>
      <c r="J2148" t="s">
        <v>81</v>
      </c>
      <c r="K2148" t="str">
        <f>"6292653"</f>
        <v>6292653</v>
      </c>
    </row>
    <row r="2149" spans="1:11" x14ac:dyDescent="0.25">
      <c r="A2149">
        <v>2021</v>
      </c>
      <c r="B2149" t="s">
        <v>12262</v>
      </c>
      <c r="C2149" t="s">
        <v>12263</v>
      </c>
      <c r="D2149" t="s">
        <v>12264</v>
      </c>
      <c r="E2149" t="s">
        <v>12095</v>
      </c>
      <c r="F2149" t="str">
        <f t="shared" si="65"/>
        <v>07960</v>
      </c>
      <c r="G2149" t="str">
        <f t="shared" si="63"/>
        <v>Swucf4621</v>
      </c>
      <c r="H2149" s="2">
        <f>2.48</f>
        <v>2.48</v>
      </c>
      <c r="I2149" t="s">
        <v>15</v>
      </c>
      <c r="J2149" t="s">
        <v>81</v>
      </c>
      <c r="K2149" t="str">
        <f>"6292654"</f>
        <v>6292654</v>
      </c>
    </row>
    <row r="2150" spans="1:11" x14ac:dyDescent="0.25">
      <c r="A2150">
        <v>2021</v>
      </c>
      <c r="B2150" t="s">
        <v>12262</v>
      </c>
      <c r="C2150" t="s">
        <v>12263</v>
      </c>
      <c r="D2150" t="s">
        <v>12264</v>
      </c>
      <c r="E2150" t="s">
        <v>12095</v>
      </c>
      <c r="F2150" t="str">
        <f t="shared" si="65"/>
        <v>07960</v>
      </c>
      <c r="G2150" t="str">
        <f t="shared" si="63"/>
        <v>Swucf4621</v>
      </c>
      <c r="H2150" s="2">
        <f>2.48</f>
        <v>2.48</v>
      </c>
      <c r="I2150" t="s">
        <v>15</v>
      </c>
      <c r="J2150" t="s">
        <v>81</v>
      </c>
      <c r="K2150" t="str">
        <f>"6292655"</f>
        <v>6292655</v>
      </c>
    </row>
    <row r="2151" spans="1:11" x14ac:dyDescent="0.25">
      <c r="A2151">
        <v>2021</v>
      </c>
      <c r="B2151" t="s">
        <v>12265</v>
      </c>
      <c r="C2151" t="s">
        <v>12248</v>
      </c>
      <c r="D2151" t="s">
        <v>19</v>
      </c>
      <c r="E2151" t="s">
        <v>20</v>
      </c>
      <c r="F2151" t="str">
        <f>"43615"</f>
        <v>43615</v>
      </c>
      <c r="G2151" t="str">
        <f>"402018"</f>
        <v>402018</v>
      </c>
      <c r="H2151" s="2">
        <f>5</f>
        <v>5</v>
      </c>
      <c r="I2151" t="s">
        <v>27</v>
      </c>
      <c r="J2151" t="s">
        <v>171</v>
      </c>
      <c r="K2151" t="str">
        <f>"517544"</f>
        <v>517544</v>
      </c>
    </row>
    <row r="2152" spans="1:11" x14ac:dyDescent="0.25">
      <c r="A2152">
        <v>2021</v>
      </c>
      <c r="B2152" t="s">
        <v>12269</v>
      </c>
      <c r="C2152" t="s">
        <v>12270</v>
      </c>
      <c r="D2152" t="s">
        <v>50</v>
      </c>
      <c r="E2152" t="s">
        <v>20</v>
      </c>
      <c r="F2152" t="str">
        <f>"43560"</f>
        <v>43560</v>
      </c>
      <c r="G2152" t="str">
        <f>"402017"</f>
        <v>402017</v>
      </c>
      <c r="H2152" s="2">
        <f>214.89</f>
        <v>214.89</v>
      </c>
      <c r="I2152" t="s">
        <v>27</v>
      </c>
      <c r="J2152" t="s">
        <v>212</v>
      </c>
      <c r="K2152" t="str">
        <f>"33587"</f>
        <v>33587</v>
      </c>
    </row>
    <row r="2153" spans="1:11" x14ac:dyDescent="0.25">
      <c r="A2153">
        <v>2021</v>
      </c>
      <c r="B2153" t="s">
        <v>12271</v>
      </c>
      <c r="C2153" t="s">
        <v>12272</v>
      </c>
      <c r="D2153" t="s">
        <v>12273</v>
      </c>
      <c r="E2153" t="s">
        <v>20</v>
      </c>
      <c r="F2153" t="str">
        <f>"43003-9611"</f>
        <v>43003-9611</v>
      </c>
      <c r="G2153" t="str">
        <f>"Swucf4621"</f>
        <v>Swucf4621</v>
      </c>
      <c r="H2153" s="2">
        <f>36.91</f>
        <v>36.909999999999997</v>
      </c>
      <c r="I2153" t="s">
        <v>15</v>
      </c>
      <c r="J2153" t="s">
        <v>81</v>
      </c>
      <c r="K2153" t="str">
        <f>"6292601"</f>
        <v>6292601</v>
      </c>
    </row>
    <row r="2154" spans="1:11" x14ac:dyDescent="0.25">
      <c r="A2154">
        <v>2021</v>
      </c>
      <c r="B2154" t="s">
        <v>12278</v>
      </c>
      <c r="C2154" t="s">
        <v>12279</v>
      </c>
      <c r="D2154" t="s">
        <v>4326</v>
      </c>
      <c r="E2154" t="s">
        <v>20</v>
      </c>
      <c r="F2154" t="str">
        <f>"44131"</f>
        <v>44131</v>
      </c>
      <c r="G2154" t="str">
        <f>"402017"</f>
        <v>402017</v>
      </c>
      <c r="H2154" s="2">
        <f>200</f>
        <v>200</v>
      </c>
      <c r="I2154" t="s">
        <v>27</v>
      </c>
      <c r="J2154" t="s">
        <v>212</v>
      </c>
      <c r="K2154" t="str">
        <f>"33548"</f>
        <v>33548</v>
      </c>
    </row>
    <row r="2155" spans="1:11" x14ac:dyDescent="0.25">
      <c r="A2155">
        <v>2021</v>
      </c>
      <c r="B2155" t="s">
        <v>12280</v>
      </c>
      <c r="C2155" t="s">
        <v>12281</v>
      </c>
      <c r="D2155" t="s">
        <v>19</v>
      </c>
      <c r="E2155" t="s">
        <v>20</v>
      </c>
      <c r="F2155" t="str">
        <f>"43614"</f>
        <v>43614</v>
      </c>
      <c r="G2155" t="str">
        <f>"402019"</f>
        <v>402019</v>
      </c>
      <c r="H2155" s="2">
        <f>20</f>
        <v>20</v>
      </c>
      <c r="I2155" t="s">
        <v>27</v>
      </c>
      <c r="J2155" t="s">
        <v>42</v>
      </c>
      <c r="K2155" t="str">
        <f>"115353"</f>
        <v>115353</v>
      </c>
    </row>
    <row r="2156" spans="1:11" x14ac:dyDescent="0.25">
      <c r="A2156">
        <v>2021</v>
      </c>
      <c r="B2156" t="s">
        <v>12282</v>
      </c>
      <c r="C2156" t="s">
        <v>12283</v>
      </c>
      <c r="D2156" t="s">
        <v>19</v>
      </c>
      <c r="E2156" t="s">
        <v>20</v>
      </c>
      <c r="F2156" t="str">
        <f>"43609"</f>
        <v>43609</v>
      </c>
      <c r="G2156" t="str">
        <f>"Pio448069"</f>
        <v>Pio448069</v>
      </c>
      <c r="H2156" s="2">
        <f>1.55</f>
        <v>1.55</v>
      </c>
      <c r="I2156" t="s">
        <v>86</v>
      </c>
      <c r="J2156" t="s">
        <v>87</v>
      </c>
      <c r="K2156" t="str">
        <f>"0"</f>
        <v>0</v>
      </c>
    </row>
    <row r="2157" spans="1:11" x14ac:dyDescent="0.25">
      <c r="A2157">
        <v>2021</v>
      </c>
      <c r="B2157" t="s">
        <v>12292</v>
      </c>
      <c r="C2157" t="s">
        <v>12293</v>
      </c>
      <c r="D2157" t="s">
        <v>19</v>
      </c>
      <c r="E2157" t="s">
        <v>20</v>
      </c>
      <c r="F2157" t="str">
        <f>"43614"</f>
        <v>43614</v>
      </c>
      <c r="G2157" t="str">
        <f>"402018"</f>
        <v>402018</v>
      </c>
      <c r="H2157" s="2">
        <f>28.25</f>
        <v>28.25</v>
      </c>
      <c r="I2157" t="s">
        <v>27</v>
      </c>
      <c r="J2157" t="s">
        <v>171</v>
      </c>
      <c r="K2157" t="str">
        <f>"515894"</f>
        <v>515894</v>
      </c>
    </row>
    <row r="2158" spans="1:11" x14ac:dyDescent="0.25">
      <c r="A2158">
        <v>2021</v>
      </c>
      <c r="B2158" t="s">
        <v>12292</v>
      </c>
      <c r="C2158" t="s">
        <v>12294</v>
      </c>
      <c r="D2158" t="s">
        <v>19</v>
      </c>
      <c r="E2158" t="s">
        <v>20</v>
      </c>
      <c r="F2158" t="str">
        <f>"43614"</f>
        <v>43614</v>
      </c>
      <c r="G2158" t="str">
        <f>"402018"</f>
        <v>402018</v>
      </c>
      <c r="H2158" s="2">
        <f>2.06</f>
        <v>2.06</v>
      </c>
      <c r="I2158" t="s">
        <v>27</v>
      </c>
      <c r="J2158" t="s">
        <v>171</v>
      </c>
      <c r="K2158" t="str">
        <f>"517326"</f>
        <v>517326</v>
      </c>
    </row>
    <row r="2159" spans="1:11" x14ac:dyDescent="0.25">
      <c r="A2159">
        <v>2021</v>
      </c>
      <c r="B2159" t="s">
        <v>12297</v>
      </c>
      <c r="C2159" t="s">
        <v>12298</v>
      </c>
      <c r="D2159" t="s">
        <v>1944</v>
      </c>
      <c r="E2159" t="s">
        <v>1945</v>
      </c>
      <c r="F2159" t="str">
        <f>"85001"</f>
        <v>85001</v>
      </c>
      <c r="G2159" t="str">
        <f>"402018"</f>
        <v>402018</v>
      </c>
      <c r="H2159" s="2">
        <f>25</f>
        <v>25</v>
      </c>
      <c r="I2159" t="s">
        <v>27</v>
      </c>
      <c r="J2159" t="s">
        <v>171</v>
      </c>
      <c r="K2159" t="str">
        <f>"515608"</f>
        <v>515608</v>
      </c>
    </row>
    <row r="2160" spans="1:11" x14ac:dyDescent="0.25">
      <c r="A2160">
        <v>2021</v>
      </c>
      <c r="B2160" t="s">
        <v>12301</v>
      </c>
      <c r="C2160" t="s">
        <v>3314</v>
      </c>
      <c r="D2160" t="s">
        <v>1163</v>
      </c>
      <c r="E2160" t="s">
        <v>20</v>
      </c>
      <c r="F2160" t="str">
        <f>"45227"</f>
        <v>45227</v>
      </c>
      <c r="G2160" t="str">
        <f>"402017"</f>
        <v>402017</v>
      </c>
      <c r="H2160" s="2">
        <f>247.05</f>
        <v>247.05</v>
      </c>
      <c r="I2160" t="s">
        <v>27</v>
      </c>
      <c r="J2160" t="s">
        <v>212</v>
      </c>
      <c r="K2160" t="str">
        <f>"32499"</f>
        <v>32499</v>
      </c>
    </row>
    <row r="2161" spans="1:11" x14ac:dyDescent="0.25">
      <c r="A2161">
        <v>2021</v>
      </c>
      <c r="B2161" t="s">
        <v>12302</v>
      </c>
      <c r="C2161" t="s">
        <v>12303</v>
      </c>
      <c r="D2161" t="s">
        <v>50</v>
      </c>
      <c r="E2161" t="s">
        <v>20</v>
      </c>
      <c r="F2161" t="str">
        <f>"43560"</f>
        <v>43560</v>
      </c>
      <c r="G2161" t="str">
        <f>"402018"</f>
        <v>402018</v>
      </c>
      <c r="H2161" s="2">
        <f>80</f>
        <v>80</v>
      </c>
      <c r="I2161" t="s">
        <v>27</v>
      </c>
      <c r="J2161" t="s">
        <v>171</v>
      </c>
      <c r="K2161" t="str">
        <f>"515717"</f>
        <v>515717</v>
      </c>
    </row>
    <row r="2162" spans="1:11" x14ac:dyDescent="0.25">
      <c r="A2162">
        <v>2021</v>
      </c>
      <c r="B2162" t="s">
        <v>12307</v>
      </c>
      <c r="C2162" t="s">
        <v>12308</v>
      </c>
      <c r="D2162" t="s">
        <v>19</v>
      </c>
      <c r="E2162" t="s">
        <v>20</v>
      </c>
      <c r="F2162" t="str">
        <f>"43602"</f>
        <v>43602</v>
      </c>
      <c r="G2162" t="str">
        <f>"Pio448069"</f>
        <v>Pio448069</v>
      </c>
      <c r="H2162" s="2">
        <f>24.53</f>
        <v>24.53</v>
      </c>
      <c r="I2162" t="s">
        <v>86</v>
      </c>
      <c r="J2162" t="s">
        <v>87</v>
      </c>
      <c r="K2162" t="str">
        <f>"0"</f>
        <v>0</v>
      </c>
    </row>
    <row r="2163" spans="1:11" x14ac:dyDescent="0.25">
      <c r="A2163">
        <v>2021</v>
      </c>
      <c r="B2163" t="s">
        <v>12309</v>
      </c>
      <c r="C2163" t="s">
        <v>12310</v>
      </c>
      <c r="D2163" t="s">
        <v>19</v>
      </c>
      <c r="E2163" t="s">
        <v>20</v>
      </c>
      <c r="F2163" t="str">
        <f>"43604"</f>
        <v>43604</v>
      </c>
      <c r="G2163" t="str">
        <f>"Pio448069"</f>
        <v>Pio448069</v>
      </c>
      <c r="H2163" s="2">
        <f>20</f>
        <v>20</v>
      </c>
      <c r="I2163" t="s">
        <v>86</v>
      </c>
      <c r="J2163" t="s">
        <v>87</v>
      </c>
      <c r="K2163" t="str">
        <f>"0"</f>
        <v>0</v>
      </c>
    </row>
    <row r="2164" spans="1:11" x14ac:dyDescent="0.25">
      <c r="A2164">
        <v>2021</v>
      </c>
      <c r="B2164" t="s">
        <v>12311</v>
      </c>
      <c r="C2164" t="s">
        <v>12312</v>
      </c>
      <c r="D2164" t="s">
        <v>19</v>
      </c>
      <c r="E2164" t="s">
        <v>20</v>
      </c>
      <c r="F2164" t="str">
        <f>"43609"</f>
        <v>43609</v>
      </c>
      <c r="G2164" t="str">
        <f>"Pio448069"</f>
        <v>Pio448069</v>
      </c>
      <c r="H2164" s="2">
        <f>22</f>
        <v>22</v>
      </c>
      <c r="I2164" t="s">
        <v>86</v>
      </c>
      <c r="J2164" t="s">
        <v>87</v>
      </c>
      <c r="K2164" t="str">
        <f>"0"</f>
        <v>0</v>
      </c>
    </row>
    <row r="2165" spans="1:11" x14ac:dyDescent="0.25">
      <c r="A2165">
        <v>2021</v>
      </c>
      <c r="B2165" t="s">
        <v>12313</v>
      </c>
      <c r="C2165" t="s">
        <v>12314</v>
      </c>
      <c r="D2165" t="s">
        <v>19</v>
      </c>
      <c r="E2165" t="s">
        <v>20</v>
      </c>
      <c r="F2165" t="str">
        <f>"43607"</f>
        <v>43607</v>
      </c>
      <c r="G2165" t="str">
        <f>"Pio448069"</f>
        <v>Pio448069</v>
      </c>
      <c r="H2165" s="2">
        <f>0.41</f>
        <v>0.41</v>
      </c>
      <c r="I2165" t="s">
        <v>86</v>
      </c>
      <c r="J2165" t="s">
        <v>87</v>
      </c>
      <c r="K2165" t="str">
        <f>"0"</f>
        <v>0</v>
      </c>
    </row>
    <row r="2166" spans="1:11" x14ac:dyDescent="0.25">
      <c r="A2166">
        <v>2021</v>
      </c>
      <c r="B2166" t="s">
        <v>12318</v>
      </c>
      <c r="C2166" t="s">
        <v>12319</v>
      </c>
      <c r="D2166" t="s">
        <v>1286</v>
      </c>
      <c r="E2166" t="s">
        <v>20</v>
      </c>
      <c r="F2166" t="str">
        <f>"43567"</f>
        <v>43567</v>
      </c>
      <c r="G2166" t="str">
        <f>"397019"</f>
        <v>397019</v>
      </c>
      <c r="H2166" s="2">
        <f>159</f>
        <v>159</v>
      </c>
      <c r="I2166" t="s">
        <v>519</v>
      </c>
      <c r="J2166" t="s">
        <v>519</v>
      </c>
      <c r="K2166" t="str">
        <f>"9971"</f>
        <v>9971</v>
      </c>
    </row>
    <row r="2167" spans="1:11" x14ac:dyDescent="0.25">
      <c r="A2167">
        <v>2021</v>
      </c>
      <c r="B2167" t="s">
        <v>12320</v>
      </c>
      <c r="C2167" t="s">
        <v>12321</v>
      </c>
      <c r="D2167" t="s">
        <v>1163</v>
      </c>
      <c r="E2167" t="s">
        <v>20</v>
      </c>
      <c r="F2167" t="str">
        <f>"45202"</f>
        <v>45202</v>
      </c>
      <c r="G2167" t="str">
        <f>"402017"</f>
        <v>402017</v>
      </c>
      <c r="H2167" s="2">
        <f>3.59</f>
        <v>3.59</v>
      </c>
      <c r="I2167" t="s">
        <v>27</v>
      </c>
      <c r="J2167" t="s">
        <v>212</v>
      </c>
      <c r="K2167" t="str">
        <f>"34599"</f>
        <v>34599</v>
      </c>
    </row>
    <row r="2168" spans="1:11" x14ac:dyDescent="0.25">
      <c r="A2168">
        <v>2021</v>
      </c>
      <c r="B2168" t="s">
        <v>12322</v>
      </c>
      <c r="C2168" t="s">
        <v>12323</v>
      </c>
      <c r="D2168" t="s">
        <v>12324</v>
      </c>
      <c r="E2168" t="s">
        <v>462</v>
      </c>
      <c r="F2168" t="str">
        <f>"32164"</f>
        <v>32164</v>
      </c>
      <c r="G2168" t="str">
        <f>"402018"</f>
        <v>402018</v>
      </c>
      <c r="H2168" s="2">
        <f>9.08</f>
        <v>9.08</v>
      </c>
      <c r="I2168" t="s">
        <v>27</v>
      </c>
      <c r="J2168" t="s">
        <v>171</v>
      </c>
      <c r="K2168" t="str">
        <f>"517739"</f>
        <v>517739</v>
      </c>
    </row>
    <row r="2169" spans="1:11" x14ac:dyDescent="0.25">
      <c r="A2169">
        <v>2021</v>
      </c>
      <c r="B2169" t="s">
        <v>12325</v>
      </c>
      <c r="C2169" t="s">
        <v>12326</v>
      </c>
      <c r="D2169" t="s">
        <v>2715</v>
      </c>
      <c r="E2169" t="s">
        <v>20</v>
      </c>
      <c r="F2169" t="str">
        <f>"43450"</f>
        <v>43450</v>
      </c>
      <c r="G2169" t="str">
        <f>"402018"</f>
        <v>402018</v>
      </c>
      <c r="H2169" s="2">
        <f>9.08</f>
        <v>9.08</v>
      </c>
      <c r="I2169" t="s">
        <v>27</v>
      </c>
      <c r="J2169" t="s">
        <v>171</v>
      </c>
      <c r="K2169" t="str">
        <f>"517741"</f>
        <v>517741</v>
      </c>
    </row>
    <row r="2170" spans="1:11" x14ac:dyDescent="0.25">
      <c r="A2170">
        <v>2021</v>
      </c>
      <c r="B2170" t="s">
        <v>12333</v>
      </c>
      <c r="C2170" t="s">
        <v>3314</v>
      </c>
      <c r="D2170" t="s">
        <v>1163</v>
      </c>
      <c r="E2170" t="s">
        <v>20</v>
      </c>
      <c r="F2170" t="str">
        <f>"45227"</f>
        <v>45227</v>
      </c>
      <c r="G2170" t="str">
        <f>"402017"</f>
        <v>402017</v>
      </c>
      <c r="H2170" s="2">
        <f>247.5</f>
        <v>247.5</v>
      </c>
      <c r="I2170" t="s">
        <v>27</v>
      </c>
      <c r="J2170" t="s">
        <v>212</v>
      </c>
      <c r="K2170" t="str">
        <f>"33311"</f>
        <v>33311</v>
      </c>
    </row>
    <row r="2171" spans="1:11" x14ac:dyDescent="0.25">
      <c r="A2171">
        <v>2021</v>
      </c>
      <c r="B2171" t="s">
        <v>12352</v>
      </c>
      <c r="C2171" t="s">
        <v>12353</v>
      </c>
      <c r="D2171" t="s">
        <v>5231</v>
      </c>
      <c r="E2171" t="s">
        <v>20</v>
      </c>
      <c r="F2171" t="str">
        <f>"44145"</f>
        <v>44145</v>
      </c>
      <c r="G2171" t="str">
        <f>"402017"</f>
        <v>402017</v>
      </c>
      <c r="H2171" s="2">
        <f>125</f>
        <v>125</v>
      </c>
      <c r="I2171" t="s">
        <v>27</v>
      </c>
      <c r="J2171" t="s">
        <v>212</v>
      </c>
      <c r="K2171" t="str">
        <f>"35870"</f>
        <v>35870</v>
      </c>
    </row>
    <row r="2172" spans="1:11" x14ac:dyDescent="0.25">
      <c r="A2172">
        <v>2021</v>
      </c>
      <c r="B2172" t="s">
        <v>12360</v>
      </c>
      <c r="C2172" t="s">
        <v>12361</v>
      </c>
      <c r="D2172" t="s">
        <v>19</v>
      </c>
      <c r="E2172" t="s">
        <v>20</v>
      </c>
      <c r="F2172" t="str">
        <f>"43613"</f>
        <v>43613</v>
      </c>
      <c r="G2172" t="str">
        <f>"Pio448069"</f>
        <v>Pio448069</v>
      </c>
      <c r="H2172" s="2">
        <f>12</f>
        <v>12</v>
      </c>
      <c r="I2172" t="s">
        <v>86</v>
      </c>
      <c r="J2172" t="s">
        <v>87</v>
      </c>
      <c r="K2172" t="str">
        <f>"0"</f>
        <v>0</v>
      </c>
    </row>
    <row r="2173" spans="1:11" x14ac:dyDescent="0.25">
      <c r="A2173">
        <v>2021</v>
      </c>
      <c r="B2173" t="s">
        <v>12364</v>
      </c>
      <c r="C2173" t="s">
        <v>12365</v>
      </c>
      <c r="D2173" t="s">
        <v>125</v>
      </c>
      <c r="E2173" t="s">
        <v>20</v>
      </c>
      <c r="F2173" t="str">
        <f>"43537"</f>
        <v>43537</v>
      </c>
      <c r="G2173" t="str">
        <f>"402063"</f>
        <v>402063</v>
      </c>
      <c r="H2173" s="2">
        <f>4.25</f>
        <v>4.25</v>
      </c>
      <c r="I2173" t="s">
        <v>27</v>
      </c>
      <c r="J2173" t="s">
        <v>71</v>
      </c>
      <c r="K2173" t="str">
        <f>"22020467"</f>
        <v>22020467</v>
      </c>
    </row>
    <row r="2174" spans="1:11" x14ac:dyDescent="0.25">
      <c r="A2174">
        <v>2021</v>
      </c>
      <c r="B2174" t="s">
        <v>12364</v>
      </c>
      <c r="C2174" t="s">
        <v>12365</v>
      </c>
      <c r="D2174" t="s">
        <v>125</v>
      </c>
      <c r="E2174" t="s">
        <v>20</v>
      </c>
      <c r="F2174" t="str">
        <f>"43537"</f>
        <v>43537</v>
      </c>
      <c r="G2174" t="str">
        <f>"402063"</f>
        <v>402063</v>
      </c>
      <c r="H2174" s="2">
        <f>222.99</f>
        <v>222.99</v>
      </c>
      <c r="I2174" t="s">
        <v>27</v>
      </c>
      <c r="J2174" t="s">
        <v>71</v>
      </c>
      <c r="K2174" t="str">
        <f>"22019873"</f>
        <v>22019873</v>
      </c>
    </row>
    <row r="2175" spans="1:11" x14ac:dyDescent="0.25">
      <c r="A2175">
        <v>2021</v>
      </c>
      <c r="B2175" t="s">
        <v>12376</v>
      </c>
      <c r="C2175" t="s">
        <v>12377</v>
      </c>
      <c r="D2175" t="s">
        <v>12378</v>
      </c>
      <c r="E2175" t="s">
        <v>20</v>
      </c>
      <c r="F2175" t="str">
        <f>"45831"</f>
        <v>45831</v>
      </c>
      <c r="G2175" t="str">
        <f>"Je061721"</f>
        <v>Je061721</v>
      </c>
      <c r="H2175" s="2">
        <f>18.49</f>
        <v>18.489999999999998</v>
      </c>
      <c r="I2175" t="s">
        <v>15</v>
      </c>
      <c r="J2175" t="s">
        <v>137</v>
      </c>
      <c r="K2175" t="str">
        <f>"60004057"</f>
        <v>60004057</v>
      </c>
    </row>
    <row r="2176" spans="1:11" x14ac:dyDescent="0.25">
      <c r="A2176">
        <v>2021</v>
      </c>
      <c r="B2176" t="s">
        <v>12376</v>
      </c>
      <c r="C2176" t="s">
        <v>12377</v>
      </c>
      <c r="D2176" t="s">
        <v>12378</v>
      </c>
      <c r="E2176" t="s">
        <v>20</v>
      </c>
      <c r="F2176" t="str">
        <f>"45831"</f>
        <v>45831</v>
      </c>
      <c r="G2176" t="str">
        <f>"Je061721"</f>
        <v>Je061721</v>
      </c>
      <c r="H2176" s="2">
        <f>18.49</f>
        <v>18.489999999999998</v>
      </c>
      <c r="I2176" t="s">
        <v>15</v>
      </c>
      <c r="J2176" t="s">
        <v>137</v>
      </c>
      <c r="K2176" t="str">
        <f>"60001071"</f>
        <v>60001071</v>
      </c>
    </row>
    <row r="2177" spans="1:11" x14ac:dyDescent="0.25">
      <c r="A2177">
        <v>2021</v>
      </c>
      <c r="B2177" t="s">
        <v>12379</v>
      </c>
      <c r="C2177" t="s">
        <v>12380</v>
      </c>
      <c r="D2177" t="s">
        <v>125</v>
      </c>
      <c r="E2177" t="s">
        <v>20</v>
      </c>
      <c r="F2177" t="str">
        <f>"43537"</f>
        <v>43537</v>
      </c>
      <c r="G2177" t="str">
        <f>"Pio448069"</f>
        <v>Pio448069</v>
      </c>
      <c r="H2177" s="2">
        <f>14.91</f>
        <v>14.91</v>
      </c>
      <c r="I2177" t="s">
        <v>86</v>
      </c>
      <c r="J2177" t="s">
        <v>87</v>
      </c>
      <c r="K2177" t="str">
        <f>"0"</f>
        <v>0</v>
      </c>
    </row>
    <row r="2178" spans="1:11" x14ac:dyDescent="0.25">
      <c r="A2178">
        <v>2021</v>
      </c>
      <c r="B2178" t="s">
        <v>12383</v>
      </c>
      <c r="C2178" t="s">
        <v>12384</v>
      </c>
      <c r="D2178" t="s">
        <v>19</v>
      </c>
      <c r="E2178" t="s">
        <v>20</v>
      </c>
      <c r="F2178" t="str">
        <f>"43620"</f>
        <v>43620</v>
      </c>
      <c r="G2178" t="str">
        <f>"Pio448069"</f>
        <v>Pio448069</v>
      </c>
      <c r="H2178" s="2">
        <f>3.22</f>
        <v>3.22</v>
      </c>
      <c r="I2178" t="s">
        <v>86</v>
      </c>
      <c r="J2178" t="s">
        <v>87</v>
      </c>
      <c r="K2178" t="str">
        <f>"0"</f>
        <v>0</v>
      </c>
    </row>
    <row r="2179" spans="1:11" x14ac:dyDescent="0.25">
      <c r="A2179">
        <v>2021</v>
      </c>
      <c r="B2179" t="s">
        <v>12385</v>
      </c>
      <c r="C2179" t="s">
        <v>12386</v>
      </c>
      <c r="D2179" t="s">
        <v>19</v>
      </c>
      <c r="E2179" t="s">
        <v>20</v>
      </c>
      <c r="F2179" t="str">
        <f>"43609"</f>
        <v>43609</v>
      </c>
      <c r="G2179" t="str">
        <f>"Pio448069"</f>
        <v>Pio448069</v>
      </c>
      <c r="H2179" s="2">
        <f>6</f>
        <v>6</v>
      </c>
      <c r="I2179" t="s">
        <v>86</v>
      </c>
      <c r="J2179" t="s">
        <v>87</v>
      </c>
      <c r="K2179" t="str">
        <f>"0"</f>
        <v>0</v>
      </c>
    </row>
    <row r="2180" spans="1:11" x14ac:dyDescent="0.25">
      <c r="A2180">
        <v>2021</v>
      </c>
      <c r="B2180" t="s">
        <v>12389</v>
      </c>
      <c r="C2180" t="s">
        <v>12390</v>
      </c>
      <c r="D2180" t="s">
        <v>19</v>
      </c>
      <c r="E2180" t="s">
        <v>20</v>
      </c>
      <c r="F2180" t="str">
        <f>"43615"</f>
        <v>43615</v>
      </c>
      <c r="G2180" t="str">
        <f>"402018"</f>
        <v>402018</v>
      </c>
      <c r="H2180" s="2">
        <f>1.82</f>
        <v>1.82</v>
      </c>
      <c r="I2180" t="s">
        <v>27</v>
      </c>
      <c r="J2180" t="s">
        <v>171</v>
      </c>
      <c r="K2180" t="str">
        <f>"517783"</f>
        <v>517783</v>
      </c>
    </row>
    <row r="2181" spans="1:11" x14ac:dyDescent="0.25">
      <c r="A2181">
        <v>2021</v>
      </c>
      <c r="B2181" t="s">
        <v>12389</v>
      </c>
      <c r="C2181" t="s">
        <v>12390</v>
      </c>
      <c r="D2181" t="s">
        <v>19</v>
      </c>
      <c r="E2181" t="s">
        <v>20</v>
      </c>
      <c r="F2181" t="str">
        <f>"43615"</f>
        <v>43615</v>
      </c>
      <c r="G2181" t="str">
        <f>"402018"</f>
        <v>402018</v>
      </c>
      <c r="H2181" s="2">
        <f>1.67</f>
        <v>1.67</v>
      </c>
      <c r="I2181" t="s">
        <v>27</v>
      </c>
      <c r="J2181" t="s">
        <v>171</v>
      </c>
      <c r="K2181" t="str">
        <f>"515657"</f>
        <v>515657</v>
      </c>
    </row>
    <row r="2182" spans="1:11" x14ac:dyDescent="0.25">
      <c r="A2182">
        <v>2021</v>
      </c>
      <c r="B2182" t="s">
        <v>12389</v>
      </c>
      <c r="C2182" t="s">
        <v>12390</v>
      </c>
      <c r="D2182" t="s">
        <v>19</v>
      </c>
      <c r="E2182" t="s">
        <v>20</v>
      </c>
      <c r="F2182" t="str">
        <f>"43615"</f>
        <v>43615</v>
      </c>
      <c r="G2182" t="str">
        <f>"402018"</f>
        <v>402018</v>
      </c>
      <c r="H2182" s="2">
        <f>3.34</f>
        <v>3.34</v>
      </c>
      <c r="I2182" t="s">
        <v>27</v>
      </c>
      <c r="J2182" t="s">
        <v>171</v>
      </c>
      <c r="K2182" t="str">
        <f>"516357"</f>
        <v>516357</v>
      </c>
    </row>
    <row r="2183" spans="1:11" x14ac:dyDescent="0.25">
      <c r="A2183">
        <v>2021</v>
      </c>
      <c r="B2183" t="s">
        <v>12389</v>
      </c>
      <c r="C2183" t="s">
        <v>12390</v>
      </c>
      <c r="D2183" t="s">
        <v>19</v>
      </c>
      <c r="E2183" t="s">
        <v>20</v>
      </c>
      <c r="F2183" t="str">
        <f>"43615"</f>
        <v>43615</v>
      </c>
      <c r="G2183" t="str">
        <f>"402018"</f>
        <v>402018</v>
      </c>
      <c r="H2183" s="2">
        <f>2.09</f>
        <v>2.09</v>
      </c>
      <c r="I2183" t="s">
        <v>27</v>
      </c>
      <c r="J2183" t="s">
        <v>171</v>
      </c>
      <c r="K2183" t="str">
        <f>"516551"</f>
        <v>516551</v>
      </c>
    </row>
    <row r="2184" spans="1:11" x14ac:dyDescent="0.25">
      <c r="A2184">
        <v>2021</v>
      </c>
      <c r="B2184" t="s">
        <v>12389</v>
      </c>
      <c r="C2184" t="s">
        <v>12390</v>
      </c>
      <c r="D2184" t="s">
        <v>19</v>
      </c>
      <c r="E2184" t="s">
        <v>20</v>
      </c>
      <c r="F2184" t="str">
        <f>"43615"</f>
        <v>43615</v>
      </c>
      <c r="G2184" t="str">
        <f>"402018"</f>
        <v>402018</v>
      </c>
      <c r="H2184" s="2">
        <f>1.82</f>
        <v>1.82</v>
      </c>
      <c r="I2184" t="s">
        <v>27</v>
      </c>
      <c r="J2184" t="s">
        <v>171</v>
      </c>
      <c r="K2184" t="str">
        <f>"517925"</f>
        <v>517925</v>
      </c>
    </row>
    <row r="2185" spans="1:11" x14ac:dyDescent="0.25">
      <c r="A2185">
        <v>2021</v>
      </c>
      <c r="B2185" t="s">
        <v>12393</v>
      </c>
      <c r="C2185" t="s">
        <v>12394</v>
      </c>
      <c r="D2185" t="s">
        <v>125</v>
      </c>
      <c r="E2185" t="s">
        <v>20</v>
      </c>
      <c r="F2185" t="str">
        <f>"43537"</f>
        <v>43537</v>
      </c>
      <c r="G2185" t="str">
        <f>"Pio448069"</f>
        <v>Pio448069</v>
      </c>
      <c r="H2185" s="2">
        <f>0.27</f>
        <v>0.27</v>
      </c>
      <c r="I2185" t="s">
        <v>86</v>
      </c>
      <c r="J2185" t="s">
        <v>87</v>
      </c>
      <c r="K2185" t="str">
        <f>"0"</f>
        <v>0</v>
      </c>
    </row>
    <row r="2186" spans="1:11" x14ac:dyDescent="0.25">
      <c r="A2186">
        <v>2021</v>
      </c>
      <c r="B2186" t="s">
        <v>12411</v>
      </c>
      <c r="C2186" t="s">
        <v>12412</v>
      </c>
      <c r="D2186" t="s">
        <v>19</v>
      </c>
      <c r="E2186" t="s">
        <v>20</v>
      </c>
      <c r="F2186" t="str">
        <f>"43604"</f>
        <v>43604</v>
      </c>
      <c r="G2186" t="str">
        <f>"Je092221"</f>
        <v>Je092221</v>
      </c>
      <c r="H2186" s="2">
        <f>35</f>
        <v>35</v>
      </c>
      <c r="I2186" t="s">
        <v>15</v>
      </c>
      <c r="J2186" t="s">
        <v>114</v>
      </c>
      <c r="K2186" t="str">
        <f>"60011699"</f>
        <v>60011699</v>
      </c>
    </row>
    <row r="2187" spans="1:11" x14ac:dyDescent="0.25">
      <c r="A2187">
        <v>2021</v>
      </c>
      <c r="B2187" t="s">
        <v>12413</v>
      </c>
      <c r="C2187" t="s">
        <v>12414</v>
      </c>
      <c r="D2187" t="s">
        <v>19</v>
      </c>
      <c r="E2187" t="s">
        <v>20</v>
      </c>
      <c r="F2187" t="str">
        <f>"43605-2821"</f>
        <v>43605-2821</v>
      </c>
      <c r="G2187" t="str">
        <f>"402019"</f>
        <v>402019</v>
      </c>
      <c r="H2187" s="2">
        <f>10</f>
        <v>10</v>
      </c>
      <c r="I2187" t="s">
        <v>27</v>
      </c>
      <c r="J2187" t="s">
        <v>42</v>
      </c>
      <c r="K2187" t="str">
        <f>"112747"</f>
        <v>112747</v>
      </c>
    </row>
    <row r="2188" spans="1:11" x14ac:dyDescent="0.25">
      <c r="A2188">
        <v>2021</v>
      </c>
      <c r="B2188" t="s">
        <v>12419</v>
      </c>
      <c r="C2188" t="s">
        <v>12420</v>
      </c>
      <c r="D2188" t="s">
        <v>19</v>
      </c>
      <c r="E2188" t="s">
        <v>20</v>
      </c>
      <c r="F2188" t="str">
        <f>"43611-1736"</f>
        <v>43611-1736</v>
      </c>
      <c r="G2188" t="str">
        <f>"402019"</f>
        <v>402019</v>
      </c>
      <c r="H2188" s="2">
        <f>10</f>
        <v>10</v>
      </c>
      <c r="I2188" t="s">
        <v>27</v>
      </c>
      <c r="J2188" t="s">
        <v>42</v>
      </c>
      <c r="K2188" t="str">
        <f>"114661"</f>
        <v>114661</v>
      </c>
    </row>
    <row r="2189" spans="1:11" x14ac:dyDescent="0.25">
      <c r="A2189">
        <v>2021</v>
      </c>
      <c r="B2189" t="s">
        <v>12440</v>
      </c>
      <c r="C2189" t="s">
        <v>12441</v>
      </c>
      <c r="D2189" t="s">
        <v>50</v>
      </c>
      <c r="E2189" t="s">
        <v>20</v>
      </c>
      <c r="F2189" t="str">
        <f>"43560-3450"</f>
        <v>43560-3450</v>
      </c>
      <c r="G2189" t="str">
        <f>"402019"</f>
        <v>402019</v>
      </c>
      <c r="H2189" s="2">
        <f>20</f>
        <v>20</v>
      </c>
      <c r="I2189" t="s">
        <v>27</v>
      </c>
      <c r="J2189" t="s">
        <v>42</v>
      </c>
      <c r="K2189" t="str">
        <f>"113530"</f>
        <v>113530</v>
      </c>
    </row>
    <row r="2190" spans="1:11" x14ac:dyDescent="0.25">
      <c r="A2190">
        <v>2021</v>
      </c>
      <c r="B2190" t="s">
        <v>12442</v>
      </c>
      <c r="C2190" t="s">
        <v>12443</v>
      </c>
      <c r="D2190" t="s">
        <v>19</v>
      </c>
      <c r="E2190" t="s">
        <v>20</v>
      </c>
      <c r="F2190" t="str">
        <f>"43605"</f>
        <v>43605</v>
      </c>
      <c r="G2190" t="str">
        <f>"Pio448069"</f>
        <v>Pio448069</v>
      </c>
      <c r="H2190" s="2">
        <f>1.53</f>
        <v>1.53</v>
      </c>
      <c r="I2190" t="s">
        <v>86</v>
      </c>
      <c r="J2190" t="s">
        <v>87</v>
      </c>
      <c r="K2190" t="str">
        <f>"0"</f>
        <v>0</v>
      </c>
    </row>
    <row r="2191" spans="1:11" x14ac:dyDescent="0.25">
      <c r="A2191">
        <v>2021</v>
      </c>
      <c r="B2191" t="s">
        <v>12456</v>
      </c>
      <c r="C2191" t="s">
        <v>12457</v>
      </c>
      <c r="D2191" t="s">
        <v>12458</v>
      </c>
      <c r="E2191" t="s">
        <v>20</v>
      </c>
      <c r="F2191" t="str">
        <f>"43457"</f>
        <v>43457</v>
      </c>
      <c r="G2191" t="str">
        <f>"Je110321"</f>
        <v>Je110321</v>
      </c>
      <c r="H2191" s="2">
        <f>35.4</f>
        <v>35.4</v>
      </c>
      <c r="I2191" t="s">
        <v>15</v>
      </c>
      <c r="J2191" t="s">
        <v>596</v>
      </c>
      <c r="K2191" t="str">
        <f>"60024134"</f>
        <v>60024134</v>
      </c>
    </row>
    <row r="2192" spans="1:11" x14ac:dyDescent="0.25">
      <c r="A2192">
        <v>2021</v>
      </c>
      <c r="B2192" t="s">
        <v>12473</v>
      </c>
      <c r="C2192" t="s">
        <v>12474</v>
      </c>
      <c r="D2192" t="s">
        <v>19</v>
      </c>
      <c r="E2192" t="s">
        <v>20</v>
      </c>
      <c r="F2192" t="str">
        <f>"43607"</f>
        <v>43607</v>
      </c>
      <c r="G2192" t="str">
        <f>"Pio448069"</f>
        <v>Pio448069</v>
      </c>
      <c r="H2192" s="2">
        <f>22</f>
        <v>22</v>
      </c>
      <c r="I2192" t="s">
        <v>86</v>
      </c>
      <c r="J2192" t="s">
        <v>87</v>
      </c>
      <c r="K2192" t="str">
        <f>"0"</f>
        <v>0</v>
      </c>
    </row>
    <row r="2193" spans="1:11" x14ac:dyDescent="0.25">
      <c r="A2193">
        <v>2021</v>
      </c>
      <c r="B2193" t="s">
        <v>12475</v>
      </c>
      <c r="C2193" t="s">
        <v>12476</v>
      </c>
      <c r="D2193" t="s">
        <v>19</v>
      </c>
      <c r="E2193" t="s">
        <v>20</v>
      </c>
      <c r="F2193" t="str">
        <f>"43604"</f>
        <v>43604</v>
      </c>
      <c r="G2193" t="str">
        <f>"Pio448069"</f>
        <v>Pio448069</v>
      </c>
      <c r="H2193" s="2">
        <f>70.24</f>
        <v>70.239999999999995</v>
      </c>
      <c r="I2193" t="s">
        <v>86</v>
      </c>
      <c r="J2193" t="s">
        <v>87</v>
      </c>
      <c r="K2193" t="str">
        <f>"0"</f>
        <v>0</v>
      </c>
    </row>
    <row r="2194" spans="1:11" x14ac:dyDescent="0.25">
      <c r="A2194">
        <v>2021</v>
      </c>
      <c r="B2194" t="s">
        <v>12477</v>
      </c>
      <c r="C2194" t="s">
        <v>12478</v>
      </c>
      <c r="D2194" t="s">
        <v>19</v>
      </c>
      <c r="E2194" t="s">
        <v>20</v>
      </c>
      <c r="F2194" t="str">
        <f>"43607"</f>
        <v>43607</v>
      </c>
      <c r="G2194" t="str">
        <f>"Pio448069"</f>
        <v>Pio448069</v>
      </c>
      <c r="H2194" s="2">
        <f>17.5</f>
        <v>17.5</v>
      </c>
      <c r="I2194" t="s">
        <v>86</v>
      </c>
      <c r="J2194" t="s">
        <v>87</v>
      </c>
      <c r="K2194" t="str">
        <f>"0"</f>
        <v>0</v>
      </c>
    </row>
    <row r="2195" spans="1:11" x14ac:dyDescent="0.25">
      <c r="A2195">
        <v>2021</v>
      </c>
      <c r="B2195" t="s">
        <v>12479</v>
      </c>
      <c r="C2195" t="s">
        <v>12480</v>
      </c>
      <c r="D2195" t="s">
        <v>19</v>
      </c>
      <c r="E2195" t="s">
        <v>20</v>
      </c>
      <c r="F2195" t="str">
        <f>"43612"</f>
        <v>43612</v>
      </c>
      <c r="G2195" t="str">
        <f>"Pio448069"</f>
        <v>Pio448069</v>
      </c>
      <c r="H2195" s="2">
        <f>19</f>
        <v>19</v>
      </c>
      <c r="I2195" t="s">
        <v>86</v>
      </c>
      <c r="J2195" t="s">
        <v>87</v>
      </c>
      <c r="K2195" t="str">
        <f>"0"</f>
        <v>0</v>
      </c>
    </row>
    <row r="2196" spans="1:11" x14ac:dyDescent="0.25">
      <c r="A2196">
        <v>2021</v>
      </c>
      <c r="B2196" t="s">
        <v>12486</v>
      </c>
      <c r="C2196" t="s">
        <v>12487</v>
      </c>
      <c r="D2196" t="s">
        <v>125</v>
      </c>
      <c r="E2196" t="s">
        <v>20</v>
      </c>
      <c r="F2196" t="str">
        <f>"43537"</f>
        <v>43537</v>
      </c>
      <c r="G2196" t="str">
        <f>"Swucf4621"</f>
        <v>Swucf4621</v>
      </c>
      <c r="H2196" s="2">
        <f>471.47</f>
        <v>471.47</v>
      </c>
      <c r="I2196" t="s">
        <v>15</v>
      </c>
      <c r="J2196" t="s">
        <v>81</v>
      </c>
      <c r="K2196" t="str">
        <f>"6292941"</f>
        <v>6292941</v>
      </c>
    </row>
    <row r="2197" spans="1:11" x14ac:dyDescent="0.25">
      <c r="A2197">
        <v>2021</v>
      </c>
      <c r="B2197" t="s">
        <v>12494</v>
      </c>
      <c r="C2197" t="s">
        <v>12495</v>
      </c>
      <c r="D2197" t="s">
        <v>19</v>
      </c>
      <c r="E2197" t="s">
        <v>20</v>
      </c>
      <c r="F2197" t="str">
        <f>"43607"</f>
        <v>43607</v>
      </c>
      <c r="G2197" t="str">
        <f>"Pio448069"</f>
        <v>Pio448069</v>
      </c>
      <c r="H2197" s="2">
        <f>0.21</f>
        <v>0.21</v>
      </c>
      <c r="I2197" t="s">
        <v>86</v>
      </c>
      <c r="J2197" t="s">
        <v>87</v>
      </c>
      <c r="K2197" t="str">
        <f>"0"</f>
        <v>0</v>
      </c>
    </row>
    <row r="2198" spans="1:11" x14ac:dyDescent="0.25">
      <c r="A2198">
        <v>2021</v>
      </c>
      <c r="B2198" t="s">
        <v>12498</v>
      </c>
      <c r="C2198" t="s">
        <v>4201</v>
      </c>
      <c r="D2198" t="s">
        <v>1163</v>
      </c>
      <c r="E2198" t="s">
        <v>20</v>
      </c>
      <c r="F2198" t="str">
        <f>"45227"</f>
        <v>45227</v>
      </c>
      <c r="G2198" t="str">
        <f>"402017"</f>
        <v>402017</v>
      </c>
      <c r="H2198" s="2">
        <f>550</f>
        <v>550</v>
      </c>
      <c r="I2198" t="s">
        <v>27</v>
      </c>
      <c r="J2198" t="s">
        <v>212</v>
      </c>
      <c r="K2198" t="str">
        <f>"32676"</f>
        <v>32676</v>
      </c>
    </row>
    <row r="2199" spans="1:11" x14ac:dyDescent="0.25">
      <c r="A2199">
        <v>2021</v>
      </c>
      <c r="B2199" t="s">
        <v>12499</v>
      </c>
      <c r="C2199" t="s">
        <v>12500</v>
      </c>
      <c r="D2199" t="s">
        <v>19</v>
      </c>
      <c r="E2199" t="s">
        <v>20</v>
      </c>
      <c r="F2199" t="str">
        <f>"43607"</f>
        <v>43607</v>
      </c>
      <c r="G2199" t="str">
        <f>"Pio448069"</f>
        <v>Pio448069</v>
      </c>
      <c r="H2199" s="2">
        <f>3.75</f>
        <v>3.75</v>
      </c>
      <c r="I2199" t="s">
        <v>86</v>
      </c>
      <c r="J2199" t="s">
        <v>87</v>
      </c>
      <c r="K2199" t="str">
        <f>"0"</f>
        <v>0</v>
      </c>
    </row>
    <row r="2200" spans="1:11" x14ac:dyDescent="0.25">
      <c r="A2200">
        <v>2021</v>
      </c>
      <c r="B2200" t="s">
        <v>12501</v>
      </c>
      <c r="C2200" t="s">
        <v>2606</v>
      </c>
      <c r="D2200" t="s">
        <v>19</v>
      </c>
      <c r="E2200" t="s">
        <v>20</v>
      </c>
      <c r="F2200" t="str">
        <f>"43605"</f>
        <v>43605</v>
      </c>
      <c r="G2200" t="str">
        <f>"Pio448069"</f>
        <v>Pio448069</v>
      </c>
      <c r="H2200" s="2">
        <f>0.69</f>
        <v>0.69</v>
      </c>
      <c r="I2200" t="s">
        <v>86</v>
      </c>
      <c r="J2200" t="s">
        <v>87</v>
      </c>
      <c r="K2200" t="str">
        <f>"0"</f>
        <v>0</v>
      </c>
    </row>
    <row r="2201" spans="1:11" x14ac:dyDescent="0.25">
      <c r="A2201">
        <v>2021</v>
      </c>
      <c r="B2201" t="s">
        <v>12502</v>
      </c>
      <c r="C2201" t="s">
        <v>12503</v>
      </c>
      <c r="D2201" t="s">
        <v>12504</v>
      </c>
      <c r="E2201" t="s">
        <v>14</v>
      </c>
      <c r="F2201" t="str">
        <f>"49009"</f>
        <v>49009</v>
      </c>
      <c r="G2201" t="str">
        <f>"Pio448069"</f>
        <v>Pio448069</v>
      </c>
      <c r="H2201" s="2">
        <f>4.22</f>
        <v>4.22</v>
      </c>
      <c r="I2201" t="s">
        <v>86</v>
      </c>
      <c r="J2201" t="s">
        <v>87</v>
      </c>
      <c r="K2201" t="str">
        <f>"0"</f>
        <v>0</v>
      </c>
    </row>
    <row r="2202" spans="1:11" x14ac:dyDescent="0.25">
      <c r="A2202">
        <v>2021</v>
      </c>
      <c r="B2202" t="s">
        <v>12513</v>
      </c>
      <c r="C2202" t="s">
        <v>12514</v>
      </c>
      <c r="D2202" t="s">
        <v>19</v>
      </c>
      <c r="E2202" t="s">
        <v>20</v>
      </c>
      <c r="F2202" t="str">
        <f>"43606"</f>
        <v>43606</v>
      </c>
      <c r="G2202" t="str">
        <f>"402017"</f>
        <v>402017</v>
      </c>
      <c r="H2202" s="2">
        <f>20</f>
        <v>20</v>
      </c>
      <c r="I2202" t="s">
        <v>27</v>
      </c>
      <c r="J2202" t="s">
        <v>212</v>
      </c>
      <c r="K2202" t="str">
        <f>"34233"</f>
        <v>34233</v>
      </c>
    </row>
    <row r="2203" spans="1:11" x14ac:dyDescent="0.25">
      <c r="A2203">
        <v>2021</v>
      </c>
      <c r="B2203" t="s">
        <v>12515</v>
      </c>
      <c r="C2203" t="s">
        <v>2634</v>
      </c>
      <c r="D2203" t="s">
        <v>19</v>
      </c>
      <c r="E2203" t="s">
        <v>20</v>
      </c>
      <c r="F2203" t="str">
        <f>"43615"</f>
        <v>43615</v>
      </c>
      <c r="G2203" t="str">
        <f>"402018"</f>
        <v>402018</v>
      </c>
      <c r="H2203" s="2">
        <f>9.08</f>
        <v>9.08</v>
      </c>
      <c r="I2203" t="s">
        <v>27</v>
      </c>
      <c r="J2203" t="s">
        <v>171</v>
      </c>
      <c r="K2203" t="str">
        <f>"517742"</f>
        <v>517742</v>
      </c>
    </row>
    <row r="2204" spans="1:11" x14ac:dyDescent="0.25">
      <c r="A2204">
        <v>2021</v>
      </c>
      <c r="B2204" t="s">
        <v>12523</v>
      </c>
      <c r="C2204" t="s">
        <v>12524</v>
      </c>
      <c r="D2204" t="s">
        <v>19</v>
      </c>
      <c r="E2204" t="s">
        <v>20</v>
      </c>
      <c r="F2204" t="str">
        <f>"43615"</f>
        <v>43615</v>
      </c>
      <c r="G2204" t="str">
        <f>"402018"</f>
        <v>402018</v>
      </c>
      <c r="H2204" s="2">
        <f>10</f>
        <v>10</v>
      </c>
      <c r="I2204" t="s">
        <v>27</v>
      </c>
      <c r="J2204" t="s">
        <v>171</v>
      </c>
      <c r="K2204" t="str">
        <f>"515355"</f>
        <v>515355</v>
      </c>
    </row>
    <row r="2205" spans="1:11" x14ac:dyDescent="0.25">
      <c r="A2205">
        <v>2021</v>
      </c>
      <c r="B2205" t="s">
        <v>12531</v>
      </c>
      <c r="C2205" t="s">
        <v>12532</v>
      </c>
      <c r="D2205" t="s">
        <v>19</v>
      </c>
      <c r="E2205" t="s">
        <v>20</v>
      </c>
      <c r="F2205" t="str">
        <f>"43604"</f>
        <v>43604</v>
      </c>
      <c r="G2205" t="str">
        <f>"Pio448069"</f>
        <v>Pio448069</v>
      </c>
      <c r="H2205" s="2">
        <f>41</f>
        <v>41</v>
      </c>
      <c r="I2205" t="s">
        <v>86</v>
      </c>
      <c r="J2205" t="s">
        <v>87</v>
      </c>
      <c r="K2205" t="str">
        <f>"0"</f>
        <v>0</v>
      </c>
    </row>
    <row r="2206" spans="1:11" x14ac:dyDescent="0.25">
      <c r="A2206">
        <v>2021</v>
      </c>
      <c r="B2206" t="s">
        <v>12533</v>
      </c>
      <c r="C2206" t="s">
        <v>12534</v>
      </c>
      <c r="D2206" t="s">
        <v>19</v>
      </c>
      <c r="E2206" t="s">
        <v>20</v>
      </c>
      <c r="F2206" t="str">
        <f>"43604"</f>
        <v>43604</v>
      </c>
      <c r="G2206" t="str">
        <f>"Pio448069"</f>
        <v>Pio448069</v>
      </c>
      <c r="H2206" s="2">
        <f>30</f>
        <v>30</v>
      </c>
      <c r="I2206" t="s">
        <v>86</v>
      </c>
      <c r="J2206" t="s">
        <v>87</v>
      </c>
      <c r="K2206" t="str">
        <f>"0"</f>
        <v>0</v>
      </c>
    </row>
    <row r="2207" spans="1:11" x14ac:dyDescent="0.25">
      <c r="A2207">
        <v>2021</v>
      </c>
      <c r="B2207" t="s">
        <v>12537</v>
      </c>
      <c r="C2207" t="s">
        <v>12538</v>
      </c>
      <c r="D2207" t="s">
        <v>45</v>
      </c>
      <c r="E2207" t="s">
        <v>20</v>
      </c>
      <c r="F2207" t="str">
        <f>"43542"</f>
        <v>43542</v>
      </c>
      <c r="G2207" t="str">
        <f>"Bwucf4621"</f>
        <v>Bwucf4621</v>
      </c>
      <c r="H2207" s="2">
        <f>550</f>
        <v>550</v>
      </c>
      <c r="I2207" t="s">
        <v>15</v>
      </c>
      <c r="J2207" t="s">
        <v>295</v>
      </c>
      <c r="K2207" t="str">
        <f>"01435373"</f>
        <v>01435373</v>
      </c>
    </row>
    <row r="2208" spans="1:11" x14ac:dyDescent="0.25">
      <c r="A2208">
        <v>2021</v>
      </c>
      <c r="B2208" t="s">
        <v>12539</v>
      </c>
      <c r="C2208" t="s">
        <v>12540</v>
      </c>
      <c r="D2208" t="s">
        <v>19</v>
      </c>
      <c r="E2208" t="s">
        <v>20</v>
      </c>
      <c r="F2208" t="str">
        <f>"43607"</f>
        <v>43607</v>
      </c>
      <c r="G2208" t="str">
        <f>"Pio448069"</f>
        <v>Pio448069</v>
      </c>
      <c r="H2208" s="2">
        <f>0.66</f>
        <v>0.66</v>
      </c>
      <c r="I2208" t="s">
        <v>86</v>
      </c>
      <c r="J2208" t="s">
        <v>87</v>
      </c>
      <c r="K2208" t="str">
        <f>"0"</f>
        <v>0</v>
      </c>
    </row>
    <row r="2209" spans="1:11" x14ac:dyDescent="0.25">
      <c r="A2209">
        <v>2021</v>
      </c>
      <c r="B2209" t="s">
        <v>12543</v>
      </c>
      <c r="C2209" t="s">
        <v>12544</v>
      </c>
      <c r="D2209" t="s">
        <v>19</v>
      </c>
      <c r="E2209" t="s">
        <v>20</v>
      </c>
      <c r="F2209" t="str">
        <f>"43612"</f>
        <v>43612</v>
      </c>
      <c r="G2209" t="str">
        <f>"Pio448069"</f>
        <v>Pio448069</v>
      </c>
      <c r="H2209" s="2">
        <f>5.1</f>
        <v>5.0999999999999996</v>
      </c>
      <c r="I2209" t="s">
        <v>86</v>
      </c>
      <c r="J2209" t="s">
        <v>87</v>
      </c>
      <c r="K2209" t="str">
        <f>"0"</f>
        <v>0</v>
      </c>
    </row>
    <row r="2210" spans="1:11" x14ac:dyDescent="0.25">
      <c r="A2210">
        <v>2021</v>
      </c>
      <c r="B2210" t="s">
        <v>12545</v>
      </c>
      <c r="C2210" t="s">
        <v>12546</v>
      </c>
      <c r="D2210" t="s">
        <v>19</v>
      </c>
      <c r="E2210" t="s">
        <v>20</v>
      </c>
      <c r="F2210" t="str">
        <f>"43609"</f>
        <v>43609</v>
      </c>
      <c r="G2210" t="str">
        <f>"402018"</f>
        <v>402018</v>
      </c>
      <c r="H2210" s="2">
        <f>2.56</f>
        <v>2.56</v>
      </c>
      <c r="I2210" t="s">
        <v>27</v>
      </c>
      <c r="J2210" t="s">
        <v>171</v>
      </c>
      <c r="K2210" t="str">
        <f>"515875"</f>
        <v>515875</v>
      </c>
    </row>
    <row r="2211" spans="1:11" x14ac:dyDescent="0.25">
      <c r="A2211">
        <v>2021</v>
      </c>
      <c r="B2211" t="s">
        <v>12547</v>
      </c>
      <c r="C2211" t="s">
        <v>12548</v>
      </c>
      <c r="D2211" t="s">
        <v>105</v>
      </c>
      <c r="E2211" t="s">
        <v>20</v>
      </c>
      <c r="F2211" t="str">
        <f>"43528"</f>
        <v>43528</v>
      </c>
      <c r="G2211" t="str">
        <f>"Pio448069"</f>
        <v>Pio448069</v>
      </c>
      <c r="H2211" s="2">
        <f>7.4</f>
        <v>7.4</v>
      </c>
      <c r="I2211" t="s">
        <v>86</v>
      </c>
      <c r="J2211" t="s">
        <v>87</v>
      </c>
      <c r="K2211" t="str">
        <f>"0"</f>
        <v>0</v>
      </c>
    </row>
    <row r="2212" spans="1:11" x14ac:dyDescent="0.25">
      <c r="A2212">
        <v>2021</v>
      </c>
      <c r="B2212" t="s">
        <v>12551</v>
      </c>
      <c r="C2212" t="s">
        <v>12552</v>
      </c>
      <c r="D2212" t="s">
        <v>19</v>
      </c>
      <c r="E2212" t="s">
        <v>20</v>
      </c>
      <c r="F2212" t="str">
        <f>"43607"</f>
        <v>43607</v>
      </c>
      <c r="G2212" t="str">
        <f>"Pio448069"</f>
        <v>Pio448069</v>
      </c>
      <c r="H2212" s="2">
        <f>0.92</f>
        <v>0.92</v>
      </c>
      <c r="I2212" t="s">
        <v>86</v>
      </c>
      <c r="J2212" t="s">
        <v>87</v>
      </c>
      <c r="K2212" t="str">
        <f>"0"</f>
        <v>0</v>
      </c>
    </row>
    <row r="2213" spans="1:11" x14ac:dyDescent="0.25">
      <c r="A2213">
        <v>2021</v>
      </c>
      <c r="B2213" t="s">
        <v>12555</v>
      </c>
      <c r="C2213" t="s">
        <v>12556</v>
      </c>
      <c r="D2213" t="s">
        <v>19</v>
      </c>
      <c r="E2213" t="s">
        <v>20</v>
      </c>
      <c r="F2213" t="str">
        <f>"43605"</f>
        <v>43605</v>
      </c>
      <c r="G2213" t="str">
        <f>"Pio448069"</f>
        <v>Pio448069</v>
      </c>
      <c r="H2213" s="2">
        <f>1.36</f>
        <v>1.36</v>
      </c>
      <c r="I2213" t="s">
        <v>86</v>
      </c>
      <c r="J2213" t="s">
        <v>87</v>
      </c>
      <c r="K2213" t="str">
        <f>"0"</f>
        <v>0</v>
      </c>
    </row>
    <row r="2214" spans="1:11" x14ac:dyDescent="0.25">
      <c r="A2214">
        <v>2021</v>
      </c>
      <c r="B2214" t="s">
        <v>12564</v>
      </c>
      <c r="C2214" t="s">
        <v>12565</v>
      </c>
      <c r="D2214" t="s">
        <v>19</v>
      </c>
      <c r="E2214" t="s">
        <v>20</v>
      </c>
      <c r="F2214" t="str">
        <f>"43609"</f>
        <v>43609</v>
      </c>
      <c r="G2214" t="str">
        <f>"Pio448069"</f>
        <v>Pio448069</v>
      </c>
      <c r="H2214" s="2">
        <f>3</f>
        <v>3</v>
      </c>
      <c r="I2214" t="s">
        <v>86</v>
      </c>
      <c r="J2214" t="s">
        <v>87</v>
      </c>
      <c r="K2214" t="str">
        <f>"0"</f>
        <v>0</v>
      </c>
    </row>
    <row r="2215" spans="1:11" x14ac:dyDescent="0.25">
      <c r="A2215">
        <v>2021</v>
      </c>
      <c r="B2215" t="s">
        <v>12568</v>
      </c>
      <c r="C2215" t="s">
        <v>12569</v>
      </c>
      <c r="F2215" t="str">
        <f>""</f>
        <v/>
      </c>
      <c r="G2215" t="str">
        <f>"Swucf4621"</f>
        <v>Swucf4621</v>
      </c>
      <c r="H2215" s="2">
        <f>48.43</f>
        <v>48.43</v>
      </c>
      <c r="I2215" t="s">
        <v>15</v>
      </c>
      <c r="J2215" t="s">
        <v>81</v>
      </c>
      <c r="K2215" t="str">
        <f>"6293155"</f>
        <v>6293155</v>
      </c>
    </row>
    <row r="2216" spans="1:11" x14ac:dyDescent="0.25">
      <c r="A2216">
        <v>2021</v>
      </c>
      <c r="B2216" t="s">
        <v>12572</v>
      </c>
      <c r="C2216" t="s">
        <v>12573</v>
      </c>
      <c r="D2216" t="s">
        <v>19</v>
      </c>
      <c r="E2216" t="s">
        <v>20</v>
      </c>
      <c r="F2216" t="str">
        <f>"43610"</f>
        <v>43610</v>
      </c>
      <c r="G2216" t="str">
        <f>"Je092221"</f>
        <v>Je092221</v>
      </c>
      <c r="H2216" s="2">
        <f>75</f>
        <v>75</v>
      </c>
      <c r="I2216" t="s">
        <v>15</v>
      </c>
      <c r="J2216" t="s">
        <v>114</v>
      </c>
      <c r="K2216" t="str">
        <f>"60011713"</f>
        <v>60011713</v>
      </c>
    </row>
    <row r="2217" spans="1:11" x14ac:dyDescent="0.25">
      <c r="A2217">
        <v>2021</v>
      </c>
      <c r="B2217" t="s">
        <v>12576</v>
      </c>
      <c r="C2217" t="s">
        <v>12577</v>
      </c>
      <c r="D2217" t="s">
        <v>12578</v>
      </c>
      <c r="E2217" t="s">
        <v>20</v>
      </c>
      <c r="F2217" t="str">
        <f>"43526"</f>
        <v>43526</v>
      </c>
      <c r="G2217" t="str">
        <f>"Pio448069"</f>
        <v>Pio448069</v>
      </c>
      <c r="H2217" s="2">
        <f>2.73</f>
        <v>2.73</v>
      </c>
      <c r="I2217" t="s">
        <v>86</v>
      </c>
      <c r="J2217" t="s">
        <v>87</v>
      </c>
      <c r="K2217" t="str">
        <f>"0"</f>
        <v>0</v>
      </c>
    </row>
    <row r="2218" spans="1:11" x14ac:dyDescent="0.25">
      <c r="A2218">
        <v>2021</v>
      </c>
      <c r="B2218" t="s">
        <v>12582</v>
      </c>
      <c r="C2218" t="s">
        <v>12583</v>
      </c>
      <c r="D2218" t="s">
        <v>19</v>
      </c>
      <c r="E2218" t="s">
        <v>20</v>
      </c>
      <c r="F2218" t="str">
        <f>"43612-1545"</f>
        <v>43612-1545</v>
      </c>
      <c r="G2218" t="str">
        <f>"402019"</f>
        <v>402019</v>
      </c>
      <c r="H2218" s="2">
        <f>10</f>
        <v>10</v>
      </c>
      <c r="I2218" t="s">
        <v>27</v>
      </c>
      <c r="J2218" t="s">
        <v>42</v>
      </c>
      <c r="K2218" t="str">
        <f>"112189"</f>
        <v>112189</v>
      </c>
    </row>
    <row r="2219" spans="1:11" x14ac:dyDescent="0.25">
      <c r="A2219">
        <v>2021</v>
      </c>
      <c r="B2219" t="s">
        <v>12590</v>
      </c>
      <c r="C2219" t="s">
        <v>12591</v>
      </c>
      <c r="D2219" t="s">
        <v>125</v>
      </c>
      <c r="E2219" t="s">
        <v>20</v>
      </c>
      <c r="F2219" t="str">
        <f>"43537-9690"</f>
        <v>43537-9690</v>
      </c>
      <c r="G2219" t="str">
        <f>"402019"</f>
        <v>402019</v>
      </c>
      <c r="H2219" s="2">
        <f>10</f>
        <v>10</v>
      </c>
      <c r="I2219" t="s">
        <v>27</v>
      </c>
      <c r="J2219" t="s">
        <v>42</v>
      </c>
      <c r="K2219" t="str">
        <f>"113076"</f>
        <v>113076</v>
      </c>
    </row>
    <row r="2220" spans="1:11" x14ac:dyDescent="0.25">
      <c r="A2220">
        <v>2021</v>
      </c>
      <c r="B2220" t="s">
        <v>12592</v>
      </c>
      <c r="C2220" t="s">
        <v>12593</v>
      </c>
      <c r="D2220" t="s">
        <v>19</v>
      </c>
      <c r="E2220" t="s">
        <v>20</v>
      </c>
      <c r="F2220" t="str">
        <f>"43614"</f>
        <v>43614</v>
      </c>
      <c r="G2220" t="str">
        <f>"Pio448069"</f>
        <v>Pio448069</v>
      </c>
      <c r="H2220" s="2">
        <f>1.64</f>
        <v>1.64</v>
      </c>
      <c r="I2220" t="s">
        <v>86</v>
      </c>
      <c r="J2220" t="s">
        <v>87</v>
      </c>
      <c r="K2220" t="str">
        <f>"0"</f>
        <v>0</v>
      </c>
    </row>
    <row r="2221" spans="1:11" x14ac:dyDescent="0.25">
      <c r="A2221">
        <v>2021</v>
      </c>
      <c r="B2221" t="s">
        <v>12594</v>
      </c>
      <c r="C2221" t="s">
        <v>12595</v>
      </c>
      <c r="D2221" t="s">
        <v>19</v>
      </c>
      <c r="E2221" t="s">
        <v>20</v>
      </c>
      <c r="F2221" t="str">
        <f>"43612"</f>
        <v>43612</v>
      </c>
      <c r="G2221" t="str">
        <f>"Pio448069"</f>
        <v>Pio448069</v>
      </c>
      <c r="H2221" s="2">
        <f>41.29</f>
        <v>41.29</v>
      </c>
      <c r="I2221" t="s">
        <v>86</v>
      </c>
      <c r="J2221" t="s">
        <v>87</v>
      </c>
      <c r="K2221" t="str">
        <f>"0"</f>
        <v>0</v>
      </c>
    </row>
    <row r="2222" spans="1:11" x14ac:dyDescent="0.25">
      <c r="A2222">
        <v>2021</v>
      </c>
      <c r="B2222" t="s">
        <v>12602</v>
      </c>
      <c r="C2222" t="s">
        <v>12603</v>
      </c>
      <c r="D2222" t="s">
        <v>19</v>
      </c>
      <c r="E2222" t="s">
        <v>20</v>
      </c>
      <c r="F2222" t="str">
        <f>"43613-5018"</f>
        <v>43613-5018</v>
      </c>
      <c r="G2222" t="str">
        <f>"402019"</f>
        <v>402019</v>
      </c>
      <c r="H2222" s="2">
        <f>20</f>
        <v>20</v>
      </c>
      <c r="I2222" t="s">
        <v>27</v>
      </c>
      <c r="J2222" t="s">
        <v>42</v>
      </c>
      <c r="K2222" t="str">
        <f>"114069"</f>
        <v>114069</v>
      </c>
    </row>
    <row r="2223" spans="1:11" x14ac:dyDescent="0.25">
      <c r="A2223">
        <v>2021</v>
      </c>
      <c r="B2223" t="s">
        <v>12613</v>
      </c>
      <c r="C2223" t="s">
        <v>44</v>
      </c>
      <c r="D2223" t="s">
        <v>45</v>
      </c>
      <c r="E2223" t="s">
        <v>20</v>
      </c>
      <c r="F2223" t="str">
        <f>"43542-9669"</f>
        <v>43542-9669</v>
      </c>
      <c r="G2223" t="str">
        <f>"402019"</f>
        <v>402019</v>
      </c>
      <c r="H2223" s="2">
        <f>20</f>
        <v>20</v>
      </c>
      <c r="I2223" t="s">
        <v>27</v>
      </c>
      <c r="J2223" t="s">
        <v>42</v>
      </c>
      <c r="K2223" t="str">
        <f>"113204"</f>
        <v>113204</v>
      </c>
    </row>
    <row r="2224" spans="1:11" x14ac:dyDescent="0.25">
      <c r="A2224">
        <v>2021</v>
      </c>
      <c r="B2224" t="s">
        <v>12614</v>
      </c>
      <c r="C2224" t="s">
        <v>895</v>
      </c>
      <c r="F2224" t="str">
        <f>""</f>
        <v/>
      </c>
      <c r="G2224" t="str">
        <f>"402212"</f>
        <v>402212</v>
      </c>
      <c r="H2224" s="2">
        <f>4884.01</f>
        <v>4884.01</v>
      </c>
      <c r="I2224" t="s">
        <v>148</v>
      </c>
      <c r="J2224" t="s">
        <v>12615</v>
      </c>
      <c r="K2224" t="str">
        <f>"25065"</f>
        <v>25065</v>
      </c>
    </row>
    <row r="2225" spans="1:11" x14ac:dyDescent="0.25">
      <c r="A2225">
        <v>2021</v>
      </c>
      <c r="B2225" t="s">
        <v>12616</v>
      </c>
      <c r="C2225" t="s">
        <v>12617</v>
      </c>
      <c r="D2225" t="s">
        <v>58</v>
      </c>
      <c r="E2225" t="s">
        <v>20</v>
      </c>
      <c r="F2225" t="str">
        <f>"43616-4614"</f>
        <v>43616-4614</v>
      </c>
      <c r="G2225" t="str">
        <f>"402019"</f>
        <v>402019</v>
      </c>
      <c r="H2225" s="2">
        <f>20</f>
        <v>20</v>
      </c>
      <c r="I2225" t="s">
        <v>27</v>
      </c>
      <c r="J2225" t="s">
        <v>42</v>
      </c>
      <c r="K2225" t="str">
        <f>"112671"</f>
        <v>112671</v>
      </c>
    </row>
    <row r="2226" spans="1:11" x14ac:dyDescent="0.25">
      <c r="A2226">
        <v>2021</v>
      </c>
      <c r="B2226" t="s">
        <v>12620</v>
      </c>
      <c r="C2226" t="s">
        <v>12621</v>
      </c>
      <c r="D2226" t="s">
        <v>19</v>
      </c>
      <c r="E2226" t="s">
        <v>20</v>
      </c>
      <c r="F2226" t="str">
        <f>"43609-1847"</f>
        <v>43609-1847</v>
      </c>
      <c r="G2226" t="str">
        <f>"402019"</f>
        <v>402019</v>
      </c>
      <c r="H2226" s="2">
        <f>10</f>
        <v>10</v>
      </c>
      <c r="I2226" t="s">
        <v>27</v>
      </c>
      <c r="J2226" t="s">
        <v>42</v>
      </c>
      <c r="K2226" t="str">
        <f>"112733"</f>
        <v>112733</v>
      </c>
    </row>
    <row r="2227" spans="1:11" x14ac:dyDescent="0.25">
      <c r="A2227">
        <v>2021</v>
      </c>
      <c r="B2227" t="s">
        <v>12622</v>
      </c>
      <c r="C2227" t="s">
        <v>12623</v>
      </c>
      <c r="D2227" t="s">
        <v>19</v>
      </c>
      <c r="E2227" t="s">
        <v>20</v>
      </c>
      <c r="F2227" t="str">
        <f>"43604-8780"</f>
        <v>43604-8780</v>
      </c>
      <c r="G2227" t="str">
        <f>"402019"</f>
        <v>402019</v>
      </c>
      <c r="H2227" s="2">
        <f>10</f>
        <v>10</v>
      </c>
      <c r="I2227" t="s">
        <v>27</v>
      </c>
      <c r="J2227" t="s">
        <v>42</v>
      </c>
      <c r="K2227" t="str">
        <f>"112988"</f>
        <v>112988</v>
      </c>
    </row>
    <row r="2228" spans="1:11" x14ac:dyDescent="0.25">
      <c r="A2228">
        <v>2021</v>
      </c>
      <c r="B2228" t="s">
        <v>12624</v>
      </c>
      <c r="C2228" t="s">
        <v>12625</v>
      </c>
      <c r="D2228" t="s">
        <v>19</v>
      </c>
      <c r="E2228" t="s">
        <v>20</v>
      </c>
      <c r="F2228" t="str">
        <f>"43611"</f>
        <v>43611</v>
      </c>
      <c r="G2228" t="str">
        <f>"Pio448069"</f>
        <v>Pio448069</v>
      </c>
      <c r="H2228" s="2">
        <f>2</f>
        <v>2</v>
      </c>
      <c r="I2228" t="s">
        <v>86</v>
      </c>
      <c r="J2228" t="s">
        <v>87</v>
      </c>
      <c r="K2228" t="str">
        <f>"0"</f>
        <v>0</v>
      </c>
    </row>
    <row r="2229" spans="1:11" x14ac:dyDescent="0.25">
      <c r="A2229">
        <v>2021</v>
      </c>
      <c r="B2229" t="s">
        <v>12630</v>
      </c>
      <c r="C2229" t="s">
        <v>12631</v>
      </c>
      <c r="D2229" t="s">
        <v>19</v>
      </c>
      <c r="E2229" t="s">
        <v>20</v>
      </c>
      <c r="F2229" t="str">
        <f>"43612"</f>
        <v>43612</v>
      </c>
      <c r="G2229" t="str">
        <f>"Pio448069"</f>
        <v>Pio448069</v>
      </c>
      <c r="H2229" s="2">
        <f>5</f>
        <v>5</v>
      </c>
      <c r="I2229" t="s">
        <v>86</v>
      </c>
      <c r="J2229" t="s">
        <v>87</v>
      </c>
      <c r="K2229" t="str">
        <f>"0"</f>
        <v>0</v>
      </c>
    </row>
    <row r="2230" spans="1:11" x14ac:dyDescent="0.25">
      <c r="A2230">
        <v>2021</v>
      </c>
      <c r="B2230" t="s">
        <v>12634</v>
      </c>
      <c r="C2230" t="s">
        <v>12635</v>
      </c>
      <c r="D2230" t="s">
        <v>19</v>
      </c>
      <c r="E2230" t="s">
        <v>20</v>
      </c>
      <c r="F2230" t="str">
        <f>"43620"</f>
        <v>43620</v>
      </c>
      <c r="G2230" t="str">
        <f>"Swucf4621"</f>
        <v>Swucf4621</v>
      </c>
      <c r="H2230" s="2">
        <f>15</f>
        <v>15</v>
      </c>
      <c r="I2230" t="s">
        <v>15</v>
      </c>
      <c r="J2230" t="s">
        <v>81</v>
      </c>
      <c r="K2230" t="str">
        <f>"6297444"</f>
        <v>6297444</v>
      </c>
    </row>
    <row r="2231" spans="1:11" x14ac:dyDescent="0.25">
      <c r="A2231">
        <v>2021</v>
      </c>
      <c r="B2231" t="s">
        <v>12636</v>
      </c>
      <c r="C2231" t="s">
        <v>12637</v>
      </c>
      <c r="D2231" t="s">
        <v>19</v>
      </c>
      <c r="E2231" t="s">
        <v>20</v>
      </c>
      <c r="F2231" t="str">
        <f>"43617"</f>
        <v>43617</v>
      </c>
      <c r="G2231" t="str">
        <f>"402018"</f>
        <v>402018</v>
      </c>
      <c r="H2231" s="2">
        <f>9.08</f>
        <v>9.08</v>
      </c>
      <c r="I2231" t="s">
        <v>27</v>
      </c>
      <c r="J2231" t="s">
        <v>171</v>
      </c>
      <c r="K2231" t="str">
        <f>"517747"</f>
        <v>517747</v>
      </c>
    </row>
    <row r="2232" spans="1:11" x14ac:dyDescent="0.25">
      <c r="A2232">
        <v>2021</v>
      </c>
      <c r="B2232" t="s">
        <v>12639</v>
      </c>
      <c r="C2232" t="s">
        <v>12640</v>
      </c>
      <c r="D2232" t="s">
        <v>19</v>
      </c>
      <c r="E2232" t="s">
        <v>20</v>
      </c>
      <c r="F2232" t="str">
        <f>"43616"</f>
        <v>43616</v>
      </c>
      <c r="G2232" t="str">
        <f>"402018"</f>
        <v>402018</v>
      </c>
      <c r="H2232" s="2">
        <f>120</f>
        <v>120</v>
      </c>
      <c r="I2232" t="s">
        <v>27</v>
      </c>
      <c r="J2232" t="s">
        <v>171</v>
      </c>
      <c r="K2232" t="str">
        <f>"517897"</f>
        <v>517897</v>
      </c>
    </row>
    <row r="2233" spans="1:11" x14ac:dyDescent="0.25">
      <c r="A2233">
        <v>2021</v>
      </c>
      <c r="B2233" t="s">
        <v>12639</v>
      </c>
      <c r="C2233" t="s">
        <v>12640</v>
      </c>
      <c r="D2233" t="s">
        <v>19</v>
      </c>
      <c r="E2233" t="s">
        <v>20</v>
      </c>
      <c r="F2233" t="str">
        <f>"43616"</f>
        <v>43616</v>
      </c>
      <c r="G2233" t="str">
        <f>"402018"</f>
        <v>402018</v>
      </c>
      <c r="H2233" s="2">
        <f>40</f>
        <v>40</v>
      </c>
      <c r="I2233" t="s">
        <v>27</v>
      </c>
      <c r="J2233" t="s">
        <v>171</v>
      </c>
      <c r="K2233" t="str">
        <f>"518225"</f>
        <v>518225</v>
      </c>
    </row>
    <row r="2234" spans="1:11" x14ac:dyDescent="0.25">
      <c r="A2234">
        <v>2022</v>
      </c>
      <c r="B2234" t="s">
        <v>25</v>
      </c>
      <c r="C2234" t="s">
        <v>26</v>
      </c>
      <c r="D2234" t="s">
        <v>19</v>
      </c>
      <c r="E2234" t="s">
        <v>20</v>
      </c>
      <c r="F2234" t="str">
        <f>"43604"</f>
        <v>43604</v>
      </c>
      <c r="G2234" t="str">
        <f>"545044"</f>
        <v>545044</v>
      </c>
      <c r="H2234" s="2">
        <f>50</f>
        <v>50</v>
      </c>
      <c r="I2234" t="s">
        <v>27</v>
      </c>
      <c r="J2234" t="s">
        <v>28</v>
      </c>
      <c r="K2234" t="str">
        <f>"519154"</f>
        <v>519154</v>
      </c>
    </row>
    <row r="2235" spans="1:11" x14ac:dyDescent="0.25">
      <c r="A2235">
        <v>2022</v>
      </c>
      <c r="B2235" t="s">
        <v>29</v>
      </c>
      <c r="C2235" t="s">
        <v>30</v>
      </c>
      <c r="D2235" t="s">
        <v>19</v>
      </c>
      <c r="E2235" t="s">
        <v>20</v>
      </c>
      <c r="F2235" t="str">
        <f>"43615"</f>
        <v>43615</v>
      </c>
      <c r="G2235" t="str">
        <f>"545075"</f>
        <v>545075</v>
      </c>
      <c r="H2235" s="2">
        <f>348.11</f>
        <v>348.11</v>
      </c>
      <c r="I2235" t="s">
        <v>27</v>
      </c>
      <c r="J2235" t="s">
        <v>31</v>
      </c>
      <c r="K2235" t="str">
        <f>"22022684"</f>
        <v>22022684</v>
      </c>
    </row>
    <row r="2236" spans="1:11" x14ac:dyDescent="0.25">
      <c r="A2236">
        <v>2022</v>
      </c>
      <c r="B2236" t="s">
        <v>48</v>
      </c>
      <c r="C2236" t="s">
        <v>49</v>
      </c>
      <c r="D2236" t="s">
        <v>50</v>
      </c>
      <c r="E2236" t="s">
        <v>20</v>
      </c>
      <c r="F2236" t="str">
        <f>"43560-9677"</f>
        <v>43560-9677</v>
      </c>
      <c r="G2236" t="str">
        <f>"545101"</f>
        <v>545101</v>
      </c>
      <c r="H2236" s="2">
        <f>20</f>
        <v>20</v>
      </c>
      <c r="I2236" t="s">
        <v>27</v>
      </c>
      <c r="J2236" t="s">
        <v>51</v>
      </c>
      <c r="K2236" t="str">
        <f>"116322"</f>
        <v>116322</v>
      </c>
    </row>
    <row r="2237" spans="1:11" x14ac:dyDescent="0.25">
      <c r="A2237">
        <v>2022</v>
      </c>
      <c r="B2237" t="s">
        <v>52</v>
      </c>
      <c r="C2237" t="s">
        <v>53</v>
      </c>
      <c r="D2237" t="s">
        <v>19</v>
      </c>
      <c r="E2237" t="s">
        <v>20</v>
      </c>
      <c r="F2237" t="str">
        <f>"43612-2471"</f>
        <v>43612-2471</v>
      </c>
      <c r="G2237" t="str">
        <f>"545101"</f>
        <v>545101</v>
      </c>
      <c r="H2237" s="2">
        <f>10</f>
        <v>10</v>
      </c>
      <c r="I2237" t="s">
        <v>27</v>
      </c>
      <c r="J2237" t="s">
        <v>51</v>
      </c>
      <c r="K2237" t="str">
        <f>"116843"</f>
        <v>116843</v>
      </c>
    </row>
    <row r="2238" spans="1:11" x14ac:dyDescent="0.25">
      <c r="A2238">
        <v>2022</v>
      </c>
      <c r="B2238" t="s">
        <v>76</v>
      </c>
      <c r="C2238" t="s">
        <v>12641</v>
      </c>
      <c r="D2238" t="s">
        <v>19</v>
      </c>
      <c r="E2238" t="s">
        <v>20</v>
      </c>
      <c r="F2238" t="str">
        <f>"43604"</f>
        <v>43604</v>
      </c>
      <c r="G2238" t="str">
        <f>"545043"</f>
        <v>545043</v>
      </c>
      <c r="H2238" s="2">
        <f>13.75</f>
        <v>13.75</v>
      </c>
      <c r="I2238" t="s">
        <v>27</v>
      </c>
      <c r="J2238" t="s">
        <v>77</v>
      </c>
      <c r="K2238" t="str">
        <f>"332997"</f>
        <v>332997</v>
      </c>
    </row>
    <row r="2239" spans="1:11" x14ac:dyDescent="0.25">
      <c r="A2239">
        <v>2022</v>
      </c>
      <c r="B2239" t="s">
        <v>88</v>
      </c>
      <c r="C2239" t="s">
        <v>89</v>
      </c>
      <c r="D2239" t="s">
        <v>19</v>
      </c>
      <c r="E2239" t="s">
        <v>20</v>
      </c>
      <c r="F2239" t="str">
        <f>"43607"</f>
        <v>43607</v>
      </c>
      <c r="G2239" t="str">
        <f>"Je010722"</f>
        <v>Je010722</v>
      </c>
      <c r="H2239" s="2">
        <f>15</f>
        <v>15</v>
      </c>
      <c r="I2239" t="s">
        <v>15</v>
      </c>
      <c r="J2239" t="s">
        <v>90</v>
      </c>
      <c r="K2239" t="str">
        <f>"60032267"</f>
        <v>60032267</v>
      </c>
    </row>
    <row r="2240" spans="1:11" x14ac:dyDescent="0.25">
      <c r="A2240">
        <v>2022</v>
      </c>
      <c r="B2240" t="s">
        <v>115</v>
      </c>
      <c r="C2240" t="s">
        <v>116</v>
      </c>
      <c r="D2240" t="s">
        <v>50</v>
      </c>
      <c r="E2240" t="s">
        <v>20</v>
      </c>
      <c r="F2240" t="str">
        <f>"43560"</f>
        <v>43560</v>
      </c>
      <c r="G2240" t="str">
        <f>"Je031622"</f>
        <v>Je031622</v>
      </c>
      <c r="H2240" s="2">
        <f>898.05</f>
        <v>898.05</v>
      </c>
      <c r="I2240" t="s">
        <v>15</v>
      </c>
      <c r="J2240" t="s">
        <v>117</v>
      </c>
      <c r="K2240" t="str">
        <f>"60042995"</f>
        <v>60042995</v>
      </c>
    </row>
    <row r="2241" spans="1:11" x14ac:dyDescent="0.25">
      <c r="A2241">
        <v>2022</v>
      </c>
      <c r="B2241" t="s">
        <v>118</v>
      </c>
      <c r="C2241" t="s">
        <v>119</v>
      </c>
      <c r="D2241" t="s">
        <v>120</v>
      </c>
      <c r="E2241" t="s">
        <v>20</v>
      </c>
      <c r="F2241" t="str">
        <f>"43522"</f>
        <v>43522</v>
      </c>
      <c r="G2241" t="str">
        <f>"545043"</f>
        <v>545043</v>
      </c>
      <c r="H2241" s="2">
        <f>1.56</f>
        <v>1.56</v>
      </c>
      <c r="I2241" t="s">
        <v>27</v>
      </c>
      <c r="J2241" t="s">
        <v>77</v>
      </c>
      <c r="K2241" t="str">
        <f>"332664"</f>
        <v>332664</v>
      </c>
    </row>
    <row r="2242" spans="1:11" x14ac:dyDescent="0.25">
      <c r="A2242">
        <v>2022</v>
      </c>
      <c r="B2242" t="s">
        <v>133</v>
      </c>
      <c r="C2242" t="s">
        <v>134</v>
      </c>
      <c r="D2242" t="s">
        <v>19</v>
      </c>
      <c r="E2242" t="s">
        <v>20</v>
      </c>
      <c r="F2242" t="str">
        <f>"43613-1214"</f>
        <v>43613-1214</v>
      </c>
      <c r="G2242" t="str">
        <f>"545101"</f>
        <v>545101</v>
      </c>
      <c r="H2242" s="2">
        <f>10</f>
        <v>10</v>
      </c>
      <c r="I2242" t="s">
        <v>27</v>
      </c>
      <c r="J2242" t="s">
        <v>51</v>
      </c>
      <c r="K2242" t="str">
        <f>"116498"</f>
        <v>116498</v>
      </c>
    </row>
    <row r="2243" spans="1:11" x14ac:dyDescent="0.25">
      <c r="A2243">
        <v>2022</v>
      </c>
      <c r="B2243" t="s">
        <v>166</v>
      </c>
      <c r="C2243" t="s">
        <v>167</v>
      </c>
      <c r="D2243" t="s">
        <v>64</v>
      </c>
      <c r="E2243" t="s">
        <v>20</v>
      </c>
      <c r="F2243" t="str">
        <f>"43566"</f>
        <v>43566</v>
      </c>
      <c r="G2243" t="str">
        <f>"545044"</f>
        <v>545044</v>
      </c>
      <c r="H2243" s="2">
        <f>250</f>
        <v>250</v>
      </c>
      <c r="I2243" t="s">
        <v>27</v>
      </c>
      <c r="J2243" t="s">
        <v>28</v>
      </c>
      <c r="K2243" t="str">
        <f>"519597"</f>
        <v>519597</v>
      </c>
    </row>
    <row r="2244" spans="1:11" x14ac:dyDescent="0.25">
      <c r="A2244">
        <v>2022</v>
      </c>
      <c r="B2244" t="s">
        <v>179</v>
      </c>
      <c r="C2244" t="s">
        <v>180</v>
      </c>
      <c r="D2244" t="s">
        <v>19</v>
      </c>
      <c r="E2244" t="s">
        <v>20</v>
      </c>
      <c r="F2244" t="str">
        <f>"43614-3623"</f>
        <v>43614-3623</v>
      </c>
      <c r="G2244" t="str">
        <f>"545101"</f>
        <v>545101</v>
      </c>
      <c r="H2244" s="2">
        <f>10</f>
        <v>10</v>
      </c>
      <c r="I2244" t="s">
        <v>27</v>
      </c>
      <c r="J2244" t="s">
        <v>51</v>
      </c>
      <c r="K2244" t="str">
        <f>"117185"</f>
        <v>117185</v>
      </c>
    </row>
    <row r="2245" spans="1:11" x14ac:dyDescent="0.25">
      <c r="A2245">
        <v>2022</v>
      </c>
      <c r="B2245" t="s">
        <v>201</v>
      </c>
      <c r="C2245" t="s">
        <v>206</v>
      </c>
      <c r="D2245" t="s">
        <v>19</v>
      </c>
      <c r="E2245" t="s">
        <v>20</v>
      </c>
      <c r="F2245" t="str">
        <f>"43617-1405"</f>
        <v>43617-1405</v>
      </c>
      <c r="G2245" t="str">
        <f>"Je070522"</f>
        <v>Je070522</v>
      </c>
      <c r="H2245" s="2">
        <f>11</f>
        <v>11</v>
      </c>
      <c r="I2245" t="s">
        <v>15</v>
      </c>
      <c r="J2245" t="s">
        <v>207</v>
      </c>
      <c r="K2245" t="str">
        <f>"60043729"</f>
        <v>60043729</v>
      </c>
    </row>
    <row r="2246" spans="1:11" x14ac:dyDescent="0.25">
      <c r="A2246">
        <v>2022</v>
      </c>
      <c r="B2246" t="s">
        <v>208</v>
      </c>
      <c r="C2246" t="s">
        <v>209</v>
      </c>
      <c r="D2246" t="s">
        <v>19</v>
      </c>
      <c r="E2246" t="s">
        <v>20</v>
      </c>
      <c r="F2246" t="str">
        <f>"43617-1405"</f>
        <v>43617-1405</v>
      </c>
      <c r="G2246" t="str">
        <f>"Je031622"</f>
        <v>Je031622</v>
      </c>
      <c r="H2246" s="2">
        <f>54.92</f>
        <v>54.92</v>
      </c>
      <c r="I2246" t="s">
        <v>15</v>
      </c>
      <c r="J2246" t="s">
        <v>117</v>
      </c>
      <c r="K2246" t="str">
        <f>"60041361"</f>
        <v>60041361</v>
      </c>
    </row>
    <row r="2247" spans="1:11" x14ac:dyDescent="0.25">
      <c r="A2247">
        <v>2022</v>
      </c>
      <c r="B2247" t="s">
        <v>232</v>
      </c>
      <c r="C2247" t="s">
        <v>233</v>
      </c>
      <c r="D2247" t="s">
        <v>105</v>
      </c>
      <c r="E2247" t="s">
        <v>20</v>
      </c>
      <c r="F2247" t="str">
        <f>"43528-9343"</f>
        <v>43528-9343</v>
      </c>
      <c r="G2247" t="str">
        <f>"Je11032022"</f>
        <v>Je11032022</v>
      </c>
      <c r="H2247" s="2">
        <f>416</f>
        <v>416</v>
      </c>
      <c r="I2247" t="s">
        <v>15</v>
      </c>
      <c r="J2247" t="s">
        <v>234</v>
      </c>
      <c r="K2247" t="str">
        <f>"60054216"</f>
        <v>60054216</v>
      </c>
    </row>
    <row r="2248" spans="1:11" x14ac:dyDescent="0.25">
      <c r="A2248">
        <v>2022</v>
      </c>
      <c r="B2248" t="s">
        <v>255</v>
      </c>
      <c r="C2248" t="s">
        <v>256</v>
      </c>
      <c r="D2248" t="s">
        <v>19</v>
      </c>
      <c r="E2248" t="s">
        <v>20</v>
      </c>
      <c r="F2248" t="str">
        <f>"43604"</f>
        <v>43604</v>
      </c>
      <c r="G2248" t="str">
        <f>"545042"</f>
        <v>545042</v>
      </c>
      <c r="H2248" s="2">
        <f>20</f>
        <v>20</v>
      </c>
      <c r="I2248" t="s">
        <v>27</v>
      </c>
      <c r="J2248" t="s">
        <v>257</v>
      </c>
      <c r="K2248" t="str">
        <f>"36050"</f>
        <v>36050</v>
      </c>
    </row>
    <row r="2249" spans="1:11" x14ac:dyDescent="0.25">
      <c r="A2249">
        <v>2022</v>
      </c>
      <c r="B2249" t="s">
        <v>271</v>
      </c>
      <c r="C2249" t="s">
        <v>272</v>
      </c>
      <c r="D2249" t="s">
        <v>19</v>
      </c>
      <c r="E2249" t="s">
        <v>20</v>
      </c>
      <c r="F2249" t="str">
        <f>"43623"</f>
        <v>43623</v>
      </c>
      <c r="G2249" t="str">
        <f>"545044"</f>
        <v>545044</v>
      </c>
      <c r="H2249" s="2">
        <f>10</f>
        <v>10</v>
      </c>
      <c r="I2249" t="s">
        <v>27</v>
      </c>
      <c r="J2249" t="s">
        <v>28</v>
      </c>
      <c r="K2249" t="str">
        <f>"518596"</f>
        <v>518596</v>
      </c>
    </row>
    <row r="2250" spans="1:11" x14ac:dyDescent="0.25">
      <c r="A2250">
        <v>2022</v>
      </c>
      <c r="B2250" t="s">
        <v>281</v>
      </c>
      <c r="C2250" t="s">
        <v>282</v>
      </c>
      <c r="D2250" t="s">
        <v>19</v>
      </c>
      <c r="E2250" t="s">
        <v>20</v>
      </c>
      <c r="F2250" t="str">
        <f>"43608"</f>
        <v>43608</v>
      </c>
      <c r="G2250" t="str">
        <f>"Je11032022"</f>
        <v>Je11032022</v>
      </c>
      <c r="H2250" s="2">
        <f>0.64</f>
        <v>0.64</v>
      </c>
      <c r="I2250" t="s">
        <v>15</v>
      </c>
      <c r="J2250" t="s">
        <v>234</v>
      </c>
      <c r="K2250" t="str">
        <f>"60053130"</f>
        <v>60053130</v>
      </c>
    </row>
    <row r="2251" spans="1:11" x14ac:dyDescent="0.25">
      <c r="A2251">
        <v>2022</v>
      </c>
      <c r="B2251" t="s">
        <v>328</v>
      </c>
      <c r="C2251" t="s">
        <v>329</v>
      </c>
      <c r="D2251" t="s">
        <v>19</v>
      </c>
      <c r="E2251" t="s">
        <v>20</v>
      </c>
      <c r="F2251" t="str">
        <f>"43623"</f>
        <v>43623</v>
      </c>
      <c r="G2251" t="str">
        <f>"Je031622"</f>
        <v>Je031622</v>
      </c>
      <c r="H2251" s="2">
        <f>50</f>
        <v>50</v>
      </c>
      <c r="I2251" t="s">
        <v>15</v>
      </c>
      <c r="J2251" t="s">
        <v>117</v>
      </c>
      <c r="K2251" t="str">
        <f>"60038394"</f>
        <v>60038394</v>
      </c>
    </row>
    <row r="2252" spans="1:11" x14ac:dyDescent="0.25">
      <c r="A2252">
        <v>2022</v>
      </c>
      <c r="B2252" t="s">
        <v>340</v>
      </c>
      <c r="C2252" t="s">
        <v>341</v>
      </c>
      <c r="D2252" t="s">
        <v>19</v>
      </c>
      <c r="E2252" t="s">
        <v>20</v>
      </c>
      <c r="F2252" t="str">
        <f>"43609"</f>
        <v>43609</v>
      </c>
      <c r="G2252" t="str">
        <f>"545075"</f>
        <v>545075</v>
      </c>
      <c r="H2252" s="2">
        <f>1.5</f>
        <v>1.5</v>
      </c>
      <c r="I2252" t="s">
        <v>27</v>
      </c>
      <c r="J2252" t="s">
        <v>31</v>
      </c>
      <c r="K2252" t="str">
        <f>"44008646"</f>
        <v>44008646</v>
      </c>
    </row>
    <row r="2253" spans="1:11" x14ac:dyDescent="0.25">
      <c r="A2253">
        <v>2022</v>
      </c>
      <c r="B2253" t="s">
        <v>384</v>
      </c>
      <c r="C2253" t="s">
        <v>385</v>
      </c>
      <c r="D2253" t="s">
        <v>58</v>
      </c>
      <c r="E2253" t="s">
        <v>20</v>
      </c>
      <c r="F2253" t="str">
        <f>"43616-2145"</f>
        <v>43616-2145</v>
      </c>
      <c r="G2253" t="str">
        <f>"545101"</f>
        <v>545101</v>
      </c>
      <c r="H2253" s="2">
        <f>20</f>
        <v>20</v>
      </c>
      <c r="I2253" t="s">
        <v>27</v>
      </c>
      <c r="J2253" t="s">
        <v>51</v>
      </c>
      <c r="K2253" t="str">
        <f>"117984"</f>
        <v>117984</v>
      </c>
    </row>
    <row r="2254" spans="1:11" x14ac:dyDescent="0.25">
      <c r="A2254">
        <v>2022</v>
      </c>
      <c r="B2254" t="s">
        <v>386</v>
      </c>
      <c r="C2254" t="s">
        <v>387</v>
      </c>
      <c r="D2254" t="s">
        <v>19</v>
      </c>
      <c r="E2254" t="s">
        <v>20</v>
      </c>
      <c r="F2254" t="str">
        <f>"43608"</f>
        <v>43608</v>
      </c>
      <c r="G2254" t="str">
        <f>"545042"</f>
        <v>545042</v>
      </c>
      <c r="H2254" s="2">
        <f>20</f>
        <v>20</v>
      </c>
      <c r="I2254" t="s">
        <v>27</v>
      </c>
      <c r="J2254" t="s">
        <v>257</v>
      </c>
      <c r="K2254" t="str">
        <f>"36617"</f>
        <v>36617</v>
      </c>
    </row>
    <row r="2255" spans="1:11" x14ac:dyDescent="0.25">
      <c r="A2255">
        <v>2022</v>
      </c>
      <c r="B2255" t="s">
        <v>393</v>
      </c>
      <c r="C2255" t="s">
        <v>394</v>
      </c>
      <c r="D2255" t="s">
        <v>19</v>
      </c>
      <c r="E2255" t="s">
        <v>20</v>
      </c>
      <c r="F2255" t="str">
        <f>"43614-1229"</f>
        <v>43614-1229</v>
      </c>
      <c r="G2255" t="str">
        <f>"545101"</f>
        <v>545101</v>
      </c>
      <c r="H2255" s="2">
        <f>20</f>
        <v>20</v>
      </c>
      <c r="I2255" t="s">
        <v>27</v>
      </c>
      <c r="J2255" t="s">
        <v>51</v>
      </c>
      <c r="K2255" t="str">
        <f>"117260"</f>
        <v>117260</v>
      </c>
    </row>
    <row r="2256" spans="1:11" x14ac:dyDescent="0.25">
      <c r="A2256">
        <v>2022</v>
      </c>
      <c r="B2256" t="s">
        <v>415</v>
      </c>
      <c r="C2256" t="s">
        <v>416</v>
      </c>
      <c r="D2256" t="s">
        <v>417</v>
      </c>
      <c r="E2256" t="s">
        <v>418</v>
      </c>
      <c r="F2256" t="str">
        <f>"60082"</f>
        <v>60082</v>
      </c>
      <c r="G2256" t="str">
        <f>"545042"</f>
        <v>545042</v>
      </c>
      <c r="H2256" s="2">
        <f>200</f>
        <v>200</v>
      </c>
      <c r="I2256" t="s">
        <v>27</v>
      </c>
      <c r="J2256" t="s">
        <v>257</v>
      </c>
      <c r="K2256" t="str">
        <f>"37309"</f>
        <v>37309</v>
      </c>
    </row>
    <row r="2257" spans="1:11" x14ac:dyDescent="0.25">
      <c r="A2257">
        <v>2022</v>
      </c>
      <c r="B2257" t="s">
        <v>415</v>
      </c>
      <c r="C2257" t="s">
        <v>416</v>
      </c>
      <c r="D2257" t="s">
        <v>417</v>
      </c>
      <c r="E2257" t="s">
        <v>418</v>
      </c>
      <c r="F2257" t="str">
        <f>"60082"</f>
        <v>60082</v>
      </c>
      <c r="G2257" t="str">
        <f>"545042"</f>
        <v>545042</v>
      </c>
      <c r="H2257" s="2">
        <f>125</f>
        <v>125</v>
      </c>
      <c r="I2257" t="s">
        <v>27</v>
      </c>
      <c r="J2257" t="s">
        <v>257</v>
      </c>
      <c r="K2257" t="str">
        <f>"37310"</f>
        <v>37310</v>
      </c>
    </row>
    <row r="2258" spans="1:11" x14ac:dyDescent="0.25">
      <c r="A2258">
        <v>2022</v>
      </c>
      <c r="B2258" t="s">
        <v>423</v>
      </c>
      <c r="C2258" t="s">
        <v>424</v>
      </c>
      <c r="D2258" t="s">
        <v>425</v>
      </c>
      <c r="E2258" t="s">
        <v>20</v>
      </c>
      <c r="F2258" t="str">
        <f>"44236"</f>
        <v>44236</v>
      </c>
      <c r="G2258" t="str">
        <f>"545044"</f>
        <v>545044</v>
      </c>
      <c r="H2258" s="2">
        <f>40</f>
        <v>40</v>
      </c>
      <c r="I2258" t="s">
        <v>27</v>
      </c>
      <c r="J2258" t="s">
        <v>28</v>
      </c>
      <c r="K2258" t="str">
        <f>"518352"</f>
        <v>518352</v>
      </c>
    </row>
    <row r="2259" spans="1:11" x14ac:dyDescent="0.25">
      <c r="A2259">
        <v>2022</v>
      </c>
      <c r="B2259" t="s">
        <v>433</v>
      </c>
      <c r="C2259" t="s">
        <v>434</v>
      </c>
      <c r="D2259" t="s">
        <v>435</v>
      </c>
      <c r="E2259" t="s">
        <v>436</v>
      </c>
      <c r="F2259" t="str">
        <f>"16601"</f>
        <v>16601</v>
      </c>
      <c r="G2259" t="str">
        <f>"545075"</f>
        <v>545075</v>
      </c>
      <c r="H2259" s="2">
        <f>93.53</f>
        <v>93.53</v>
      </c>
      <c r="I2259" t="s">
        <v>27</v>
      </c>
      <c r="J2259" t="s">
        <v>31</v>
      </c>
      <c r="K2259" t="str">
        <f>"44008874"</f>
        <v>44008874</v>
      </c>
    </row>
    <row r="2260" spans="1:11" x14ac:dyDescent="0.25">
      <c r="A2260">
        <v>2022</v>
      </c>
      <c r="B2260" t="s">
        <v>469</v>
      </c>
      <c r="C2260" t="s">
        <v>470</v>
      </c>
      <c r="D2260" t="s">
        <v>58</v>
      </c>
      <c r="E2260" t="s">
        <v>20</v>
      </c>
      <c r="F2260" t="str">
        <f>"43616"</f>
        <v>43616</v>
      </c>
      <c r="G2260" t="str">
        <f>"545044"</f>
        <v>545044</v>
      </c>
      <c r="H2260" s="2">
        <f>29.7</f>
        <v>29.7</v>
      </c>
      <c r="I2260" t="s">
        <v>27</v>
      </c>
      <c r="J2260" t="s">
        <v>28</v>
      </c>
      <c r="K2260" t="str">
        <f>"519344"</f>
        <v>519344</v>
      </c>
    </row>
    <row r="2261" spans="1:11" x14ac:dyDescent="0.25">
      <c r="A2261">
        <v>2022</v>
      </c>
      <c r="B2261" t="s">
        <v>534</v>
      </c>
      <c r="C2261" t="s">
        <v>535</v>
      </c>
      <c r="D2261" t="s">
        <v>536</v>
      </c>
      <c r="E2261" t="s">
        <v>14</v>
      </c>
      <c r="F2261" t="str">
        <f>"48161"</f>
        <v>48161</v>
      </c>
      <c r="G2261" t="str">
        <f>"545043"</f>
        <v>545043</v>
      </c>
      <c r="H2261" s="2">
        <f>45.8</f>
        <v>45.8</v>
      </c>
      <c r="I2261" t="s">
        <v>27</v>
      </c>
      <c r="J2261" t="s">
        <v>77</v>
      </c>
      <c r="K2261" t="str">
        <f>"333322"</f>
        <v>333322</v>
      </c>
    </row>
    <row r="2262" spans="1:11" x14ac:dyDescent="0.25">
      <c r="A2262">
        <v>2022</v>
      </c>
      <c r="B2262" t="s">
        <v>555</v>
      </c>
      <c r="C2262" t="s">
        <v>556</v>
      </c>
      <c r="D2262" t="s">
        <v>19</v>
      </c>
      <c r="E2262" t="s">
        <v>20</v>
      </c>
      <c r="F2262" t="str">
        <f>"43606-4545"</f>
        <v>43606-4545</v>
      </c>
      <c r="G2262" t="str">
        <f>"545101"</f>
        <v>545101</v>
      </c>
      <c r="H2262" s="2">
        <f>10</f>
        <v>10</v>
      </c>
      <c r="I2262" t="s">
        <v>27</v>
      </c>
      <c r="J2262" t="s">
        <v>51</v>
      </c>
      <c r="K2262" t="str">
        <f>"116583"</f>
        <v>116583</v>
      </c>
    </row>
    <row r="2263" spans="1:11" x14ac:dyDescent="0.25">
      <c r="A2263">
        <v>2022</v>
      </c>
      <c r="B2263" t="s">
        <v>559</v>
      </c>
      <c r="C2263" t="s">
        <v>560</v>
      </c>
      <c r="D2263" t="s">
        <v>125</v>
      </c>
      <c r="E2263" t="s">
        <v>20</v>
      </c>
      <c r="F2263" t="str">
        <f>"43537"</f>
        <v>43537</v>
      </c>
      <c r="G2263" t="str">
        <f>"Je031622"</f>
        <v>Je031622</v>
      </c>
      <c r="H2263" s="2">
        <f t="shared" ref="H2263:H2270" si="67">7.54</f>
        <v>7.54</v>
      </c>
      <c r="I2263" t="s">
        <v>15</v>
      </c>
      <c r="J2263" t="s">
        <v>117</v>
      </c>
      <c r="K2263" t="str">
        <f>"60039265"</f>
        <v>60039265</v>
      </c>
    </row>
    <row r="2264" spans="1:11" x14ac:dyDescent="0.25">
      <c r="A2264">
        <v>2022</v>
      </c>
      <c r="B2264" t="s">
        <v>559</v>
      </c>
      <c r="C2264" t="s">
        <v>560</v>
      </c>
      <c r="D2264" t="s">
        <v>125</v>
      </c>
      <c r="E2264" t="s">
        <v>20</v>
      </c>
      <c r="F2264" t="str">
        <f>"43537"</f>
        <v>43537</v>
      </c>
      <c r="G2264" t="str">
        <f>"Je010722"</f>
        <v>Je010722</v>
      </c>
      <c r="H2264" s="2">
        <f t="shared" si="67"/>
        <v>7.54</v>
      </c>
      <c r="I2264" t="s">
        <v>15</v>
      </c>
      <c r="J2264" t="s">
        <v>90</v>
      </c>
      <c r="K2264" t="str">
        <f>"60026150"</f>
        <v>60026150</v>
      </c>
    </row>
    <row r="2265" spans="1:11" x14ac:dyDescent="0.25">
      <c r="A2265">
        <v>2022</v>
      </c>
      <c r="B2265" t="s">
        <v>594</v>
      </c>
      <c r="C2265" t="s">
        <v>595</v>
      </c>
      <c r="D2265" t="s">
        <v>19</v>
      </c>
      <c r="E2265" t="s">
        <v>20</v>
      </c>
      <c r="F2265" t="str">
        <f t="shared" ref="F2265:F2270" si="68">"43612"</f>
        <v>43612</v>
      </c>
      <c r="G2265" t="str">
        <f>"Je010722"</f>
        <v>Je010722</v>
      </c>
      <c r="H2265" s="2">
        <f t="shared" si="67"/>
        <v>7.54</v>
      </c>
      <c r="I2265" t="s">
        <v>15</v>
      </c>
      <c r="J2265" t="s">
        <v>90</v>
      </c>
      <c r="K2265" t="str">
        <f>"60028900"</f>
        <v>60028900</v>
      </c>
    </row>
    <row r="2266" spans="1:11" x14ac:dyDescent="0.25">
      <c r="A2266">
        <v>2022</v>
      </c>
      <c r="B2266" t="s">
        <v>594</v>
      </c>
      <c r="C2266" t="s">
        <v>595</v>
      </c>
      <c r="D2266" t="s">
        <v>19</v>
      </c>
      <c r="E2266" t="s">
        <v>20</v>
      </c>
      <c r="F2266" t="str">
        <f t="shared" si="68"/>
        <v>43612</v>
      </c>
      <c r="G2266" t="str">
        <f>"Je010722"</f>
        <v>Je010722</v>
      </c>
      <c r="H2266" s="2">
        <f t="shared" si="67"/>
        <v>7.54</v>
      </c>
      <c r="I2266" t="s">
        <v>15</v>
      </c>
      <c r="J2266" t="s">
        <v>90</v>
      </c>
      <c r="K2266" t="str">
        <f>"60034237"</f>
        <v>60034237</v>
      </c>
    </row>
    <row r="2267" spans="1:11" x14ac:dyDescent="0.25">
      <c r="A2267">
        <v>2022</v>
      </c>
      <c r="B2267" t="s">
        <v>594</v>
      </c>
      <c r="C2267" t="s">
        <v>595</v>
      </c>
      <c r="D2267" t="s">
        <v>19</v>
      </c>
      <c r="E2267" t="s">
        <v>20</v>
      </c>
      <c r="F2267" t="str">
        <f t="shared" si="68"/>
        <v>43612</v>
      </c>
      <c r="G2267" t="str">
        <f>"Je010722"</f>
        <v>Je010722</v>
      </c>
      <c r="H2267" s="2">
        <f t="shared" si="67"/>
        <v>7.54</v>
      </c>
      <c r="I2267" t="s">
        <v>15</v>
      </c>
      <c r="J2267" t="s">
        <v>90</v>
      </c>
      <c r="K2267" t="str">
        <f>"60026152"</f>
        <v>60026152</v>
      </c>
    </row>
    <row r="2268" spans="1:11" x14ac:dyDescent="0.25">
      <c r="A2268">
        <v>2022</v>
      </c>
      <c r="B2268" t="s">
        <v>594</v>
      </c>
      <c r="C2268" t="s">
        <v>595</v>
      </c>
      <c r="D2268" t="s">
        <v>19</v>
      </c>
      <c r="E2268" t="s">
        <v>20</v>
      </c>
      <c r="F2268" t="str">
        <f t="shared" si="68"/>
        <v>43612</v>
      </c>
      <c r="G2268" t="str">
        <f>"Je031622"</f>
        <v>Je031622</v>
      </c>
      <c r="H2268" s="2">
        <f t="shared" si="67"/>
        <v>7.54</v>
      </c>
      <c r="I2268" t="s">
        <v>15</v>
      </c>
      <c r="J2268" t="s">
        <v>117</v>
      </c>
      <c r="K2268" t="str">
        <f>"60036688"</f>
        <v>60036688</v>
      </c>
    </row>
    <row r="2269" spans="1:11" x14ac:dyDescent="0.25">
      <c r="A2269">
        <v>2022</v>
      </c>
      <c r="B2269" t="s">
        <v>594</v>
      </c>
      <c r="C2269" t="s">
        <v>595</v>
      </c>
      <c r="D2269" t="s">
        <v>19</v>
      </c>
      <c r="E2269" t="s">
        <v>20</v>
      </c>
      <c r="F2269" t="str">
        <f t="shared" si="68"/>
        <v>43612</v>
      </c>
      <c r="G2269" t="str">
        <f>"Je031622"</f>
        <v>Je031622</v>
      </c>
      <c r="H2269" s="2">
        <f t="shared" si="67"/>
        <v>7.54</v>
      </c>
      <c r="I2269" t="s">
        <v>15</v>
      </c>
      <c r="J2269" t="s">
        <v>117</v>
      </c>
      <c r="K2269" t="str">
        <f>"60039267"</f>
        <v>60039267</v>
      </c>
    </row>
    <row r="2270" spans="1:11" x14ac:dyDescent="0.25">
      <c r="A2270">
        <v>2022</v>
      </c>
      <c r="B2270" t="s">
        <v>594</v>
      </c>
      <c r="C2270" t="s">
        <v>595</v>
      </c>
      <c r="D2270" t="s">
        <v>19</v>
      </c>
      <c r="E2270" t="s">
        <v>20</v>
      </c>
      <c r="F2270" t="str">
        <f t="shared" si="68"/>
        <v>43612</v>
      </c>
      <c r="G2270" t="str">
        <f>"Je031622"</f>
        <v>Je031622</v>
      </c>
      <c r="H2270" s="2">
        <f t="shared" si="67"/>
        <v>7.54</v>
      </c>
      <c r="I2270" t="s">
        <v>15</v>
      </c>
      <c r="J2270" t="s">
        <v>117</v>
      </c>
      <c r="K2270" t="str">
        <f>"60041617"</f>
        <v>60041617</v>
      </c>
    </row>
    <row r="2271" spans="1:11" x14ac:dyDescent="0.25">
      <c r="A2271">
        <v>2022</v>
      </c>
      <c r="B2271" t="s">
        <v>667</v>
      </c>
      <c r="C2271" t="s">
        <v>668</v>
      </c>
      <c r="D2271" t="s">
        <v>19</v>
      </c>
      <c r="E2271" t="s">
        <v>20</v>
      </c>
      <c r="F2271" t="str">
        <f>"43612-2564"</f>
        <v>43612-2564</v>
      </c>
      <c r="G2271" t="str">
        <f>"545101"</f>
        <v>545101</v>
      </c>
      <c r="H2271" s="2">
        <f>20</f>
        <v>20</v>
      </c>
      <c r="I2271" t="s">
        <v>27</v>
      </c>
      <c r="J2271" t="s">
        <v>51</v>
      </c>
      <c r="K2271" t="str">
        <f>"116381"</f>
        <v>116381</v>
      </c>
    </row>
    <row r="2272" spans="1:11" x14ac:dyDescent="0.25">
      <c r="A2272">
        <v>2022</v>
      </c>
      <c r="B2272" t="s">
        <v>694</v>
      </c>
      <c r="C2272" t="s">
        <v>695</v>
      </c>
      <c r="D2272" t="s">
        <v>19</v>
      </c>
      <c r="E2272" t="s">
        <v>20</v>
      </c>
      <c r="F2272" t="str">
        <f>"43612"</f>
        <v>43612</v>
      </c>
      <c r="G2272" t="str">
        <f>"545044"</f>
        <v>545044</v>
      </c>
      <c r="H2272" s="2">
        <f>25</f>
        <v>25</v>
      </c>
      <c r="I2272" t="s">
        <v>27</v>
      </c>
      <c r="J2272" t="s">
        <v>28</v>
      </c>
      <c r="K2272" t="str">
        <f>"519716"</f>
        <v>519716</v>
      </c>
    </row>
    <row r="2273" spans="1:11" x14ac:dyDescent="0.25">
      <c r="A2273">
        <v>2022</v>
      </c>
      <c r="B2273" t="s">
        <v>702</v>
      </c>
      <c r="C2273" t="s">
        <v>703</v>
      </c>
      <c r="D2273" t="s">
        <v>19</v>
      </c>
      <c r="E2273" t="s">
        <v>20</v>
      </c>
      <c r="F2273" t="str">
        <f>"43609"</f>
        <v>43609</v>
      </c>
      <c r="G2273" t="str">
        <f>"545043"</f>
        <v>545043</v>
      </c>
      <c r="H2273" s="2">
        <f>28.7</f>
        <v>28.7</v>
      </c>
      <c r="I2273" t="s">
        <v>27</v>
      </c>
      <c r="J2273" t="s">
        <v>77</v>
      </c>
      <c r="K2273" t="str">
        <f>"332972"</f>
        <v>332972</v>
      </c>
    </row>
    <row r="2274" spans="1:11" x14ac:dyDescent="0.25">
      <c r="A2274">
        <v>2022</v>
      </c>
      <c r="B2274" t="s">
        <v>711</v>
      </c>
      <c r="C2274" t="s">
        <v>712</v>
      </c>
      <c r="D2274" t="s">
        <v>19</v>
      </c>
      <c r="E2274" t="s">
        <v>20</v>
      </c>
      <c r="F2274" t="str">
        <f>"43613-4220"</f>
        <v>43613-4220</v>
      </c>
      <c r="G2274" t="str">
        <f>"545101"</f>
        <v>545101</v>
      </c>
      <c r="H2274" s="2">
        <f>10</f>
        <v>10</v>
      </c>
      <c r="I2274" t="s">
        <v>27</v>
      </c>
      <c r="J2274" t="s">
        <v>51</v>
      </c>
      <c r="K2274" t="str">
        <f>"116476"</f>
        <v>116476</v>
      </c>
    </row>
    <row r="2275" spans="1:11" x14ac:dyDescent="0.25">
      <c r="A2275">
        <v>2022</v>
      </c>
      <c r="B2275" t="s">
        <v>719</v>
      </c>
      <c r="C2275" t="s">
        <v>720</v>
      </c>
      <c r="D2275" t="s">
        <v>19</v>
      </c>
      <c r="E2275" t="s">
        <v>20</v>
      </c>
      <c r="F2275" t="str">
        <f>"43613"</f>
        <v>43613</v>
      </c>
      <c r="G2275" t="str">
        <f>"Je11032022"</f>
        <v>Je11032022</v>
      </c>
      <c r="H2275" s="2">
        <f>25</f>
        <v>25</v>
      </c>
      <c r="I2275" t="s">
        <v>15</v>
      </c>
      <c r="J2275" t="s">
        <v>234</v>
      </c>
      <c r="K2275" t="str">
        <f>"60053681"</f>
        <v>60053681</v>
      </c>
    </row>
    <row r="2276" spans="1:11" x14ac:dyDescent="0.25">
      <c r="A2276">
        <v>2022</v>
      </c>
      <c r="B2276" t="s">
        <v>735</v>
      </c>
      <c r="C2276" t="s">
        <v>736</v>
      </c>
      <c r="D2276" t="s">
        <v>19</v>
      </c>
      <c r="E2276" t="s">
        <v>20</v>
      </c>
      <c r="F2276" t="str">
        <f>"43611"</f>
        <v>43611</v>
      </c>
      <c r="G2276" t="str">
        <f>"Je010722"</f>
        <v>Je010722</v>
      </c>
      <c r="H2276" s="2">
        <f>10</f>
        <v>10</v>
      </c>
      <c r="I2276" t="s">
        <v>15</v>
      </c>
      <c r="J2276" t="s">
        <v>90</v>
      </c>
      <c r="K2276" t="str">
        <f>"60035225"</f>
        <v>60035225</v>
      </c>
    </row>
    <row r="2277" spans="1:11" x14ac:dyDescent="0.25">
      <c r="A2277">
        <v>2022</v>
      </c>
      <c r="B2277" t="s">
        <v>741</v>
      </c>
      <c r="C2277" t="s">
        <v>742</v>
      </c>
      <c r="D2277" t="s">
        <v>19</v>
      </c>
      <c r="E2277" t="s">
        <v>20</v>
      </c>
      <c r="F2277" t="str">
        <f>"43608"</f>
        <v>43608</v>
      </c>
      <c r="G2277" t="str">
        <f>"Je031622"</f>
        <v>Je031622</v>
      </c>
      <c r="H2277" s="2">
        <f>44</f>
        <v>44</v>
      </c>
      <c r="I2277" t="s">
        <v>15</v>
      </c>
      <c r="J2277" t="s">
        <v>117</v>
      </c>
      <c r="K2277" t="str">
        <f>"60037507"</f>
        <v>60037507</v>
      </c>
    </row>
    <row r="2278" spans="1:11" x14ac:dyDescent="0.25">
      <c r="A2278">
        <v>2022</v>
      </c>
      <c r="B2278" t="s">
        <v>745</v>
      </c>
      <c r="C2278" t="s">
        <v>746</v>
      </c>
      <c r="D2278" t="s">
        <v>125</v>
      </c>
      <c r="E2278" t="s">
        <v>20</v>
      </c>
      <c r="F2278" t="str">
        <f>"43537"</f>
        <v>43537</v>
      </c>
      <c r="G2278" t="str">
        <f>"545044"</f>
        <v>545044</v>
      </c>
      <c r="H2278" s="2">
        <f>5</f>
        <v>5</v>
      </c>
      <c r="I2278" t="s">
        <v>27</v>
      </c>
      <c r="J2278" t="s">
        <v>28</v>
      </c>
      <c r="K2278" t="str">
        <f>"518838"</f>
        <v>518838</v>
      </c>
    </row>
    <row r="2279" spans="1:11" x14ac:dyDescent="0.25">
      <c r="A2279">
        <v>2022</v>
      </c>
      <c r="B2279" t="s">
        <v>747</v>
      </c>
      <c r="C2279" t="s">
        <v>748</v>
      </c>
      <c r="D2279" t="s">
        <v>19</v>
      </c>
      <c r="E2279" t="s">
        <v>20</v>
      </c>
      <c r="F2279" t="str">
        <f>"43604"</f>
        <v>43604</v>
      </c>
      <c r="G2279" t="str">
        <f>"545043"</f>
        <v>545043</v>
      </c>
      <c r="H2279" s="2">
        <f>8.2</f>
        <v>8.1999999999999993</v>
      </c>
      <c r="I2279" t="s">
        <v>27</v>
      </c>
      <c r="J2279" t="s">
        <v>77</v>
      </c>
      <c r="K2279" t="str">
        <f>"332707"</f>
        <v>332707</v>
      </c>
    </row>
    <row r="2280" spans="1:11" x14ac:dyDescent="0.25">
      <c r="A2280">
        <v>2022</v>
      </c>
      <c r="B2280" t="s">
        <v>776</v>
      </c>
      <c r="C2280" t="s">
        <v>777</v>
      </c>
      <c r="D2280" t="s">
        <v>19</v>
      </c>
      <c r="E2280" t="s">
        <v>20</v>
      </c>
      <c r="F2280" t="str">
        <f>"43614-5347"</f>
        <v>43614-5347</v>
      </c>
      <c r="G2280" t="str">
        <f>"545101"</f>
        <v>545101</v>
      </c>
      <c r="H2280" s="2">
        <f>10</f>
        <v>10</v>
      </c>
      <c r="I2280" t="s">
        <v>27</v>
      </c>
      <c r="J2280" t="s">
        <v>51</v>
      </c>
      <c r="K2280" t="str">
        <f>"116380"</f>
        <v>116380</v>
      </c>
    </row>
    <row r="2281" spans="1:11" x14ac:dyDescent="0.25">
      <c r="A2281">
        <v>2022</v>
      </c>
      <c r="B2281" t="s">
        <v>797</v>
      </c>
      <c r="C2281" t="s">
        <v>798</v>
      </c>
      <c r="D2281" t="s">
        <v>19</v>
      </c>
      <c r="E2281" t="s">
        <v>20</v>
      </c>
      <c r="F2281" t="str">
        <f>"43615"</f>
        <v>43615</v>
      </c>
      <c r="G2281" t="str">
        <f>"Je11032022"</f>
        <v>Je11032022</v>
      </c>
      <c r="H2281" s="2">
        <f>25</f>
        <v>25</v>
      </c>
      <c r="I2281" t="s">
        <v>15</v>
      </c>
      <c r="J2281" t="s">
        <v>234</v>
      </c>
      <c r="K2281" t="str">
        <f>"60053708"</f>
        <v>60053708</v>
      </c>
    </row>
    <row r="2282" spans="1:11" x14ac:dyDescent="0.25">
      <c r="A2282">
        <v>2022</v>
      </c>
      <c r="B2282" t="s">
        <v>801</v>
      </c>
      <c r="C2282" t="s">
        <v>802</v>
      </c>
      <c r="D2282" t="s">
        <v>19</v>
      </c>
      <c r="E2282" t="s">
        <v>20</v>
      </c>
      <c r="F2282" t="str">
        <f>"43611-2835"</f>
        <v>43611-2835</v>
      </c>
      <c r="G2282" t="str">
        <f>"545101"</f>
        <v>545101</v>
      </c>
      <c r="H2282" s="2">
        <f>10</f>
        <v>10</v>
      </c>
      <c r="I2282" t="s">
        <v>27</v>
      </c>
      <c r="J2282" t="s">
        <v>51</v>
      </c>
      <c r="K2282" t="str">
        <f>"117126"</f>
        <v>117126</v>
      </c>
    </row>
    <row r="2283" spans="1:11" x14ac:dyDescent="0.25">
      <c r="A2283">
        <v>2022</v>
      </c>
      <c r="B2283" t="s">
        <v>807</v>
      </c>
      <c r="C2283" t="s">
        <v>808</v>
      </c>
      <c r="D2283" t="s">
        <v>19</v>
      </c>
      <c r="E2283" t="s">
        <v>20</v>
      </c>
      <c r="F2283" t="str">
        <f>"43615"</f>
        <v>43615</v>
      </c>
      <c r="G2283" t="str">
        <f>"Je11032022"</f>
        <v>Je11032022</v>
      </c>
      <c r="H2283" s="2">
        <f>25</f>
        <v>25</v>
      </c>
      <c r="I2283" t="s">
        <v>15</v>
      </c>
      <c r="J2283" t="s">
        <v>234</v>
      </c>
      <c r="K2283" t="str">
        <f>"60053710"</f>
        <v>60053710</v>
      </c>
    </row>
    <row r="2284" spans="1:11" x14ac:dyDescent="0.25">
      <c r="A2284">
        <v>2022</v>
      </c>
      <c r="B2284" t="s">
        <v>809</v>
      </c>
      <c r="C2284" t="s">
        <v>810</v>
      </c>
      <c r="D2284" t="s">
        <v>323</v>
      </c>
      <c r="E2284" t="s">
        <v>20</v>
      </c>
      <c r="F2284" t="str">
        <f>"43571"</f>
        <v>43571</v>
      </c>
      <c r="G2284" t="str">
        <f>"562222"</f>
        <v>562222</v>
      </c>
      <c r="H2284" s="2">
        <f>1</f>
        <v>1</v>
      </c>
      <c r="I2284" t="s">
        <v>519</v>
      </c>
      <c r="J2284" t="s">
        <v>811</v>
      </c>
      <c r="K2284" t="str">
        <f>"11226"</f>
        <v>11226</v>
      </c>
    </row>
    <row r="2285" spans="1:11" x14ac:dyDescent="0.25">
      <c r="A2285">
        <v>2022</v>
      </c>
      <c r="B2285" t="s">
        <v>812</v>
      </c>
      <c r="C2285" t="s">
        <v>808</v>
      </c>
      <c r="D2285" t="s">
        <v>19</v>
      </c>
      <c r="E2285" t="s">
        <v>20</v>
      </c>
      <c r="F2285" t="str">
        <f>"43615"</f>
        <v>43615</v>
      </c>
      <c r="G2285" t="str">
        <f>"Je11032022"</f>
        <v>Je11032022</v>
      </c>
      <c r="H2285" s="2">
        <f>25</f>
        <v>25</v>
      </c>
      <c r="I2285" t="s">
        <v>15</v>
      </c>
      <c r="J2285" t="s">
        <v>234</v>
      </c>
      <c r="K2285" t="str">
        <f>"60053711"</f>
        <v>60053711</v>
      </c>
    </row>
    <row r="2286" spans="1:11" x14ac:dyDescent="0.25">
      <c r="A2286">
        <v>2022</v>
      </c>
      <c r="B2286" t="s">
        <v>815</v>
      </c>
      <c r="C2286" t="s">
        <v>816</v>
      </c>
      <c r="D2286" t="s">
        <v>19</v>
      </c>
      <c r="E2286" t="s">
        <v>20</v>
      </c>
      <c r="F2286" t="str">
        <f>"43605-2318"</f>
        <v>43605-2318</v>
      </c>
      <c r="G2286" t="str">
        <f>"545101"</f>
        <v>545101</v>
      </c>
      <c r="H2286" s="2">
        <f>60</f>
        <v>60</v>
      </c>
      <c r="I2286" t="s">
        <v>27</v>
      </c>
      <c r="J2286" t="s">
        <v>51</v>
      </c>
      <c r="K2286" t="str">
        <f>"117971"</f>
        <v>117971</v>
      </c>
    </row>
    <row r="2287" spans="1:11" x14ac:dyDescent="0.25">
      <c r="A2287">
        <v>2022</v>
      </c>
      <c r="B2287" t="s">
        <v>876</v>
      </c>
      <c r="C2287" t="s">
        <v>877</v>
      </c>
      <c r="D2287" t="s">
        <v>50</v>
      </c>
      <c r="E2287" t="s">
        <v>20</v>
      </c>
      <c r="F2287" t="str">
        <f>"43560-3603"</f>
        <v>43560-3603</v>
      </c>
      <c r="G2287" t="str">
        <f>"545101"</f>
        <v>545101</v>
      </c>
      <c r="H2287" s="2">
        <f>50</f>
        <v>50</v>
      </c>
      <c r="I2287" t="s">
        <v>27</v>
      </c>
      <c r="J2287" t="s">
        <v>51</v>
      </c>
      <c r="K2287" t="str">
        <f>"116979"</f>
        <v>116979</v>
      </c>
    </row>
    <row r="2288" spans="1:11" x14ac:dyDescent="0.25">
      <c r="A2288">
        <v>2022</v>
      </c>
      <c r="B2288" t="s">
        <v>876</v>
      </c>
      <c r="C2288" t="s">
        <v>877</v>
      </c>
      <c r="D2288" t="s">
        <v>50</v>
      </c>
      <c r="E2288" t="s">
        <v>20</v>
      </c>
      <c r="F2288" t="str">
        <f>"43560-3603"</f>
        <v>43560-3603</v>
      </c>
      <c r="G2288" t="str">
        <f>"545101"</f>
        <v>545101</v>
      </c>
      <c r="H2288" s="2">
        <f>50</f>
        <v>50</v>
      </c>
      <c r="I2288" t="s">
        <v>27</v>
      </c>
      <c r="J2288" t="s">
        <v>51</v>
      </c>
      <c r="K2288" t="str">
        <f>"116826"</f>
        <v>116826</v>
      </c>
    </row>
    <row r="2289" spans="1:11" x14ac:dyDescent="0.25">
      <c r="A2289">
        <v>2022</v>
      </c>
      <c r="B2289" t="s">
        <v>884</v>
      </c>
      <c r="C2289" t="s">
        <v>885</v>
      </c>
      <c r="D2289" t="s">
        <v>886</v>
      </c>
      <c r="E2289" t="s">
        <v>887</v>
      </c>
      <c r="F2289" t="str">
        <f>"37130"</f>
        <v>37130</v>
      </c>
      <c r="G2289" t="str">
        <f>"545044"</f>
        <v>545044</v>
      </c>
      <c r="H2289" s="2">
        <f>878.94</f>
        <v>878.94</v>
      </c>
      <c r="I2289" t="s">
        <v>27</v>
      </c>
      <c r="J2289" t="s">
        <v>28</v>
      </c>
      <c r="K2289" t="str">
        <f>"518888"</f>
        <v>518888</v>
      </c>
    </row>
    <row r="2290" spans="1:11" x14ac:dyDescent="0.25">
      <c r="A2290">
        <v>2022</v>
      </c>
      <c r="B2290" t="s">
        <v>959</v>
      </c>
      <c r="C2290" t="s">
        <v>960</v>
      </c>
      <c r="D2290" t="s">
        <v>19</v>
      </c>
      <c r="E2290" t="s">
        <v>20</v>
      </c>
      <c r="F2290" t="str">
        <f>"43613"</f>
        <v>43613</v>
      </c>
      <c r="G2290" t="str">
        <f>"Je11032022"</f>
        <v>Je11032022</v>
      </c>
      <c r="H2290" s="2">
        <f>25</f>
        <v>25</v>
      </c>
      <c r="I2290" t="s">
        <v>15</v>
      </c>
      <c r="J2290" t="s">
        <v>234</v>
      </c>
      <c r="K2290" t="str">
        <f>"60054183"</f>
        <v>60054183</v>
      </c>
    </row>
    <row r="2291" spans="1:11" x14ac:dyDescent="0.25">
      <c r="A2291">
        <v>2022</v>
      </c>
      <c r="B2291" t="s">
        <v>987</v>
      </c>
      <c r="C2291" t="s">
        <v>988</v>
      </c>
      <c r="D2291" t="s">
        <v>19</v>
      </c>
      <c r="E2291" t="s">
        <v>20</v>
      </c>
      <c r="F2291" t="str">
        <f>"43607-3838"</f>
        <v>43607-3838</v>
      </c>
      <c r="G2291" t="str">
        <f>"545101"</f>
        <v>545101</v>
      </c>
      <c r="H2291" s="2">
        <f>10</f>
        <v>10</v>
      </c>
      <c r="I2291" t="s">
        <v>27</v>
      </c>
      <c r="J2291" t="s">
        <v>51</v>
      </c>
      <c r="K2291" t="str">
        <f>"116332"</f>
        <v>116332</v>
      </c>
    </row>
    <row r="2292" spans="1:11" x14ac:dyDescent="0.25">
      <c r="A2292">
        <v>2022</v>
      </c>
      <c r="B2292" t="s">
        <v>989</v>
      </c>
      <c r="C2292" t="s">
        <v>990</v>
      </c>
      <c r="D2292" t="s">
        <v>19</v>
      </c>
      <c r="E2292" t="s">
        <v>20</v>
      </c>
      <c r="F2292" t="str">
        <f>"43606"</f>
        <v>43606</v>
      </c>
      <c r="G2292" t="str">
        <f>"545101"</f>
        <v>545101</v>
      </c>
      <c r="H2292" s="2">
        <f>60</f>
        <v>60</v>
      </c>
      <c r="I2292" t="s">
        <v>27</v>
      </c>
      <c r="J2292" t="s">
        <v>51</v>
      </c>
      <c r="K2292" t="str">
        <f>"117678"</f>
        <v>117678</v>
      </c>
    </row>
    <row r="2293" spans="1:11" x14ac:dyDescent="0.25">
      <c r="A2293">
        <v>2022</v>
      </c>
      <c r="B2293" t="s">
        <v>991</v>
      </c>
      <c r="C2293" t="s">
        <v>992</v>
      </c>
      <c r="D2293" t="s">
        <v>19</v>
      </c>
      <c r="E2293" t="s">
        <v>20</v>
      </c>
      <c r="F2293" t="str">
        <f>"43606"</f>
        <v>43606</v>
      </c>
      <c r="G2293" t="str">
        <f>"Je11032022"</f>
        <v>Je11032022</v>
      </c>
      <c r="H2293" s="2">
        <f>42.5</f>
        <v>42.5</v>
      </c>
      <c r="I2293" t="s">
        <v>15</v>
      </c>
      <c r="J2293" t="s">
        <v>234</v>
      </c>
      <c r="K2293" t="str">
        <f>"60056018"</f>
        <v>60056018</v>
      </c>
    </row>
    <row r="2294" spans="1:11" x14ac:dyDescent="0.25">
      <c r="A2294">
        <v>2022</v>
      </c>
      <c r="B2294" t="s">
        <v>1013</v>
      </c>
      <c r="C2294" t="s">
        <v>1014</v>
      </c>
      <c r="D2294" t="s">
        <v>19</v>
      </c>
      <c r="E2294" t="s">
        <v>20</v>
      </c>
      <c r="F2294" t="str">
        <f>"43615-6784"</f>
        <v>43615-6784</v>
      </c>
      <c r="G2294" t="str">
        <f>"545101"</f>
        <v>545101</v>
      </c>
      <c r="H2294" s="2">
        <f>10</f>
        <v>10</v>
      </c>
      <c r="I2294" t="s">
        <v>27</v>
      </c>
      <c r="J2294" t="s">
        <v>51</v>
      </c>
      <c r="K2294" t="str">
        <f>"116732"</f>
        <v>116732</v>
      </c>
    </row>
    <row r="2295" spans="1:11" x14ac:dyDescent="0.25">
      <c r="A2295">
        <v>2022</v>
      </c>
      <c r="B2295" t="s">
        <v>1015</v>
      </c>
      <c r="C2295" t="s">
        <v>1016</v>
      </c>
      <c r="D2295" t="s">
        <v>19</v>
      </c>
      <c r="E2295" t="s">
        <v>20</v>
      </c>
      <c r="F2295" t="str">
        <f>"43607"</f>
        <v>43607</v>
      </c>
      <c r="G2295" t="str">
        <f>"Je070522"</f>
        <v>Je070522</v>
      </c>
      <c r="H2295" s="2">
        <f>45.56</f>
        <v>45.56</v>
      </c>
      <c r="I2295" t="s">
        <v>15</v>
      </c>
      <c r="J2295" t="s">
        <v>207</v>
      </c>
      <c r="K2295" t="str">
        <f>"60047835"</f>
        <v>60047835</v>
      </c>
    </row>
    <row r="2296" spans="1:11" x14ac:dyDescent="0.25">
      <c r="A2296">
        <v>2022</v>
      </c>
      <c r="B2296" t="s">
        <v>1017</v>
      </c>
      <c r="C2296" t="s">
        <v>1018</v>
      </c>
      <c r="D2296" t="s">
        <v>19</v>
      </c>
      <c r="E2296" t="s">
        <v>20</v>
      </c>
      <c r="F2296" t="str">
        <f>"43612"</f>
        <v>43612</v>
      </c>
      <c r="G2296" t="str">
        <f>"545043"</f>
        <v>545043</v>
      </c>
      <c r="H2296" s="2">
        <f>21.37</f>
        <v>21.37</v>
      </c>
      <c r="I2296" t="s">
        <v>27</v>
      </c>
      <c r="J2296" t="s">
        <v>77</v>
      </c>
      <c r="K2296" t="str">
        <f>"332907"</f>
        <v>332907</v>
      </c>
    </row>
    <row r="2297" spans="1:11" x14ac:dyDescent="0.25">
      <c r="A2297">
        <v>2022</v>
      </c>
      <c r="B2297" t="s">
        <v>1017</v>
      </c>
      <c r="C2297" t="s">
        <v>1018</v>
      </c>
      <c r="D2297" t="s">
        <v>19</v>
      </c>
      <c r="E2297" t="s">
        <v>20</v>
      </c>
      <c r="F2297" t="str">
        <f>"43612"</f>
        <v>43612</v>
      </c>
      <c r="G2297" t="str">
        <f>"545043"</f>
        <v>545043</v>
      </c>
      <c r="H2297" s="2">
        <f>40.8</f>
        <v>40.799999999999997</v>
      </c>
      <c r="I2297" t="s">
        <v>27</v>
      </c>
      <c r="J2297" t="s">
        <v>77</v>
      </c>
      <c r="K2297" t="str">
        <f>"332973"</f>
        <v>332973</v>
      </c>
    </row>
    <row r="2298" spans="1:11" x14ac:dyDescent="0.25">
      <c r="A2298">
        <v>2022</v>
      </c>
      <c r="B2298" t="s">
        <v>1029</v>
      </c>
      <c r="C2298" t="s">
        <v>1030</v>
      </c>
      <c r="D2298" t="s">
        <v>125</v>
      </c>
      <c r="E2298" t="s">
        <v>20</v>
      </c>
      <c r="F2298" t="str">
        <f>"43537-4131"</f>
        <v>43537-4131</v>
      </c>
      <c r="G2298" t="str">
        <f>"545101"</f>
        <v>545101</v>
      </c>
      <c r="H2298" s="2">
        <f>20</f>
        <v>20</v>
      </c>
      <c r="I2298" t="s">
        <v>27</v>
      </c>
      <c r="J2298" t="s">
        <v>51</v>
      </c>
      <c r="K2298" t="str">
        <f>"117057"</f>
        <v>117057</v>
      </c>
    </row>
    <row r="2299" spans="1:11" x14ac:dyDescent="0.25">
      <c r="A2299">
        <v>2022</v>
      </c>
      <c r="B2299" t="s">
        <v>1041</v>
      </c>
      <c r="C2299" t="s">
        <v>1042</v>
      </c>
      <c r="D2299" t="s">
        <v>19</v>
      </c>
      <c r="E2299" t="s">
        <v>20</v>
      </c>
      <c r="F2299" t="str">
        <f>"43617"</f>
        <v>43617</v>
      </c>
      <c r="G2299" t="str">
        <f>"545042"</f>
        <v>545042</v>
      </c>
      <c r="H2299" s="2">
        <f>7.3</f>
        <v>7.3</v>
      </c>
      <c r="I2299" t="s">
        <v>27</v>
      </c>
      <c r="J2299" t="s">
        <v>257</v>
      </c>
      <c r="K2299" t="str">
        <f>"37027"</f>
        <v>37027</v>
      </c>
    </row>
    <row r="2300" spans="1:11" x14ac:dyDescent="0.25">
      <c r="A2300">
        <v>2022</v>
      </c>
      <c r="B2300" t="s">
        <v>1049</v>
      </c>
      <c r="C2300" t="s">
        <v>1051</v>
      </c>
      <c r="D2300" t="s">
        <v>19</v>
      </c>
      <c r="E2300" t="s">
        <v>20</v>
      </c>
      <c r="F2300" t="str">
        <f>"43613"</f>
        <v>43613</v>
      </c>
      <c r="G2300" t="str">
        <f>"545075"</f>
        <v>545075</v>
      </c>
      <c r="H2300" s="2">
        <f>8.69</f>
        <v>8.69</v>
      </c>
      <c r="I2300" t="s">
        <v>27</v>
      </c>
      <c r="J2300" t="s">
        <v>31</v>
      </c>
      <c r="K2300" t="str">
        <f>"11003941"</f>
        <v>11003941</v>
      </c>
    </row>
    <row r="2301" spans="1:11" x14ac:dyDescent="0.25">
      <c r="A2301">
        <v>2022</v>
      </c>
      <c r="B2301" t="s">
        <v>1049</v>
      </c>
      <c r="C2301" t="s">
        <v>1051</v>
      </c>
      <c r="D2301" t="s">
        <v>19</v>
      </c>
      <c r="E2301" t="s">
        <v>20</v>
      </c>
      <c r="F2301" t="str">
        <f>"43613"</f>
        <v>43613</v>
      </c>
      <c r="G2301" t="str">
        <f>"545075"</f>
        <v>545075</v>
      </c>
      <c r="H2301" s="2">
        <f>7.35</f>
        <v>7.35</v>
      </c>
      <c r="I2301" t="s">
        <v>27</v>
      </c>
      <c r="J2301" t="s">
        <v>31</v>
      </c>
      <c r="K2301" t="str">
        <f>"44008750"</f>
        <v>44008750</v>
      </c>
    </row>
    <row r="2302" spans="1:11" x14ac:dyDescent="0.25">
      <c r="A2302">
        <v>2022</v>
      </c>
      <c r="B2302" t="s">
        <v>1049</v>
      </c>
      <c r="C2302" t="s">
        <v>1052</v>
      </c>
      <c r="D2302" t="s">
        <v>19</v>
      </c>
      <c r="E2302" t="s">
        <v>20</v>
      </c>
      <c r="F2302" t="str">
        <f>"43613"</f>
        <v>43613</v>
      </c>
      <c r="G2302" t="str">
        <f>"545075"</f>
        <v>545075</v>
      </c>
      <c r="H2302" s="2">
        <f>10</f>
        <v>10</v>
      </c>
      <c r="I2302" t="s">
        <v>27</v>
      </c>
      <c r="J2302" t="s">
        <v>31</v>
      </c>
      <c r="K2302" t="str">
        <f>"33011135"</f>
        <v>33011135</v>
      </c>
    </row>
    <row r="2303" spans="1:11" x14ac:dyDescent="0.25">
      <c r="A2303">
        <v>2022</v>
      </c>
      <c r="B2303" t="s">
        <v>1049</v>
      </c>
      <c r="C2303" t="s">
        <v>1051</v>
      </c>
      <c r="D2303" t="s">
        <v>19</v>
      </c>
      <c r="E2303" t="s">
        <v>20</v>
      </c>
      <c r="F2303" t="str">
        <f>"43613"</f>
        <v>43613</v>
      </c>
      <c r="G2303" t="str">
        <f>"545075"</f>
        <v>545075</v>
      </c>
      <c r="H2303" s="2">
        <f>142.91</f>
        <v>142.91</v>
      </c>
      <c r="I2303" t="s">
        <v>27</v>
      </c>
      <c r="J2303" t="s">
        <v>31</v>
      </c>
      <c r="K2303" t="str">
        <f>"22021797"</f>
        <v>22021797</v>
      </c>
    </row>
    <row r="2304" spans="1:11" x14ac:dyDescent="0.25">
      <c r="A2304">
        <v>2022</v>
      </c>
      <c r="B2304" t="s">
        <v>1066</v>
      </c>
      <c r="C2304" t="s">
        <v>1067</v>
      </c>
      <c r="D2304" t="s">
        <v>128</v>
      </c>
      <c r="E2304" t="s">
        <v>20</v>
      </c>
      <c r="F2304" t="str">
        <f>"43619"</f>
        <v>43619</v>
      </c>
      <c r="G2304" t="str">
        <f>"545043"</f>
        <v>545043</v>
      </c>
      <c r="H2304" s="2">
        <f>60.8</f>
        <v>60.8</v>
      </c>
      <c r="I2304" t="s">
        <v>27</v>
      </c>
      <c r="J2304" t="s">
        <v>77</v>
      </c>
      <c r="K2304" t="str">
        <f>"333087"</f>
        <v>333087</v>
      </c>
    </row>
    <row r="2305" spans="1:11" x14ac:dyDescent="0.25">
      <c r="A2305">
        <v>2022</v>
      </c>
      <c r="B2305" t="s">
        <v>1078</v>
      </c>
      <c r="C2305" t="s">
        <v>1079</v>
      </c>
      <c r="D2305" t="s">
        <v>19</v>
      </c>
      <c r="E2305" t="s">
        <v>20</v>
      </c>
      <c r="F2305" t="str">
        <f>"43612-1826"</f>
        <v>43612-1826</v>
      </c>
      <c r="G2305" t="str">
        <f>"545101"</f>
        <v>545101</v>
      </c>
      <c r="H2305" s="2">
        <f>10</f>
        <v>10</v>
      </c>
      <c r="I2305" t="s">
        <v>27</v>
      </c>
      <c r="J2305" t="s">
        <v>51</v>
      </c>
      <c r="K2305" t="str">
        <f>"117965"</f>
        <v>117965</v>
      </c>
    </row>
    <row r="2306" spans="1:11" x14ac:dyDescent="0.25">
      <c r="A2306">
        <v>2022</v>
      </c>
      <c r="B2306" t="s">
        <v>1098</v>
      </c>
      <c r="C2306" t="s">
        <v>1099</v>
      </c>
      <c r="D2306" t="s">
        <v>203</v>
      </c>
      <c r="E2306" t="s">
        <v>204</v>
      </c>
      <c r="F2306" t="str">
        <f>"30348-5578"</f>
        <v>30348-5578</v>
      </c>
      <c r="G2306" t="str">
        <f>"Je031622"</f>
        <v>Je031622</v>
      </c>
      <c r="H2306" s="2">
        <f>26.87</f>
        <v>26.87</v>
      </c>
      <c r="I2306" t="s">
        <v>15</v>
      </c>
      <c r="J2306" t="s">
        <v>117</v>
      </c>
      <c r="K2306" t="str">
        <f>"60042996"</f>
        <v>60042996</v>
      </c>
    </row>
    <row r="2307" spans="1:11" x14ac:dyDescent="0.25">
      <c r="A2307">
        <v>2022</v>
      </c>
      <c r="B2307" t="s">
        <v>1109</v>
      </c>
      <c r="C2307" t="s">
        <v>1110</v>
      </c>
      <c r="D2307" t="s">
        <v>19</v>
      </c>
      <c r="E2307" t="s">
        <v>20</v>
      </c>
      <c r="F2307" t="str">
        <f>"43615-6033"</f>
        <v>43615-6033</v>
      </c>
      <c r="G2307" t="str">
        <f>"545101"</f>
        <v>545101</v>
      </c>
      <c r="H2307" s="2">
        <f>40</f>
        <v>40</v>
      </c>
      <c r="I2307" t="s">
        <v>27</v>
      </c>
      <c r="J2307" t="s">
        <v>51</v>
      </c>
      <c r="K2307" t="str">
        <f>"117684"</f>
        <v>117684</v>
      </c>
    </row>
    <row r="2308" spans="1:11" x14ac:dyDescent="0.25">
      <c r="A2308">
        <v>2022</v>
      </c>
      <c r="B2308" t="s">
        <v>1111</v>
      </c>
      <c r="C2308" t="s">
        <v>1112</v>
      </c>
      <c r="D2308" t="s">
        <v>19</v>
      </c>
      <c r="E2308" t="s">
        <v>20</v>
      </c>
      <c r="F2308" t="str">
        <f>"43611-1934"</f>
        <v>43611-1934</v>
      </c>
      <c r="G2308" t="str">
        <f>"545101"</f>
        <v>545101</v>
      </c>
      <c r="H2308" s="2">
        <f>10</f>
        <v>10</v>
      </c>
      <c r="I2308" t="s">
        <v>27</v>
      </c>
      <c r="J2308" t="s">
        <v>51</v>
      </c>
      <c r="K2308" t="str">
        <f>"116405"</f>
        <v>116405</v>
      </c>
    </row>
    <row r="2309" spans="1:11" x14ac:dyDescent="0.25">
      <c r="A2309">
        <v>2022</v>
      </c>
      <c r="B2309" t="s">
        <v>1115</v>
      </c>
      <c r="C2309" t="s">
        <v>1116</v>
      </c>
      <c r="D2309" t="s">
        <v>50</v>
      </c>
      <c r="E2309" t="s">
        <v>20</v>
      </c>
      <c r="F2309" t="str">
        <f>"43560"</f>
        <v>43560</v>
      </c>
      <c r="G2309" t="str">
        <f>"Je010722"</f>
        <v>Je010722</v>
      </c>
      <c r="H2309" s="2">
        <f>686.36</f>
        <v>686.36</v>
      </c>
      <c r="I2309" t="s">
        <v>15</v>
      </c>
      <c r="J2309" t="s">
        <v>90</v>
      </c>
      <c r="K2309" t="str">
        <f>"60027179"</f>
        <v>60027179</v>
      </c>
    </row>
    <row r="2310" spans="1:11" x14ac:dyDescent="0.25">
      <c r="A2310">
        <v>2022</v>
      </c>
      <c r="B2310" t="s">
        <v>1127</v>
      </c>
      <c r="C2310" t="s">
        <v>1128</v>
      </c>
      <c r="D2310" t="s">
        <v>19</v>
      </c>
      <c r="E2310" t="s">
        <v>20</v>
      </c>
      <c r="F2310" t="str">
        <f>"43609"</f>
        <v>43609</v>
      </c>
      <c r="G2310" t="str">
        <f>"545043"</f>
        <v>545043</v>
      </c>
      <c r="H2310" s="2">
        <f>11.1</f>
        <v>11.1</v>
      </c>
      <c r="I2310" t="s">
        <v>27</v>
      </c>
      <c r="J2310" t="s">
        <v>77</v>
      </c>
      <c r="K2310" t="str">
        <f>"333264"</f>
        <v>333264</v>
      </c>
    </row>
    <row r="2311" spans="1:11" x14ac:dyDescent="0.25">
      <c r="A2311">
        <v>2022</v>
      </c>
      <c r="B2311" t="s">
        <v>1135</v>
      </c>
      <c r="C2311" t="s">
        <v>1136</v>
      </c>
      <c r="D2311" t="s">
        <v>1137</v>
      </c>
      <c r="E2311" t="s">
        <v>14</v>
      </c>
      <c r="F2311" t="str">
        <f>"49221"</f>
        <v>49221</v>
      </c>
      <c r="G2311" t="str">
        <f>"Je010722"</f>
        <v>Je010722</v>
      </c>
      <c r="H2311" s="2">
        <f>220</f>
        <v>220</v>
      </c>
      <c r="I2311" t="s">
        <v>15</v>
      </c>
      <c r="J2311" t="s">
        <v>90</v>
      </c>
      <c r="K2311" t="str">
        <f>"60032344"</f>
        <v>60032344</v>
      </c>
    </row>
    <row r="2312" spans="1:11" x14ac:dyDescent="0.25">
      <c r="A2312">
        <v>2022</v>
      </c>
      <c r="B2312" t="s">
        <v>1142</v>
      </c>
      <c r="C2312" t="s">
        <v>1143</v>
      </c>
      <c r="D2312" t="s">
        <v>19</v>
      </c>
      <c r="E2312" t="s">
        <v>20</v>
      </c>
      <c r="F2312" t="str">
        <f>"43606"</f>
        <v>43606</v>
      </c>
      <c r="G2312" t="str">
        <f>"545044"</f>
        <v>545044</v>
      </c>
      <c r="H2312" s="2">
        <f>2</f>
        <v>2</v>
      </c>
      <c r="I2312" t="s">
        <v>27</v>
      </c>
      <c r="J2312" t="s">
        <v>28</v>
      </c>
      <c r="K2312" t="str">
        <f>"519012"</f>
        <v>519012</v>
      </c>
    </row>
    <row r="2313" spans="1:11" x14ac:dyDescent="0.25">
      <c r="A2313">
        <v>2022</v>
      </c>
      <c r="B2313" t="s">
        <v>1191</v>
      </c>
      <c r="C2313" t="s">
        <v>1192</v>
      </c>
      <c r="D2313" t="s">
        <v>19</v>
      </c>
      <c r="E2313" t="s">
        <v>20</v>
      </c>
      <c r="F2313" t="str">
        <f>"43605"</f>
        <v>43605</v>
      </c>
      <c r="G2313" t="str">
        <f>"Je010722"</f>
        <v>Je010722</v>
      </c>
      <c r="H2313" s="2">
        <f>15</f>
        <v>15</v>
      </c>
      <c r="I2313" t="s">
        <v>15</v>
      </c>
      <c r="J2313" t="s">
        <v>90</v>
      </c>
      <c r="K2313" t="str">
        <f>"60032365"</f>
        <v>60032365</v>
      </c>
    </row>
    <row r="2314" spans="1:11" x14ac:dyDescent="0.25">
      <c r="A2314">
        <v>2022</v>
      </c>
      <c r="B2314" t="s">
        <v>1195</v>
      </c>
      <c r="C2314" t="s">
        <v>1196</v>
      </c>
      <c r="D2314" t="s">
        <v>19</v>
      </c>
      <c r="E2314" t="s">
        <v>20</v>
      </c>
      <c r="F2314" t="str">
        <f>"43609"</f>
        <v>43609</v>
      </c>
      <c r="G2314" t="str">
        <f>"Je010722"</f>
        <v>Je010722</v>
      </c>
      <c r="H2314" s="2">
        <f>40.44</f>
        <v>40.44</v>
      </c>
      <c r="I2314" t="s">
        <v>15</v>
      </c>
      <c r="J2314" t="s">
        <v>90</v>
      </c>
      <c r="K2314" t="str">
        <f>"60026076"</f>
        <v>60026076</v>
      </c>
    </row>
    <row r="2315" spans="1:11" x14ac:dyDescent="0.25">
      <c r="A2315">
        <v>2022</v>
      </c>
      <c r="B2315" t="s">
        <v>1222</v>
      </c>
      <c r="C2315" t="s">
        <v>1223</v>
      </c>
      <c r="D2315" t="s">
        <v>50</v>
      </c>
      <c r="E2315" t="s">
        <v>20</v>
      </c>
      <c r="F2315" t="str">
        <f>"43560-2128"</f>
        <v>43560-2128</v>
      </c>
      <c r="G2315" t="str">
        <f>"545101"</f>
        <v>545101</v>
      </c>
      <c r="H2315" s="2">
        <f>10</f>
        <v>10</v>
      </c>
      <c r="I2315" t="s">
        <v>27</v>
      </c>
      <c r="J2315" t="s">
        <v>51</v>
      </c>
      <c r="K2315" t="str">
        <f>"117494"</f>
        <v>117494</v>
      </c>
    </row>
    <row r="2316" spans="1:11" x14ac:dyDescent="0.25">
      <c r="A2316">
        <v>2022</v>
      </c>
      <c r="B2316" t="s">
        <v>1224</v>
      </c>
      <c r="C2316" t="s">
        <v>1225</v>
      </c>
      <c r="D2316" t="s">
        <v>19</v>
      </c>
      <c r="E2316" t="s">
        <v>20</v>
      </c>
      <c r="F2316" t="str">
        <f>"43612"</f>
        <v>43612</v>
      </c>
      <c r="G2316" t="str">
        <f>"Je031622"</f>
        <v>Je031622</v>
      </c>
      <c r="H2316" s="2">
        <f>215.1</f>
        <v>215.1</v>
      </c>
      <c r="I2316" t="s">
        <v>15</v>
      </c>
      <c r="J2316" t="s">
        <v>117</v>
      </c>
      <c r="K2316" t="str">
        <f>"60042971"</f>
        <v>60042971</v>
      </c>
    </row>
    <row r="2317" spans="1:11" x14ac:dyDescent="0.25">
      <c r="A2317">
        <v>2022</v>
      </c>
      <c r="B2317" t="s">
        <v>1237</v>
      </c>
      <c r="C2317" t="s">
        <v>1238</v>
      </c>
      <c r="D2317" t="s">
        <v>1239</v>
      </c>
      <c r="E2317" t="s">
        <v>20</v>
      </c>
      <c r="F2317" t="str">
        <f>"43402"</f>
        <v>43402</v>
      </c>
      <c r="G2317" t="str">
        <f>"545044"</f>
        <v>545044</v>
      </c>
      <c r="H2317" s="2">
        <f>25</f>
        <v>25</v>
      </c>
      <c r="I2317" t="s">
        <v>27</v>
      </c>
      <c r="J2317" t="s">
        <v>28</v>
      </c>
      <c r="K2317" t="str">
        <f>"518883"</f>
        <v>518883</v>
      </c>
    </row>
    <row r="2318" spans="1:11" x14ac:dyDescent="0.25">
      <c r="A2318">
        <v>2022</v>
      </c>
      <c r="B2318" t="s">
        <v>1237</v>
      </c>
      <c r="C2318" t="s">
        <v>1238</v>
      </c>
      <c r="D2318" t="s">
        <v>1239</v>
      </c>
      <c r="E2318" t="s">
        <v>20</v>
      </c>
      <c r="F2318" t="str">
        <f>"43402"</f>
        <v>43402</v>
      </c>
      <c r="G2318" t="str">
        <f>"545044"</f>
        <v>545044</v>
      </c>
      <c r="H2318" s="2">
        <f>16.25</f>
        <v>16.25</v>
      </c>
      <c r="I2318" t="s">
        <v>27</v>
      </c>
      <c r="J2318" t="s">
        <v>28</v>
      </c>
      <c r="K2318" t="str">
        <f>"518630"</f>
        <v>518630</v>
      </c>
    </row>
    <row r="2319" spans="1:11" x14ac:dyDescent="0.25">
      <c r="A2319">
        <v>2022</v>
      </c>
      <c r="B2319" t="s">
        <v>1237</v>
      </c>
      <c r="C2319" t="s">
        <v>1238</v>
      </c>
      <c r="D2319" t="s">
        <v>1239</v>
      </c>
      <c r="E2319" t="s">
        <v>20</v>
      </c>
      <c r="F2319" t="str">
        <f>"43402"</f>
        <v>43402</v>
      </c>
      <c r="G2319" t="str">
        <f>"545044"</f>
        <v>545044</v>
      </c>
      <c r="H2319" s="2">
        <f>676.54</f>
        <v>676.54</v>
      </c>
      <c r="I2319" t="s">
        <v>27</v>
      </c>
      <c r="J2319" t="s">
        <v>28</v>
      </c>
      <c r="K2319" t="str">
        <f>"519517"</f>
        <v>519517</v>
      </c>
    </row>
    <row r="2320" spans="1:11" x14ac:dyDescent="0.25">
      <c r="A2320">
        <v>2022</v>
      </c>
      <c r="B2320" t="s">
        <v>1260</v>
      </c>
      <c r="C2320" t="s">
        <v>1261</v>
      </c>
      <c r="D2320" t="s">
        <v>19</v>
      </c>
      <c r="E2320" t="s">
        <v>20</v>
      </c>
      <c r="F2320" t="str">
        <f>"43604"</f>
        <v>43604</v>
      </c>
      <c r="G2320" t="str">
        <f>"Je010722"</f>
        <v>Je010722</v>
      </c>
      <c r="H2320" s="2">
        <f>210</f>
        <v>210</v>
      </c>
      <c r="I2320" t="s">
        <v>15</v>
      </c>
      <c r="J2320" t="s">
        <v>90</v>
      </c>
      <c r="K2320" t="str">
        <f>"60032385"</f>
        <v>60032385</v>
      </c>
    </row>
    <row r="2321" spans="1:11" x14ac:dyDescent="0.25">
      <c r="A2321">
        <v>2022</v>
      </c>
      <c r="B2321" t="s">
        <v>1278</v>
      </c>
      <c r="C2321" t="s">
        <v>1279</v>
      </c>
      <c r="D2321" t="s">
        <v>19</v>
      </c>
      <c r="E2321" t="s">
        <v>20</v>
      </c>
      <c r="F2321" t="str">
        <f>"43613"</f>
        <v>43613</v>
      </c>
      <c r="G2321" t="str">
        <f>"Je031622"</f>
        <v>Je031622</v>
      </c>
      <c r="H2321" s="2">
        <f>34.7</f>
        <v>34.700000000000003</v>
      </c>
      <c r="I2321" t="s">
        <v>15</v>
      </c>
      <c r="J2321" t="s">
        <v>117</v>
      </c>
      <c r="K2321" t="str">
        <f>"60039309"</f>
        <v>60039309</v>
      </c>
    </row>
    <row r="2322" spans="1:11" x14ac:dyDescent="0.25">
      <c r="A2322">
        <v>2022</v>
      </c>
      <c r="B2322" t="s">
        <v>1300</v>
      </c>
      <c r="C2322" t="s">
        <v>1301</v>
      </c>
      <c r="D2322" t="s">
        <v>1302</v>
      </c>
      <c r="E2322" t="s">
        <v>462</v>
      </c>
      <c r="F2322" t="str">
        <f>"32839"</f>
        <v>32839</v>
      </c>
      <c r="G2322" t="str">
        <f>"545044"</f>
        <v>545044</v>
      </c>
      <c r="H2322" s="2">
        <f>3</f>
        <v>3</v>
      </c>
      <c r="I2322" t="s">
        <v>27</v>
      </c>
      <c r="J2322" t="s">
        <v>28</v>
      </c>
      <c r="K2322" t="str">
        <f>"518584"</f>
        <v>518584</v>
      </c>
    </row>
    <row r="2323" spans="1:11" x14ac:dyDescent="0.25">
      <c r="A2323">
        <v>2022</v>
      </c>
      <c r="B2323" t="s">
        <v>1308</v>
      </c>
      <c r="C2323" t="s">
        <v>1309</v>
      </c>
      <c r="D2323" t="s">
        <v>105</v>
      </c>
      <c r="E2323" t="s">
        <v>20</v>
      </c>
      <c r="F2323" t="str">
        <f>"43528"</f>
        <v>43528</v>
      </c>
      <c r="G2323" t="str">
        <f>"545044"</f>
        <v>545044</v>
      </c>
      <c r="H2323" s="2">
        <f>75</f>
        <v>75</v>
      </c>
      <c r="I2323" t="s">
        <v>27</v>
      </c>
      <c r="J2323" t="s">
        <v>28</v>
      </c>
      <c r="K2323" t="str">
        <f>"518526"</f>
        <v>518526</v>
      </c>
    </row>
    <row r="2324" spans="1:11" x14ac:dyDescent="0.25">
      <c r="A2324">
        <v>2022</v>
      </c>
      <c r="B2324" t="s">
        <v>1308</v>
      </c>
      <c r="C2324" t="s">
        <v>1309</v>
      </c>
      <c r="D2324" t="s">
        <v>105</v>
      </c>
      <c r="E2324" t="s">
        <v>20</v>
      </c>
      <c r="F2324" t="str">
        <f>"43528"</f>
        <v>43528</v>
      </c>
      <c r="G2324" t="str">
        <f>"545044"</f>
        <v>545044</v>
      </c>
      <c r="H2324" s="2">
        <f>54.3</f>
        <v>54.3</v>
      </c>
      <c r="I2324" t="s">
        <v>27</v>
      </c>
      <c r="J2324" t="s">
        <v>28</v>
      </c>
      <c r="K2324" t="str">
        <f>"518722"</f>
        <v>518722</v>
      </c>
    </row>
    <row r="2325" spans="1:11" x14ac:dyDescent="0.25">
      <c r="A2325">
        <v>2022</v>
      </c>
      <c r="B2325" t="s">
        <v>1312</v>
      </c>
      <c r="C2325" t="s">
        <v>1313</v>
      </c>
      <c r="D2325" t="s">
        <v>19</v>
      </c>
      <c r="E2325" t="s">
        <v>20</v>
      </c>
      <c r="F2325" t="str">
        <f>"43605"</f>
        <v>43605</v>
      </c>
      <c r="G2325" t="str">
        <f>"545044"</f>
        <v>545044</v>
      </c>
      <c r="H2325" s="2">
        <f>125</f>
        <v>125</v>
      </c>
      <c r="I2325" t="s">
        <v>27</v>
      </c>
      <c r="J2325" t="s">
        <v>28</v>
      </c>
      <c r="K2325" t="str">
        <f>"518414"</f>
        <v>518414</v>
      </c>
    </row>
    <row r="2326" spans="1:11" x14ac:dyDescent="0.25">
      <c r="A2326">
        <v>2022</v>
      </c>
      <c r="B2326" t="s">
        <v>1336</v>
      </c>
      <c r="C2326" t="s">
        <v>1337</v>
      </c>
      <c r="D2326" t="s">
        <v>19</v>
      </c>
      <c r="E2326" t="s">
        <v>20</v>
      </c>
      <c r="F2326" t="str">
        <f>"43613"</f>
        <v>43613</v>
      </c>
      <c r="G2326" t="str">
        <f>"Je11032022"</f>
        <v>Je11032022</v>
      </c>
      <c r="H2326" s="2">
        <f>18.04</f>
        <v>18.04</v>
      </c>
      <c r="I2326" t="s">
        <v>15</v>
      </c>
      <c r="J2326" t="s">
        <v>234</v>
      </c>
      <c r="K2326" t="str">
        <f>"60053133"</f>
        <v>60053133</v>
      </c>
    </row>
    <row r="2327" spans="1:11" x14ac:dyDescent="0.25">
      <c r="A2327">
        <v>2022</v>
      </c>
      <c r="B2327" t="s">
        <v>1358</v>
      </c>
      <c r="C2327" t="s">
        <v>1359</v>
      </c>
      <c r="D2327" t="s">
        <v>105</v>
      </c>
      <c r="E2327" t="s">
        <v>20</v>
      </c>
      <c r="F2327" t="str">
        <f>"43528"</f>
        <v>43528</v>
      </c>
      <c r="G2327" t="str">
        <f>"Je010722"</f>
        <v>Je010722</v>
      </c>
      <c r="H2327" s="2">
        <f>378.33</f>
        <v>378.33</v>
      </c>
      <c r="I2327" t="s">
        <v>15</v>
      </c>
      <c r="J2327" t="s">
        <v>90</v>
      </c>
      <c r="K2327" t="str">
        <f>"60035061"</f>
        <v>60035061</v>
      </c>
    </row>
    <row r="2328" spans="1:11" x14ac:dyDescent="0.25">
      <c r="A2328">
        <v>2022</v>
      </c>
      <c r="B2328" t="s">
        <v>1360</v>
      </c>
      <c r="C2328" t="s">
        <v>1361</v>
      </c>
      <c r="D2328" t="s">
        <v>425</v>
      </c>
      <c r="E2328" t="s">
        <v>20</v>
      </c>
      <c r="F2328" t="str">
        <f>"44236"</f>
        <v>44236</v>
      </c>
      <c r="G2328" t="str">
        <f>"545042"</f>
        <v>545042</v>
      </c>
      <c r="H2328" s="2">
        <f>67</f>
        <v>67</v>
      </c>
      <c r="I2328" t="s">
        <v>27</v>
      </c>
      <c r="J2328" t="s">
        <v>257</v>
      </c>
      <c r="K2328" t="str">
        <f>"37935"</f>
        <v>37935</v>
      </c>
    </row>
    <row r="2329" spans="1:11" x14ac:dyDescent="0.25">
      <c r="A2329">
        <v>2022</v>
      </c>
      <c r="B2329" t="s">
        <v>1370</v>
      </c>
      <c r="C2329" t="s">
        <v>1371</v>
      </c>
      <c r="D2329" t="s">
        <v>19</v>
      </c>
      <c r="E2329" t="s">
        <v>20</v>
      </c>
      <c r="F2329" t="str">
        <f t="shared" ref="F2329:F2334" si="69">"43614"</f>
        <v>43614</v>
      </c>
      <c r="G2329" t="str">
        <f t="shared" ref="G2329:G2334" si="70">"545044"</f>
        <v>545044</v>
      </c>
      <c r="H2329" s="2">
        <f>1.82</f>
        <v>1.82</v>
      </c>
      <c r="I2329" t="s">
        <v>27</v>
      </c>
      <c r="J2329" t="s">
        <v>28</v>
      </c>
      <c r="K2329" t="str">
        <f>"518376"</f>
        <v>518376</v>
      </c>
    </row>
    <row r="2330" spans="1:11" x14ac:dyDescent="0.25">
      <c r="A2330">
        <v>2022</v>
      </c>
      <c r="B2330" t="s">
        <v>1370</v>
      </c>
      <c r="C2330" t="s">
        <v>1371</v>
      </c>
      <c r="D2330" t="s">
        <v>19</v>
      </c>
      <c r="E2330" t="s">
        <v>20</v>
      </c>
      <c r="F2330" t="str">
        <f t="shared" si="69"/>
        <v>43614</v>
      </c>
      <c r="G2330" t="str">
        <f t="shared" si="70"/>
        <v>545044</v>
      </c>
      <c r="H2330" s="2">
        <f>2.73</f>
        <v>2.73</v>
      </c>
      <c r="I2330" t="s">
        <v>27</v>
      </c>
      <c r="J2330" t="s">
        <v>28</v>
      </c>
      <c r="K2330" t="str">
        <f>"518603"</f>
        <v>518603</v>
      </c>
    </row>
    <row r="2331" spans="1:11" x14ac:dyDescent="0.25">
      <c r="A2331">
        <v>2022</v>
      </c>
      <c r="B2331" t="s">
        <v>1370</v>
      </c>
      <c r="C2331" t="s">
        <v>1371</v>
      </c>
      <c r="D2331" t="s">
        <v>19</v>
      </c>
      <c r="E2331" t="s">
        <v>20</v>
      </c>
      <c r="F2331" t="str">
        <f t="shared" si="69"/>
        <v>43614</v>
      </c>
      <c r="G2331" t="str">
        <f t="shared" si="70"/>
        <v>545044</v>
      </c>
      <c r="H2331" s="2">
        <f>1.82</f>
        <v>1.82</v>
      </c>
      <c r="I2331" t="s">
        <v>27</v>
      </c>
      <c r="J2331" t="s">
        <v>28</v>
      </c>
      <c r="K2331" t="str">
        <f>"518858"</f>
        <v>518858</v>
      </c>
    </row>
    <row r="2332" spans="1:11" x14ac:dyDescent="0.25">
      <c r="A2332">
        <v>2022</v>
      </c>
      <c r="B2332" t="s">
        <v>1370</v>
      </c>
      <c r="C2332" t="s">
        <v>1371</v>
      </c>
      <c r="D2332" t="s">
        <v>19</v>
      </c>
      <c r="E2332" t="s">
        <v>20</v>
      </c>
      <c r="F2332" t="str">
        <f t="shared" si="69"/>
        <v>43614</v>
      </c>
      <c r="G2332" t="str">
        <f t="shared" si="70"/>
        <v>545044</v>
      </c>
      <c r="H2332" s="2">
        <f>5</f>
        <v>5</v>
      </c>
      <c r="I2332" t="s">
        <v>27</v>
      </c>
      <c r="J2332" t="s">
        <v>28</v>
      </c>
      <c r="K2332" t="str">
        <f>"519669"</f>
        <v>519669</v>
      </c>
    </row>
    <row r="2333" spans="1:11" x14ac:dyDescent="0.25">
      <c r="A2333">
        <v>2022</v>
      </c>
      <c r="B2333" t="s">
        <v>1370</v>
      </c>
      <c r="C2333" t="s">
        <v>1371</v>
      </c>
      <c r="D2333" t="s">
        <v>19</v>
      </c>
      <c r="E2333" t="s">
        <v>20</v>
      </c>
      <c r="F2333" t="str">
        <f t="shared" si="69"/>
        <v>43614</v>
      </c>
      <c r="G2333" t="str">
        <f t="shared" si="70"/>
        <v>545044</v>
      </c>
      <c r="H2333" s="2">
        <f>4.55</f>
        <v>4.55</v>
      </c>
      <c r="I2333" t="s">
        <v>27</v>
      </c>
      <c r="J2333" t="s">
        <v>28</v>
      </c>
      <c r="K2333" t="str">
        <f>"519847"</f>
        <v>519847</v>
      </c>
    </row>
    <row r="2334" spans="1:11" x14ac:dyDescent="0.25">
      <c r="A2334">
        <v>2022</v>
      </c>
      <c r="B2334" t="s">
        <v>1370</v>
      </c>
      <c r="C2334" t="s">
        <v>1371</v>
      </c>
      <c r="D2334" t="s">
        <v>19</v>
      </c>
      <c r="E2334" t="s">
        <v>20</v>
      </c>
      <c r="F2334" t="str">
        <f t="shared" si="69"/>
        <v>43614</v>
      </c>
      <c r="G2334" t="str">
        <f t="shared" si="70"/>
        <v>545044</v>
      </c>
      <c r="H2334" s="2">
        <f>4.55</f>
        <v>4.55</v>
      </c>
      <c r="I2334" t="s">
        <v>27</v>
      </c>
      <c r="J2334" t="s">
        <v>28</v>
      </c>
      <c r="K2334" t="str">
        <f>"520454"</f>
        <v>520454</v>
      </c>
    </row>
    <row r="2335" spans="1:11" x14ac:dyDescent="0.25">
      <c r="A2335">
        <v>2022</v>
      </c>
      <c r="B2335" t="s">
        <v>1372</v>
      </c>
      <c r="C2335" t="s">
        <v>1373</v>
      </c>
      <c r="D2335" t="s">
        <v>19</v>
      </c>
      <c r="E2335" t="s">
        <v>20</v>
      </c>
      <c r="F2335" t="str">
        <f>"43615"</f>
        <v>43615</v>
      </c>
      <c r="G2335" t="str">
        <f>"Je11032022"</f>
        <v>Je11032022</v>
      </c>
      <c r="H2335" s="2">
        <f>25</f>
        <v>25</v>
      </c>
      <c r="I2335" t="s">
        <v>15</v>
      </c>
      <c r="J2335" t="s">
        <v>234</v>
      </c>
      <c r="K2335" t="str">
        <f>"60053716"</f>
        <v>60053716</v>
      </c>
    </row>
    <row r="2336" spans="1:11" x14ac:dyDescent="0.25">
      <c r="A2336">
        <v>2022</v>
      </c>
      <c r="B2336" t="s">
        <v>1395</v>
      </c>
      <c r="C2336" t="s">
        <v>1396</v>
      </c>
      <c r="D2336" t="s">
        <v>19</v>
      </c>
      <c r="E2336" t="s">
        <v>20</v>
      </c>
      <c r="F2336" t="str">
        <f>"43611-1718"</f>
        <v>43611-1718</v>
      </c>
      <c r="G2336" t="str">
        <f>"545101"</f>
        <v>545101</v>
      </c>
      <c r="H2336" s="2">
        <f>20</f>
        <v>20</v>
      </c>
      <c r="I2336" t="s">
        <v>27</v>
      </c>
      <c r="J2336" t="s">
        <v>51</v>
      </c>
      <c r="K2336" t="str">
        <f>"116133"</f>
        <v>116133</v>
      </c>
    </row>
    <row r="2337" spans="1:11" x14ac:dyDescent="0.25">
      <c r="A2337">
        <v>2022</v>
      </c>
      <c r="B2337" t="s">
        <v>1407</v>
      </c>
      <c r="C2337" t="s">
        <v>1408</v>
      </c>
      <c r="D2337" t="s">
        <v>45</v>
      </c>
      <c r="E2337" t="s">
        <v>20</v>
      </c>
      <c r="F2337" t="str">
        <f>"43542"</f>
        <v>43542</v>
      </c>
      <c r="G2337" t="str">
        <f>"Je010722"</f>
        <v>Je010722</v>
      </c>
      <c r="H2337" s="2">
        <f>15</f>
        <v>15</v>
      </c>
      <c r="I2337" t="s">
        <v>15</v>
      </c>
      <c r="J2337" t="s">
        <v>90</v>
      </c>
      <c r="K2337" t="str">
        <f>"60032420"</f>
        <v>60032420</v>
      </c>
    </row>
    <row r="2338" spans="1:11" x14ac:dyDescent="0.25">
      <c r="A2338">
        <v>2022</v>
      </c>
      <c r="B2338" t="s">
        <v>1430</v>
      </c>
      <c r="C2338" t="s">
        <v>1431</v>
      </c>
      <c r="D2338" t="s">
        <v>19</v>
      </c>
      <c r="E2338" t="s">
        <v>20</v>
      </c>
      <c r="F2338" t="str">
        <f>"43613-4920"</f>
        <v>43613-4920</v>
      </c>
      <c r="G2338" t="str">
        <f>"545101"</f>
        <v>545101</v>
      </c>
      <c r="H2338" s="2">
        <f>20</f>
        <v>20</v>
      </c>
      <c r="I2338" t="s">
        <v>27</v>
      </c>
      <c r="J2338" t="s">
        <v>51</v>
      </c>
      <c r="K2338" t="str">
        <f>"116079"</f>
        <v>116079</v>
      </c>
    </row>
    <row r="2339" spans="1:11" x14ac:dyDescent="0.25">
      <c r="A2339">
        <v>2022</v>
      </c>
      <c r="B2339" t="s">
        <v>1442</v>
      </c>
      <c r="C2339" t="s">
        <v>1443</v>
      </c>
      <c r="D2339" t="s">
        <v>19</v>
      </c>
      <c r="E2339" t="s">
        <v>20</v>
      </c>
      <c r="F2339" t="str">
        <f>"43617"</f>
        <v>43617</v>
      </c>
      <c r="G2339" t="str">
        <f>"545044"</f>
        <v>545044</v>
      </c>
      <c r="H2339" s="2">
        <f>5.56</f>
        <v>5.56</v>
      </c>
      <c r="I2339" t="s">
        <v>27</v>
      </c>
      <c r="J2339" t="s">
        <v>28</v>
      </c>
      <c r="K2339" t="str">
        <f>"519259"</f>
        <v>519259</v>
      </c>
    </row>
    <row r="2340" spans="1:11" x14ac:dyDescent="0.25">
      <c r="A2340">
        <v>2022</v>
      </c>
      <c r="B2340" t="s">
        <v>1444</v>
      </c>
      <c r="C2340" t="s">
        <v>1445</v>
      </c>
      <c r="D2340" t="s">
        <v>19</v>
      </c>
      <c r="E2340" t="s">
        <v>20</v>
      </c>
      <c r="F2340" t="str">
        <f>"43615-6922"</f>
        <v>43615-6922</v>
      </c>
      <c r="G2340" t="str">
        <f>"545101"</f>
        <v>545101</v>
      </c>
      <c r="H2340" s="2">
        <f>10</f>
        <v>10</v>
      </c>
      <c r="I2340" t="s">
        <v>27</v>
      </c>
      <c r="J2340" t="s">
        <v>51</v>
      </c>
      <c r="K2340" t="str">
        <f>"117129"</f>
        <v>117129</v>
      </c>
    </row>
    <row r="2341" spans="1:11" x14ac:dyDescent="0.25">
      <c r="A2341">
        <v>2022</v>
      </c>
      <c r="B2341" t="s">
        <v>1462</v>
      </c>
      <c r="C2341" t="s">
        <v>1463</v>
      </c>
      <c r="D2341" t="s">
        <v>19</v>
      </c>
      <c r="E2341" t="s">
        <v>20</v>
      </c>
      <c r="F2341" t="str">
        <f>"43605"</f>
        <v>43605</v>
      </c>
      <c r="G2341" t="str">
        <f>"Je010722"</f>
        <v>Je010722</v>
      </c>
      <c r="H2341" s="2">
        <f>220</f>
        <v>220</v>
      </c>
      <c r="I2341" t="s">
        <v>15</v>
      </c>
      <c r="J2341" t="s">
        <v>90</v>
      </c>
      <c r="K2341" t="str">
        <f>"60032430"</f>
        <v>60032430</v>
      </c>
    </row>
    <row r="2342" spans="1:11" x14ac:dyDescent="0.25">
      <c r="A2342">
        <v>2022</v>
      </c>
      <c r="B2342" t="s">
        <v>1464</v>
      </c>
      <c r="C2342" t="s">
        <v>1465</v>
      </c>
      <c r="D2342" t="s">
        <v>19</v>
      </c>
      <c r="E2342" t="s">
        <v>20</v>
      </c>
      <c r="F2342" t="str">
        <f>"43614"</f>
        <v>43614</v>
      </c>
      <c r="G2342" t="str">
        <f>"545044"</f>
        <v>545044</v>
      </c>
      <c r="H2342" s="2">
        <f>50</f>
        <v>50</v>
      </c>
      <c r="I2342" t="s">
        <v>27</v>
      </c>
      <c r="J2342" t="s">
        <v>28</v>
      </c>
      <c r="K2342" t="str">
        <f>"519503"</f>
        <v>519503</v>
      </c>
    </row>
    <row r="2343" spans="1:11" x14ac:dyDescent="0.25">
      <c r="A2343">
        <v>2022</v>
      </c>
      <c r="B2343" t="s">
        <v>1480</v>
      </c>
      <c r="C2343" t="s">
        <v>1481</v>
      </c>
      <c r="D2343" t="s">
        <v>19</v>
      </c>
      <c r="E2343" t="s">
        <v>20</v>
      </c>
      <c r="F2343" t="str">
        <f>"43606"</f>
        <v>43606</v>
      </c>
      <c r="G2343" t="str">
        <f>"Je031622"</f>
        <v>Je031622</v>
      </c>
      <c r="H2343" s="2">
        <f>60.34</f>
        <v>60.34</v>
      </c>
      <c r="I2343" t="s">
        <v>15</v>
      </c>
      <c r="J2343" t="s">
        <v>117</v>
      </c>
      <c r="K2343" t="str">
        <f>"60041673"</f>
        <v>60041673</v>
      </c>
    </row>
    <row r="2344" spans="1:11" x14ac:dyDescent="0.25">
      <c r="A2344">
        <v>2022</v>
      </c>
      <c r="B2344" t="s">
        <v>1490</v>
      </c>
      <c r="C2344" t="s">
        <v>1491</v>
      </c>
      <c r="D2344" t="s">
        <v>19</v>
      </c>
      <c r="E2344" t="s">
        <v>20</v>
      </c>
      <c r="F2344" t="str">
        <f>"43612-1063"</f>
        <v>43612-1063</v>
      </c>
      <c r="G2344" t="str">
        <f>"545101"</f>
        <v>545101</v>
      </c>
      <c r="H2344" s="2">
        <f>10</f>
        <v>10</v>
      </c>
      <c r="I2344" t="s">
        <v>27</v>
      </c>
      <c r="J2344" t="s">
        <v>51</v>
      </c>
      <c r="K2344" t="str">
        <f>"116577"</f>
        <v>116577</v>
      </c>
    </row>
    <row r="2345" spans="1:11" x14ac:dyDescent="0.25">
      <c r="A2345">
        <v>2022</v>
      </c>
      <c r="B2345" t="s">
        <v>1492</v>
      </c>
      <c r="C2345" t="s">
        <v>1493</v>
      </c>
      <c r="D2345" t="s">
        <v>19</v>
      </c>
      <c r="E2345" t="s">
        <v>20</v>
      </c>
      <c r="F2345" t="str">
        <f>"43613"</f>
        <v>43613</v>
      </c>
      <c r="G2345" t="str">
        <f>"545043"</f>
        <v>545043</v>
      </c>
      <c r="H2345" s="2">
        <f>1.51</f>
        <v>1.51</v>
      </c>
      <c r="I2345" t="s">
        <v>27</v>
      </c>
      <c r="J2345" t="s">
        <v>77</v>
      </c>
      <c r="K2345" t="str">
        <f>"332572"</f>
        <v>332572</v>
      </c>
    </row>
    <row r="2346" spans="1:11" x14ac:dyDescent="0.25">
      <c r="A2346">
        <v>2022</v>
      </c>
      <c r="B2346" t="s">
        <v>1519</v>
      </c>
      <c r="C2346" t="s">
        <v>1520</v>
      </c>
      <c r="D2346" t="s">
        <v>19</v>
      </c>
      <c r="E2346" t="s">
        <v>20</v>
      </c>
      <c r="F2346" t="str">
        <f>"43604"</f>
        <v>43604</v>
      </c>
      <c r="G2346" t="str">
        <f>"545042"</f>
        <v>545042</v>
      </c>
      <c r="H2346" s="2">
        <f>20</f>
        <v>20</v>
      </c>
      <c r="I2346" t="s">
        <v>27</v>
      </c>
      <c r="J2346" t="s">
        <v>257</v>
      </c>
      <c r="K2346" t="str">
        <f>"38353"</f>
        <v>38353</v>
      </c>
    </row>
    <row r="2347" spans="1:11" x14ac:dyDescent="0.25">
      <c r="A2347">
        <v>2022</v>
      </c>
      <c r="B2347" t="s">
        <v>1525</v>
      </c>
      <c r="C2347" t="s">
        <v>1526</v>
      </c>
      <c r="D2347" t="s">
        <v>125</v>
      </c>
      <c r="E2347" t="s">
        <v>20</v>
      </c>
      <c r="F2347" t="str">
        <f>"43537-2365"</f>
        <v>43537-2365</v>
      </c>
      <c r="G2347" t="str">
        <f>"545101"</f>
        <v>545101</v>
      </c>
      <c r="H2347" s="2">
        <f>10</f>
        <v>10</v>
      </c>
      <c r="I2347" t="s">
        <v>27</v>
      </c>
      <c r="J2347" t="s">
        <v>51</v>
      </c>
      <c r="K2347" t="str">
        <f>"116576"</f>
        <v>116576</v>
      </c>
    </row>
    <row r="2348" spans="1:11" x14ac:dyDescent="0.25">
      <c r="A2348">
        <v>2022</v>
      </c>
      <c r="B2348" t="s">
        <v>1579</v>
      </c>
      <c r="C2348" t="s">
        <v>1580</v>
      </c>
      <c r="D2348" t="s">
        <v>19</v>
      </c>
      <c r="E2348" t="s">
        <v>20</v>
      </c>
      <c r="F2348" t="str">
        <f>"43635"</f>
        <v>43635</v>
      </c>
      <c r="G2348" t="str">
        <f>"Je010722"</f>
        <v>Je010722</v>
      </c>
      <c r="H2348" s="2">
        <f>292.5</f>
        <v>292.5</v>
      </c>
      <c r="I2348" t="s">
        <v>15</v>
      </c>
      <c r="J2348" t="s">
        <v>90</v>
      </c>
      <c r="K2348" t="str">
        <f>"60029760"</f>
        <v>60029760</v>
      </c>
    </row>
    <row r="2349" spans="1:11" x14ac:dyDescent="0.25">
      <c r="A2349">
        <v>2022</v>
      </c>
      <c r="B2349" t="s">
        <v>1583</v>
      </c>
      <c r="C2349" t="s">
        <v>1584</v>
      </c>
      <c r="D2349" t="s">
        <v>19</v>
      </c>
      <c r="E2349" t="s">
        <v>20</v>
      </c>
      <c r="F2349" t="str">
        <f>"43612"</f>
        <v>43612</v>
      </c>
      <c r="G2349" t="str">
        <f>"545044"</f>
        <v>545044</v>
      </c>
      <c r="H2349" s="2">
        <f>20</f>
        <v>20</v>
      </c>
      <c r="I2349" t="s">
        <v>27</v>
      </c>
      <c r="J2349" t="s">
        <v>28</v>
      </c>
      <c r="K2349" t="str">
        <f>"519094"</f>
        <v>519094</v>
      </c>
    </row>
    <row r="2350" spans="1:11" x14ac:dyDescent="0.25">
      <c r="A2350">
        <v>2022</v>
      </c>
      <c r="B2350" t="s">
        <v>1585</v>
      </c>
      <c r="C2350" t="s">
        <v>1586</v>
      </c>
      <c r="D2350" t="s">
        <v>19</v>
      </c>
      <c r="E2350" t="s">
        <v>20</v>
      </c>
      <c r="F2350" t="str">
        <f>"43612"</f>
        <v>43612</v>
      </c>
      <c r="G2350" t="str">
        <f>"545044"</f>
        <v>545044</v>
      </c>
      <c r="H2350" s="2">
        <f>20</f>
        <v>20</v>
      </c>
      <c r="I2350" t="s">
        <v>27</v>
      </c>
      <c r="J2350" t="s">
        <v>28</v>
      </c>
      <c r="K2350" t="str">
        <f>"519136"</f>
        <v>519136</v>
      </c>
    </row>
    <row r="2351" spans="1:11" x14ac:dyDescent="0.25">
      <c r="A2351">
        <v>2022</v>
      </c>
      <c r="B2351" t="s">
        <v>1585</v>
      </c>
      <c r="C2351" t="s">
        <v>1586</v>
      </c>
      <c r="D2351" t="s">
        <v>19</v>
      </c>
      <c r="E2351" t="s">
        <v>20</v>
      </c>
      <c r="F2351" t="str">
        <f>"43612"</f>
        <v>43612</v>
      </c>
      <c r="G2351" t="str">
        <f>"545044"</f>
        <v>545044</v>
      </c>
      <c r="H2351" s="2">
        <f>20</f>
        <v>20</v>
      </c>
      <c r="I2351" t="s">
        <v>27</v>
      </c>
      <c r="J2351" t="s">
        <v>28</v>
      </c>
      <c r="K2351" t="str">
        <f>"518846"</f>
        <v>518846</v>
      </c>
    </row>
    <row r="2352" spans="1:11" x14ac:dyDescent="0.25">
      <c r="A2352">
        <v>2022</v>
      </c>
      <c r="B2352" t="s">
        <v>1593</v>
      </c>
      <c r="C2352" t="s">
        <v>1594</v>
      </c>
      <c r="D2352" t="s">
        <v>50</v>
      </c>
      <c r="E2352" t="s">
        <v>20</v>
      </c>
      <c r="F2352" t="str">
        <f>"43560-2841"</f>
        <v>43560-2841</v>
      </c>
      <c r="G2352" t="str">
        <f>"545101"</f>
        <v>545101</v>
      </c>
      <c r="H2352" s="2">
        <f>10</f>
        <v>10</v>
      </c>
      <c r="I2352" t="s">
        <v>27</v>
      </c>
      <c r="J2352" t="s">
        <v>51</v>
      </c>
      <c r="K2352" t="str">
        <f>"116540"</f>
        <v>116540</v>
      </c>
    </row>
    <row r="2353" spans="1:11" x14ac:dyDescent="0.25">
      <c r="A2353">
        <v>2022</v>
      </c>
      <c r="B2353" t="s">
        <v>1615</v>
      </c>
      <c r="C2353" t="s">
        <v>1616</v>
      </c>
      <c r="D2353" t="s">
        <v>19</v>
      </c>
      <c r="E2353" t="s">
        <v>20</v>
      </c>
      <c r="F2353" t="str">
        <f>"43606-1066"</f>
        <v>43606-1066</v>
      </c>
      <c r="G2353" t="str">
        <f>"545101"</f>
        <v>545101</v>
      </c>
      <c r="H2353" s="2">
        <f>10</f>
        <v>10</v>
      </c>
      <c r="I2353" t="s">
        <v>27</v>
      </c>
      <c r="J2353" t="s">
        <v>51</v>
      </c>
      <c r="K2353" t="str">
        <f>"118125"</f>
        <v>118125</v>
      </c>
    </row>
    <row r="2354" spans="1:11" x14ac:dyDescent="0.25">
      <c r="A2354">
        <v>2022</v>
      </c>
      <c r="B2354" t="s">
        <v>1633</v>
      </c>
      <c r="C2354" t="s">
        <v>1634</v>
      </c>
      <c r="D2354" t="s">
        <v>19</v>
      </c>
      <c r="E2354" t="s">
        <v>20</v>
      </c>
      <c r="F2354" t="str">
        <f>"43623"</f>
        <v>43623</v>
      </c>
      <c r="G2354" t="str">
        <f>"545042"</f>
        <v>545042</v>
      </c>
      <c r="H2354" s="2">
        <f>3.35</f>
        <v>3.35</v>
      </c>
      <c r="I2354" t="s">
        <v>27</v>
      </c>
      <c r="J2354" t="s">
        <v>257</v>
      </c>
      <c r="K2354" t="str">
        <f>"36651"</f>
        <v>36651</v>
      </c>
    </row>
    <row r="2355" spans="1:11" x14ac:dyDescent="0.25">
      <c r="A2355">
        <v>2022</v>
      </c>
      <c r="B2355" t="s">
        <v>1652</v>
      </c>
      <c r="C2355" t="s">
        <v>1653</v>
      </c>
      <c r="D2355" t="s">
        <v>19</v>
      </c>
      <c r="E2355" t="s">
        <v>20</v>
      </c>
      <c r="F2355" t="str">
        <f>"43607"</f>
        <v>43607</v>
      </c>
      <c r="G2355" t="str">
        <f>"545042"</f>
        <v>545042</v>
      </c>
      <c r="H2355" s="2">
        <f>3.18</f>
        <v>3.18</v>
      </c>
      <c r="I2355" t="s">
        <v>27</v>
      </c>
      <c r="J2355" t="s">
        <v>257</v>
      </c>
      <c r="K2355" t="str">
        <f>"36650"</f>
        <v>36650</v>
      </c>
    </row>
    <row r="2356" spans="1:11" x14ac:dyDescent="0.25">
      <c r="A2356">
        <v>2022</v>
      </c>
      <c r="B2356" t="s">
        <v>1656</v>
      </c>
      <c r="C2356" t="s">
        <v>1657</v>
      </c>
      <c r="D2356" t="s">
        <v>50</v>
      </c>
      <c r="E2356" t="s">
        <v>20</v>
      </c>
      <c r="F2356" t="str">
        <f>"43560"</f>
        <v>43560</v>
      </c>
      <c r="G2356" t="str">
        <f>"Je010722"</f>
        <v>Je010722</v>
      </c>
      <c r="H2356" s="2">
        <f>15</f>
        <v>15</v>
      </c>
      <c r="I2356" t="s">
        <v>15</v>
      </c>
      <c r="J2356" t="s">
        <v>90</v>
      </c>
      <c r="K2356" t="str">
        <f>"60030767"</f>
        <v>60030767</v>
      </c>
    </row>
    <row r="2357" spans="1:11" x14ac:dyDescent="0.25">
      <c r="A2357">
        <v>2022</v>
      </c>
      <c r="B2357" t="s">
        <v>1658</v>
      </c>
      <c r="C2357" t="s">
        <v>1657</v>
      </c>
      <c r="D2357" t="s">
        <v>50</v>
      </c>
      <c r="E2357" t="s">
        <v>20</v>
      </c>
      <c r="F2357" t="str">
        <f>"43560"</f>
        <v>43560</v>
      </c>
      <c r="G2357" t="str">
        <f>"Je010722"</f>
        <v>Je010722</v>
      </c>
      <c r="H2357" s="2">
        <f>15</f>
        <v>15</v>
      </c>
      <c r="I2357" t="s">
        <v>15</v>
      </c>
      <c r="J2357" t="s">
        <v>90</v>
      </c>
      <c r="K2357" t="str">
        <f>"60032451"</f>
        <v>60032451</v>
      </c>
    </row>
    <row r="2358" spans="1:11" x14ac:dyDescent="0.25">
      <c r="A2358">
        <v>2022</v>
      </c>
      <c r="B2358" t="s">
        <v>1669</v>
      </c>
      <c r="C2358" t="s">
        <v>1670</v>
      </c>
      <c r="D2358" t="s">
        <v>19</v>
      </c>
      <c r="E2358" t="s">
        <v>20</v>
      </c>
      <c r="F2358" t="str">
        <f>"43605"</f>
        <v>43605</v>
      </c>
      <c r="G2358" t="str">
        <f>"Je070522"</f>
        <v>Je070522</v>
      </c>
      <c r="H2358" s="2">
        <f>298.36</f>
        <v>298.36</v>
      </c>
      <c r="I2358" t="s">
        <v>15</v>
      </c>
      <c r="J2358" t="s">
        <v>207</v>
      </c>
      <c r="K2358" t="str">
        <f>"60047836"</f>
        <v>60047836</v>
      </c>
    </row>
    <row r="2359" spans="1:11" x14ac:dyDescent="0.25">
      <c r="A2359">
        <v>2022</v>
      </c>
      <c r="B2359" t="s">
        <v>1686</v>
      </c>
      <c r="C2359" t="s">
        <v>282</v>
      </c>
      <c r="D2359" t="s">
        <v>19</v>
      </c>
      <c r="E2359" t="s">
        <v>20</v>
      </c>
      <c r="F2359" t="str">
        <f>"43608"</f>
        <v>43608</v>
      </c>
      <c r="G2359" t="str">
        <f>"Je11032022"</f>
        <v>Je11032022</v>
      </c>
      <c r="H2359" s="2">
        <f>0.66</f>
        <v>0.66</v>
      </c>
      <c r="I2359" t="s">
        <v>15</v>
      </c>
      <c r="J2359" t="s">
        <v>234</v>
      </c>
      <c r="K2359" t="str">
        <f>"60053340"</f>
        <v>60053340</v>
      </c>
    </row>
    <row r="2360" spans="1:11" x14ac:dyDescent="0.25">
      <c r="A2360">
        <v>2022</v>
      </c>
      <c r="B2360" t="s">
        <v>1737</v>
      </c>
      <c r="C2360" t="s">
        <v>1738</v>
      </c>
      <c r="D2360" t="s">
        <v>19</v>
      </c>
      <c r="E2360" t="s">
        <v>20</v>
      </c>
      <c r="F2360" t="str">
        <f>"43620"</f>
        <v>43620</v>
      </c>
      <c r="G2360" t="str">
        <f>"545042"</f>
        <v>545042</v>
      </c>
      <c r="H2360" s="2">
        <f>32.25</f>
        <v>32.25</v>
      </c>
      <c r="I2360" t="s">
        <v>27</v>
      </c>
      <c r="J2360" t="s">
        <v>257</v>
      </c>
      <c r="K2360" t="str">
        <f>"38425"</f>
        <v>38425</v>
      </c>
    </row>
    <row r="2361" spans="1:11" x14ac:dyDescent="0.25">
      <c r="A2361">
        <v>2022</v>
      </c>
      <c r="B2361" t="s">
        <v>1739</v>
      </c>
      <c r="C2361" t="s">
        <v>1740</v>
      </c>
      <c r="D2361" t="s">
        <v>19</v>
      </c>
      <c r="E2361" t="s">
        <v>20</v>
      </c>
      <c r="F2361" t="str">
        <f>"43614"</f>
        <v>43614</v>
      </c>
      <c r="G2361" t="str">
        <f>"Je010722"</f>
        <v>Je010722</v>
      </c>
      <c r="H2361" s="2">
        <f>15</f>
        <v>15</v>
      </c>
      <c r="I2361" t="s">
        <v>15</v>
      </c>
      <c r="J2361" t="s">
        <v>90</v>
      </c>
      <c r="K2361" t="str">
        <f>"60032481"</f>
        <v>60032481</v>
      </c>
    </row>
    <row r="2362" spans="1:11" x14ac:dyDescent="0.25">
      <c r="A2362">
        <v>2022</v>
      </c>
      <c r="B2362" t="s">
        <v>1760</v>
      </c>
      <c r="C2362" t="s">
        <v>1761</v>
      </c>
      <c r="D2362" t="s">
        <v>1054</v>
      </c>
      <c r="E2362" t="s">
        <v>14</v>
      </c>
      <c r="F2362" t="str">
        <f>"48182"</f>
        <v>48182</v>
      </c>
      <c r="G2362" t="str">
        <f>"545044"</f>
        <v>545044</v>
      </c>
      <c r="H2362" s="2">
        <f>5.56</f>
        <v>5.56</v>
      </c>
      <c r="I2362" t="s">
        <v>27</v>
      </c>
      <c r="J2362" t="s">
        <v>28</v>
      </c>
      <c r="K2362" t="str">
        <f>"519249"</f>
        <v>519249</v>
      </c>
    </row>
    <row r="2363" spans="1:11" x14ac:dyDescent="0.25">
      <c r="A2363">
        <v>2022</v>
      </c>
      <c r="B2363" t="s">
        <v>1785</v>
      </c>
      <c r="C2363" t="s">
        <v>1786</v>
      </c>
      <c r="D2363" t="s">
        <v>19</v>
      </c>
      <c r="E2363" t="s">
        <v>20</v>
      </c>
      <c r="F2363" t="str">
        <f>"43612"</f>
        <v>43612</v>
      </c>
      <c r="G2363" t="str">
        <f>"545043"</f>
        <v>545043</v>
      </c>
      <c r="H2363" s="2">
        <f>8.05</f>
        <v>8.0500000000000007</v>
      </c>
      <c r="I2363" t="s">
        <v>27</v>
      </c>
      <c r="J2363" t="s">
        <v>77</v>
      </c>
      <c r="K2363" t="str">
        <f>"333681"</f>
        <v>333681</v>
      </c>
    </row>
    <row r="2364" spans="1:11" x14ac:dyDescent="0.25">
      <c r="A2364">
        <v>2022</v>
      </c>
      <c r="B2364" t="s">
        <v>1789</v>
      </c>
      <c r="C2364" t="s">
        <v>1790</v>
      </c>
      <c r="D2364" t="s">
        <v>19</v>
      </c>
      <c r="E2364" t="s">
        <v>20</v>
      </c>
      <c r="F2364" t="str">
        <f>"43607"</f>
        <v>43607</v>
      </c>
      <c r="G2364" t="str">
        <f>"545043"</f>
        <v>545043</v>
      </c>
      <c r="H2364" s="2">
        <f>17.75</f>
        <v>17.75</v>
      </c>
      <c r="I2364" t="s">
        <v>27</v>
      </c>
      <c r="J2364" t="s">
        <v>77</v>
      </c>
      <c r="K2364" t="str">
        <f>"333511"</f>
        <v>333511</v>
      </c>
    </row>
    <row r="2365" spans="1:11" x14ac:dyDescent="0.25">
      <c r="A2365">
        <v>2022</v>
      </c>
      <c r="B2365" t="s">
        <v>1793</v>
      </c>
      <c r="C2365" t="s">
        <v>1794</v>
      </c>
      <c r="D2365" t="s">
        <v>19</v>
      </c>
      <c r="E2365" t="s">
        <v>20</v>
      </c>
      <c r="F2365" t="str">
        <f>"43610"</f>
        <v>43610</v>
      </c>
      <c r="G2365" t="str">
        <f>"Je010722"</f>
        <v>Je010722</v>
      </c>
      <c r="H2365" s="2">
        <f>50</f>
        <v>50</v>
      </c>
      <c r="I2365" t="s">
        <v>15</v>
      </c>
      <c r="J2365" t="s">
        <v>90</v>
      </c>
      <c r="K2365" t="str">
        <f>"60032489"</f>
        <v>60032489</v>
      </c>
    </row>
    <row r="2366" spans="1:11" x14ac:dyDescent="0.25">
      <c r="A2366">
        <v>2022</v>
      </c>
      <c r="B2366" t="s">
        <v>1795</v>
      </c>
      <c r="C2366" t="s">
        <v>1794</v>
      </c>
      <c r="D2366" t="s">
        <v>19</v>
      </c>
      <c r="E2366" t="s">
        <v>20</v>
      </c>
      <c r="F2366" t="str">
        <f>"43610"</f>
        <v>43610</v>
      </c>
      <c r="G2366" t="str">
        <f>"Je010722"</f>
        <v>Je010722</v>
      </c>
      <c r="H2366" s="2">
        <f>50</f>
        <v>50</v>
      </c>
      <c r="I2366" t="s">
        <v>15</v>
      </c>
      <c r="J2366" t="s">
        <v>90</v>
      </c>
      <c r="K2366" t="str">
        <f>"60032490"</f>
        <v>60032490</v>
      </c>
    </row>
    <row r="2367" spans="1:11" x14ac:dyDescent="0.25">
      <c r="A2367">
        <v>2022</v>
      </c>
      <c r="B2367" t="s">
        <v>1808</v>
      </c>
      <c r="C2367" t="s">
        <v>1809</v>
      </c>
      <c r="D2367" t="s">
        <v>19</v>
      </c>
      <c r="E2367" t="s">
        <v>20</v>
      </c>
      <c r="F2367" t="str">
        <f>"43606"</f>
        <v>43606</v>
      </c>
      <c r="G2367" t="str">
        <f>"Je010722"</f>
        <v>Je010722</v>
      </c>
      <c r="H2367" s="2">
        <f>50</f>
        <v>50</v>
      </c>
      <c r="I2367" t="s">
        <v>15</v>
      </c>
      <c r="J2367" t="s">
        <v>90</v>
      </c>
      <c r="K2367" t="str">
        <f>"60032492"</f>
        <v>60032492</v>
      </c>
    </row>
    <row r="2368" spans="1:11" x14ac:dyDescent="0.25">
      <c r="A2368">
        <v>2022</v>
      </c>
      <c r="B2368" t="s">
        <v>1810</v>
      </c>
      <c r="C2368" t="s">
        <v>1814</v>
      </c>
      <c r="D2368" t="s">
        <v>792</v>
      </c>
      <c r="E2368" t="s">
        <v>887</v>
      </c>
      <c r="F2368" t="str">
        <f>"37777"</f>
        <v>37777</v>
      </c>
      <c r="G2368" t="str">
        <f>"545075"</f>
        <v>545075</v>
      </c>
      <c r="H2368" s="2">
        <f>188.25</f>
        <v>188.25</v>
      </c>
      <c r="I2368" t="s">
        <v>27</v>
      </c>
      <c r="J2368" t="s">
        <v>31</v>
      </c>
      <c r="K2368" t="str">
        <f>"33011040"</f>
        <v>33011040</v>
      </c>
    </row>
    <row r="2369" spans="1:11" x14ac:dyDescent="0.25">
      <c r="A2369">
        <v>2022</v>
      </c>
      <c r="B2369" t="s">
        <v>1815</v>
      </c>
      <c r="C2369" t="s">
        <v>1816</v>
      </c>
      <c r="D2369" t="s">
        <v>105</v>
      </c>
      <c r="E2369" t="s">
        <v>20</v>
      </c>
      <c r="F2369" t="str">
        <f>"43528"</f>
        <v>43528</v>
      </c>
      <c r="G2369" t="str">
        <f>"Je010722"</f>
        <v>Je010722</v>
      </c>
      <c r="H2369" s="2">
        <f>100</f>
        <v>100</v>
      </c>
      <c r="I2369" t="s">
        <v>15</v>
      </c>
      <c r="J2369" t="s">
        <v>90</v>
      </c>
      <c r="K2369" t="str">
        <f>"60027425"</f>
        <v>60027425</v>
      </c>
    </row>
    <row r="2370" spans="1:11" x14ac:dyDescent="0.25">
      <c r="A2370">
        <v>2022</v>
      </c>
      <c r="B2370" t="s">
        <v>1830</v>
      </c>
      <c r="C2370" t="s">
        <v>1831</v>
      </c>
      <c r="D2370" t="s">
        <v>111</v>
      </c>
      <c r="E2370" t="s">
        <v>20</v>
      </c>
      <c r="F2370" t="str">
        <f>"43215"</f>
        <v>43215</v>
      </c>
      <c r="G2370" t="str">
        <f>"545044"</f>
        <v>545044</v>
      </c>
      <c r="H2370" s="2">
        <f>250</f>
        <v>250</v>
      </c>
      <c r="I2370" t="s">
        <v>27</v>
      </c>
      <c r="J2370" t="s">
        <v>28</v>
      </c>
      <c r="K2370" t="str">
        <f>"519348"</f>
        <v>519348</v>
      </c>
    </row>
    <row r="2371" spans="1:11" x14ac:dyDescent="0.25">
      <c r="A2371">
        <v>2022</v>
      </c>
      <c r="B2371" t="s">
        <v>1832</v>
      </c>
      <c r="C2371" t="s">
        <v>1833</v>
      </c>
      <c r="D2371" t="s">
        <v>373</v>
      </c>
      <c r="E2371" t="s">
        <v>14</v>
      </c>
      <c r="F2371" t="str">
        <f>"48083"</f>
        <v>48083</v>
      </c>
      <c r="G2371" t="str">
        <f>"Je11032022"</f>
        <v>Je11032022</v>
      </c>
      <c r="H2371" s="2">
        <f>1755.21</f>
        <v>1755.21</v>
      </c>
      <c r="I2371" t="s">
        <v>15</v>
      </c>
      <c r="J2371" t="s">
        <v>234</v>
      </c>
      <c r="K2371" t="str">
        <f>"60058443"</f>
        <v>60058443</v>
      </c>
    </row>
    <row r="2372" spans="1:11" x14ac:dyDescent="0.25">
      <c r="A2372">
        <v>2022</v>
      </c>
      <c r="B2372" t="s">
        <v>1838</v>
      </c>
      <c r="C2372" t="s">
        <v>1839</v>
      </c>
      <c r="D2372" t="s">
        <v>19</v>
      </c>
      <c r="E2372" t="s">
        <v>20</v>
      </c>
      <c r="F2372" t="str">
        <f>"43615-1013"</f>
        <v>43615-1013</v>
      </c>
      <c r="G2372" t="str">
        <f>"545101"</f>
        <v>545101</v>
      </c>
      <c r="H2372" s="2">
        <f>50</f>
        <v>50</v>
      </c>
      <c r="I2372" t="s">
        <v>27</v>
      </c>
      <c r="J2372" t="s">
        <v>51</v>
      </c>
      <c r="K2372" t="str">
        <f>"118310"</f>
        <v>118310</v>
      </c>
    </row>
    <row r="2373" spans="1:11" x14ac:dyDescent="0.25">
      <c r="A2373">
        <v>2022</v>
      </c>
      <c r="B2373" t="s">
        <v>1838</v>
      </c>
      <c r="C2373" t="s">
        <v>1839</v>
      </c>
      <c r="D2373" t="s">
        <v>19</v>
      </c>
      <c r="E2373" t="s">
        <v>20</v>
      </c>
      <c r="F2373" t="str">
        <f>"43615-1013"</f>
        <v>43615-1013</v>
      </c>
      <c r="G2373" t="str">
        <f>"545101"</f>
        <v>545101</v>
      </c>
      <c r="H2373" s="2">
        <f>50</f>
        <v>50</v>
      </c>
      <c r="I2373" t="s">
        <v>27</v>
      </c>
      <c r="J2373" t="s">
        <v>51</v>
      </c>
      <c r="K2373" t="str">
        <f>"118298"</f>
        <v>118298</v>
      </c>
    </row>
    <row r="2374" spans="1:11" x14ac:dyDescent="0.25">
      <c r="A2374">
        <v>2022</v>
      </c>
      <c r="B2374" t="s">
        <v>1856</v>
      </c>
      <c r="C2374" t="s">
        <v>1857</v>
      </c>
      <c r="D2374" t="s">
        <v>19</v>
      </c>
      <c r="E2374" t="s">
        <v>20</v>
      </c>
      <c r="F2374" t="str">
        <f>"43604"</f>
        <v>43604</v>
      </c>
      <c r="G2374" t="str">
        <f>"545043"</f>
        <v>545043</v>
      </c>
      <c r="H2374" s="2">
        <f>4.34</f>
        <v>4.34</v>
      </c>
      <c r="I2374" t="s">
        <v>27</v>
      </c>
      <c r="J2374" t="s">
        <v>77</v>
      </c>
      <c r="K2374" t="str">
        <f>"332669"</f>
        <v>332669</v>
      </c>
    </row>
    <row r="2375" spans="1:11" x14ac:dyDescent="0.25">
      <c r="A2375">
        <v>2022</v>
      </c>
      <c r="B2375" t="s">
        <v>1868</v>
      </c>
      <c r="C2375" t="s">
        <v>1869</v>
      </c>
      <c r="D2375" t="s">
        <v>1870</v>
      </c>
      <c r="E2375" t="s">
        <v>1871</v>
      </c>
      <c r="F2375" t="str">
        <f>"88202"</f>
        <v>88202</v>
      </c>
      <c r="G2375" t="str">
        <f>"545075"</f>
        <v>545075</v>
      </c>
      <c r="H2375" s="2">
        <f>100.24</f>
        <v>100.24</v>
      </c>
      <c r="I2375" t="s">
        <v>27</v>
      </c>
      <c r="J2375" t="s">
        <v>31</v>
      </c>
      <c r="K2375" t="str">
        <f>"22021916"</f>
        <v>22021916</v>
      </c>
    </row>
    <row r="2376" spans="1:11" x14ac:dyDescent="0.25">
      <c r="A2376">
        <v>2022</v>
      </c>
      <c r="B2376" t="s">
        <v>1888</v>
      </c>
      <c r="C2376" t="s">
        <v>1889</v>
      </c>
      <c r="D2376" t="s">
        <v>899</v>
      </c>
      <c r="E2376" t="s">
        <v>20</v>
      </c>
      <c r="F2376" t="str">
        <f>"43412"</f>
        <v>43412</v>
      </c>
      <c r="G2376" t="str">
        <f>"Je11032022"</f>
        <v>Je11032022</v>
      </c>
      <c r="H2376" s="2">
        <f>615.28</f>
        <v>615.28</v>
      </c>
      <c r="I2376" t="s">
        <v>15</v>
      </c>
      <c r="J2376" t="s">
        <v>234</v>
      </c>
      <c r="K2376" t="str">
        <f>"60057123"</f>
        <v>60057123</v>
      </c>
    </row>
    <row r="2377" spans="1:11" x14ac:dyDescent="0.25">
      <c r="A2377">
        <v>2022</v>
      </c>
      <c r="B2377" t="s">
        <v>1929</v>
      </c>
      <c r="C2377" t="s">
        <v>1930</v>
      </c>
      <c r="D2377" t="s">
        <v>1931</v>
      </c>
      <c r="E2377" t="s">
        <v>985</v>
      </c>
      <c r="F2377" t="str">
        <f>"80011"</f>
        <v>80011</v>
      </c>
      <c r="G2377" t="str">
        <f>"Je010722"</f>
        <v>Je010722</v>
      </c>
      <c r="H2377" s="2">
        <f>496.2</f>
        <v>496.2</v>
      </c>
      <c r="I2377" t="s">
        <v>15</v>
      </c>
      <c r="J2377" t="s">
        <v>90</v>
      </c>
      <c r="K2377" t="str">
        <f>"60026225"</f>
        <v>60026225</v>
      </c>
    </row>
    <row r="2378" spans="1:11" x14ac:dyDescent="0.25">
      <c r="A2378">
        <v>2022</v>
      </c>
      <c r="B2378" t="s">
        <v>1950</v>
      </c>
      <c r="C2378" t="s">
        <v>1951</v>
      </c>
      <c r="D2378" t="s">
        <v>50</v>
      </c>
      <c r="E2378" t="s">
        <v>20</v>
      </c>
      <c r="F2378" t="str">
        <f>"43560"</f>
        <v>43560</v>
      </c>
      <c r="G2378" t="str">
        <f>"Je010722"</f>
        <v>Je010722</v>
      </c>
      <c r="H2378" s="2">
        <f>210</f>
        <v>210</v>
      </c>
      <c r="I2378" t="s">
        <v>15</v>
      </c>
      <c r="J2378" t="s">
        <v>90</v>
      </c>
      <c r="K2378" t="str">
        <f>"60032510"</f>
        <v>60032510</v>
      </c>
    </row>
    <row r="2379" spans="1:11" x14ac:dyDescent="0.25">
      <c r="A2379">
        <v>2022</v>
      </c>
      <c r="B2379" t="s">
        <v>1960</v>
      </c>
      <c r="C2379" t="s">
        <v>1961</v>
      </c>
      <c r="D2379" t="s">
        <v>19</v>
      </c>
      <c r="E2379" t="s">
        <v>20</v>
      </c>
      <c r="F2379" t="str">
        <f t="shared" ref="F2379:F2388" si="71">"43606"</f>
        <v>43606</v>
      </c>
      <c r="G2379" t="str">
        <f t="shared" ref="G2379:G2389" si="72">"545044"</f>
        <v>545044</v>
      </c>
      <c r="H2379" s="2">
        <f>26.66</f>
        <v>26.66</v>
      </c>
      <c r="I2379" t="s">
        <v>27</v>
      </c>
      <c r="J2379" t="s">
        <v>28</v>
      </c>
      <c r="K2379" t="str">
        <f>"520534"</f>
        <v>520534</v>
      </c>
    </row>
    <row r="2380" spans="1:11" x14ac:dyDescent="0.25">
      <c r="A2380">
        <v>2022</v>
      </c>
      <c r="B2380" t="s">
        <v>1960</v>
      </c>
      <c r="C2380" t="s">
        <v>1961</v>
      </c>
      <c r="D2380" t="s">
        <v>19</v>
      </c>
      <c r="E2380" t="s">
        <v>20</v>
      </c>
      <c r="F2380" t="str">
        <f t="shared" si="71"/>
        <v>43606</v>
      </c>
      <c r="G2380" t="str">
        <f t="shared" si="72"/>
        <v>545044</v>
      </c>
      <c r="H2380" s="2">
        <f>33.33</f>
        <v>33.33</v>
      </c>
      <c r="I2380" t="s">
        <v>27</v>
      </c>
      <c r="J2380" t="s">
        <v>28</v>
      </c>
      <c r="K2380" t="str">
        <f>"520314"</f>
        <v>520314</v>
      </c>
    </row>
    <row r="2381" spans="1:11" x14ac:dyDescent="0.25">
      <c r="A2381">
        <v>2022</v>
      </c>
      <c r="B2381" t="s">
        <v>1960</v>
      </c>
      <c r="C2381" t="s">
        <v>1961</v>
      </c>
      <c r="D2381" t="s">
        <v>19</v>
      </c>
      <c r="E2381" t="s">
        <v>20</v>
      </c>
      <c r="F2381" t="str">
        <f t="shared" si="71"/>
        <v>43606</v>
      </c>
      <c r="G2381" t="str">
        <f t="shared" si="72"/>
        <v>545044</v>
      </c>
      <c r="H2381" s="2">
        <f>33.33</f>
        <v>33.33</v>
      </c>
      <c r="I2381" t="s">
        <v>27</v>
      </c>
      <c r="J2381" t="s">
        <v>28</v>
      </c>
      <c r="K2381" t="str">
        <f>"520059"</f>
        <v>520059</v>
      </c>
    </row>
    <row r="2382" spans="1:11" x14ac:dyDescent="0.25">
      <c r="A2382">
        <v>2022</v>
      </c>
      <c r="B2382" t="s">
        <v>1960</v>
      </c>
      <c r="C2382" t="s">
        <v>1961</v>
      </c>
      <c r="D2382" t="s">
        <v>19</v>
      </c>
      <c r="E2382" t="s">
        <v>20</v>
      </c>
      <c r="F2382" t="str">
        <f t="shared" si="71"/>
        <v>43606</v>
      </c>
      <c r="G2382" t="str">
        <f t="shared" si="72"/>
        <v>545044</v>
      </c>
      <c r="H2382" s="2">
        <f>133.33</f>
        <v>133.33000000000001</v>
      </c>
      <c r="I2382" t="s">
        <v>27</v>
      </c>
      <c r="J2382" t="s">
        <v>28</v>
      </c>
      <c r="K2382" t="str">
        <f>"519388"</f>
        <v>519388</v>
      </c>
    </row>
    <row r="2383" spans="1:11" x14ac:dyDescent="0.25">
      <c r="A2383">
        <v>2022</v>
      </c>
      <c r="B2383" t="s">
        <v>1960</v>
      </c>
      <c r="C2383" t="s">
        <v>1961</v>
      </c>
      <c r="D2383" t="s">
        <v>19</v>
      </c>
      <c r="E2383" t="s">
        <v>20</v>
      </c>
      <c r="F2383" t="str">
        <f t="shared" si="71"/>
        <v>43606</v>
      </c>
      <c r="G2383" t="str">
        <f t="shared" si="72"/>
        <v>545044</v>
      </c>
      <c r="H2383" s="2">
        <f>116.66</f>
        <v>116.66</v>
      </c>
      <c r="I2383" t="s">
        <v>27</v>
      </c>
      <c r="J2383" t="s">
        <v>28</v>
      </c>
      <c r="K2383" t="str">
        <f>"519530"</f>
        <v>519530</v>
      </c>
    </row>
    <row r="2384" spans="1:11" x14ac:dyDescent="0.25">
      <c r="A2384">
        <v>2022</v>
      </c>
      <c r="B2384" t="s">
        <v>1960</v>
      </c>
      <c r="C2384" t="s">
        <v>1961</v>
      </c>
      <c r="D2384" t="s">
        <v>19</v>
      </c>
      <c r="E2384" t="s">
        <v>20</v>
      </c>
      <c r="F2384" t="str">
        <f t="shared" si="71"/>
        <v>43606</v>
      </c>
      <c r="G2384" t="str">
        <f t="shared" si="72"/>
        <v>545044</v>
      </c>
      <c r="H2384" s="2">
        <f>116.66</f>
        <v>116.66</v>
      </c>
      <c r="I2384" t="s">
        <v>27</v>
      </c>
      <c r="J2384" t="s">
        <v>28</v>
      </c>
      <c r="K2384" t="str">
        <f>"519775"</f>
        <v>519775</v>
      </c>
    </row>
    <row r="2385" spans="1:11" x14ac:dyDescent="0.25">
      <c r="A2385">
        <v>2022</v>
      </c>
      <c r="B2385" t="s">
        <v>1960</v>
      </c>
      <c r="C2385" t="s">
        <v>1961</v>
      </c>
      <c r="D2385" t="s">
        <v>19</v>
      </c>
      <c r="E2385" t="s">
        <v>20</v>
      </c>
      <c r="F2385" t="str">
        <f t="shared" si="71"/>
        <v>43606</v>
      </c>
      <c r="G2385" t="str">
        <f t="shared" si="72"/>
        <v>545044</v>
      </c>
      <c r="H2385" s="2">
        <f>116.66</f>
        <v>116.66</v>
      </c>
      <c r="I2385" t="s">
        <v>27</v>
      </c>
      <c r="J2385" t="s">
        <v>28</v>
      </c>
      <c r="K2385" t="str">
        <f>"519592"</f>
        <v>519592</v>
      </c>
    </row>
    <row r="2386" spans="1:11" x14ac:dyDescent="0.25">
      <c r="A2386">
        <v>2022</v>
      </c>
      <c r="B2386" t="s">
        <v>1960</v>
      </c>
      <c r="C2386" t="s">
        <v>1961</v>
      </c>
      <c r="D2386" t="s">
        <v>19</v>
      </c>
      <c r="E2386" t="s">
        <v>20</v>
      </c>
      <c r="F2386" t="str">
        <f t="shared" si="71"/>
        <v>43606</v>
      </c>
      <c r="G2386" t="str">
        <f t="shared" si="72"/>
        <v>545044</v>
      </c>
      <c r="H2386" s="2">
        <f>116.66</f>
        <v>116.66</v>
      </c>
      <c r="I2386" t="s">
        <v>27</v>
      </c>
      <c r="J2386" t="s">
        <v>28</v>
      </c>
      <c r="K2386" t="str">
        <f>"518424"</f>
        <v>518424</v>
      </c>
    </row>
    <row r="2387" spans="1:11" x14ac:dyDescent="0.25">
      <c r="A2387">
        <v>2022</v>
      </c>
      <c r="B2387" t="s">
        <v>1960</v>
      </c>
      <c r="C2387" t="s">
        <v>1961</v>
      </c>
      <c r="D2387" t="s">
        <v>19</v>
      </c>
      <c r="E2387" t="s">
        <v>20</v>
      </c>
      <c r="F2387" t="str">
        <f t="shared" si="71"/>
        <v>43606</v>
      </c>
      <c r="G2387" t="str">
        <f t="shared" si="72"/>
        <v>545044</v>
      </c>
      <c r="H2387" s="2">
        <f>116.66</f>
        <v>116.66</v>
      </c>
      <c r="I2387" t="s">
        <v>27</v>
      </c>
      <c r="J2387" t="s">
        <v>28</v>
      </c>
      <c r="K2387" t="str">
        <f>"518499"</f>
        <v>518499</v>
      </c>
    </row>
    <row r="2388" spans="1:11" x14ac:dyDescent="0.25">
      <c r="A2388">
        <v>2022</v>
      </c>
      <c r="B2388" t="s">
        <v>1960</v>
      </c>
      <c r="C2388" t="s">
        <v>1961</v>
      </c>
      <c r="D2388" t="s">
        <v>19</v>
      </c>
      <c r="E2388" t="s">
        <v>20</v>
      </c>
      <c r="F2388" t="str">
        <f t="shared" si="71"/>
        <v>43606</v>
      </c>
      <c r="G2388" t="str">
        <f t="shared" si="72"/>
        <v>545044</v>
      </c>
      <c r="H2388" s="2">
        <f>113.33</f>
        <v>113.33</v>
      </c>
      <c r="I2388" t="s">
        <v>27</v>
      </c>
      <c r="J2388" t="s">
        <v>28</v>
      </c>
      <c r="K2388" t="str">
        <f>"519025"</f>
        <v>519025</v>
      </c>
    </row>
    <row r="2389" spans="1:11" x14ac:dyDescent="0.25">
      <c r="A2389">
        <v>2022</v>
      </c>
      <c r="B2389" t="s">
        <v>1962</v>
      </c>
      <c r="C2389" t="s">
        <v>1963</v>
      </c>
      <c r="D2389" t="s">
        <v>19</v>
      </c>
      <c r="E2389" t="s">
        <v>20</v>
      </c>
      <c r="F2389" t="str">
        <f>"43615"</f>
        <v>43615</v>
      </c>
      <c r="G2389" t="str">
        <f t="shared" si="72"/>
        <v>545044</v>
      </c>
      <c r="H2389" s="2">
        <f>5</f>
        <v>5</v>
      </c>
      <c r="I2389" t="s">
        <v>27</v>
      </c>
      <c r="J2389" t="s">
        <v>28</v>
      </c>
      <c r="K2389" t="str">
        <f>"520306"</f>
        <v>520306</v>
      </c>
    </row>
    <row r="2390" spans="1:11" x14ac:dyDescent="0.25">
      <c r="A2390">
        <v>2022</v>
      </c>
      <c r="B2390" t="s">
        <v>1998</v>
      </c>
      <c r="C2390" t="s">
        <v>1999</v>
      </c>
      <c r="D2390" t="s">
        <v>2000</v>
      </c>
      <c r="E2390" t="s">
        <v>20</v>
      </c>
      <c r="F2390" t="str">
        <f>"43466"</f>
        <v>43466</v>
      </c>
      <c r="G2390" t="str">
        <f>"Je010722"</f>
        <v>Je010722</v>
      </c>
      <c r="H2390" s="2">
        <f>52.8</f>
        <v>52.8</v>
      </c>
      <c r="I2390" t="s">
        <v>15</v>
      </c>
      <c r="J2390" t="s">
        <v>90</v>
      </c>
      <c r="K2390" t="str">
        <f>"60034320"</f>
        <v>60034320</v>
      </c>
    </row>
    <row r="2391" spans="1:11" x14ac:dyDescent="0.25">
      <c r="A2391">
        <v>2022</v>
      </c>
      <c r="B2391" t="s">
        <v>2012</v>
      </c>
      <c r="C2391" t="s">
        <v>2013</v>
      </c>
      <c r="D2391" t="s">
        <v>19</v>
      </c>
      <c r="E2391" t="s">
        <v>20</v>
      </c>
      <c r="F2391" t="str">
        <f>"43613"</f>
        <v>43613</v>
      </c>
      <c r="G2391" t="str">
        <f>"562222"</f>
        <v>562222</v>
      </c>
      <c r="H2391" s="2">
        <f>60</f>
        <v>60</v>
      </c>
      <c r="I2391" t="s">
        <v>519</v>
      </c>
      <c r="J2391" t="s">
        <v>811</v>
      </c>
      <c r="K2391" t="str">
        <f>"11258"</f>
        <v>11258</v>
      </c>
    </row>
    <row r="2392" spans="1:11" x14ac:dyDescent="0.25">
      <c r="A2392">
        <v>2022</v>
      </c>
      <c r="B2392" t="s">
        <v>2018</v>
      </c>
      <c r="C2392" t="s">
        <v>2019</v>
      </c>
      <c r="D2392" t="s">
        <v>19</v>
      </c>
      <c r="E2392" t="s">
        <v>20</v>
      </c>
      <c r="F2392" t="str">
        <f>"43608-1741"</f>
        <v>43608-1741</v>
      </c>
      <c r="G2392" t="str">
        <f>"Je070522"</f>
        <v>Je070522</v>
      </c>
      <c r="H2392" s="2">
        <f>40</f>
        <v>40</v>
      </c>
      <c r="I2392" t="s">
        <v>15</v>
      </c>
      <c r="J2392" t="s">
        <v>207</v>
      </c>
      <c r="K2392" t="str">
        <f>"60045750"</f>
        <v>60045750</v>
      </c>
    </row>
    <row r="2393" spans="1:11" x14ac:dyDescent="0.25">
      <c r="A2393">
        <v>2022</v>
      </c>
      <c r="B2393" t="s">
        <v>2034</v>
      </c>
      <c r="C2393" t="s">
        <v>2035</v>
      </c>
      <c r="D2393" t="s">
        <v>19</v>
      </c>
      <c r="E2393" t="s">
        <v>20</v>
      </c>
      <c r="F2393" t="str">
        <f>"43617"</f>
        <v>43617</v>
      </c>
      <c r="G2393" t="str">
        <f>"Je031622"</f>
        <v>Je031622</v>
      </c>
      <c r="H2393" s="2">
        <f>15.08</f>
        <v>15.08</v>
      </c>
      <c r="I2393" t="s">
        <v>15</v>
      </c>
      <c r="J2393" t="s">
        <v>117</v>
      </c>
      <c r="K2393" t="str">
        <f>"60039351"</f>
        <v>60039351</v>
      </c>
    </row>
    <row r="2394" spans="1:11" x14ac:dyDescent="0.25">
      <c r="A2394">
        <v>2022</v>
      </c>
      <c r="B2394" t="s">
        <v>2066</v>
      </c>
      <c r="C2394" t="s">
        <v>2067</v>
      </c>
      <c r="D2394" t="s">
        <v>19</v>
      </c>
      <c r="E2394" t="s">
        <v>20</v>
      </c>
      <c r="F2394" t="str">
        <f>"43611"</f>
        <v>43611</v>
      </c>
      <c r="G2394" t="str">
        <f>"Je031622"</f>
        <v>Je031622</v>
      </c>
      <c r="H2394" s="2">
        <f>15.08</f>
        <v>15.08</v>
      </c>
      <c r="I2394" t="s">
        <v>15</v>
      </c>
      <c r="J2394" t="s">
        <v>117</v>
      </c>
      <c r="K2394" t="str">
        <f>"60039355"</f>
        <v>60039355</v>
      </c>
    </row>
    <row r="2395" spans="1:11" x14ac:dyDescent="0.25">
      <c r="A2395">
        <v>2022</v>
      </c>
      <c r="B2395" t="s">
        <v>2096</v>
      </c>
      <c r="C2395" t="s">
        <v>2097</v>
      </c>
      <c r="D2395" t="s">
        <v>2098</v>
      </c>
      <c r="E2395" t="s">
        <v>14</v>
      </c>
      <c r="F2395" t="str">
        <f>"48187"</f>
        <v>48187</v>
      </c>
      <c r="G2395" t="str">
        <f>"545075"</f>
        <v>545075</v>
      </c>
      <c r="H2395" s="2">
        <f>5</f>
        <v>5</v>
      </c>
      <c r="I2395" t="s">
        <v>27</v>
      </c>
      <c r="J2395" t="s">
        <v>31</v>
      </c>
      <c r="K2395" t="str">
        <f>"44008349"</f>
        <v>44008349</v>
      </c>
    </row>
    <row r="2396" spans="1:11" x14ac:dyDescent="0.25">
      <c r="A2396">
        <v>2022</v>
      </c>
      <c r="B2396" t="s">
        <v>2109</v>
      </c>
      <c r="C2396" t="s">
        <v>2110</v>
      </c>
      <c r="D2396" t="s">
        <v>2111</v>
      </c>
      <c r="E2396" t="s">
        <v>1341</v>
      </c>
      <c r="F2396" t="str">
        <f>"77036"</f>
        <v>77036</v>
      </c>
      <c r="G2396" t="str">
        <f>"545044"</f>
        <v>545044</v>
      </c>
      <c r="H2396" s="2">
        <f>50</f>
        <v>50</v>
      </c>
      <c r="I2396" t="s">
        <v>27</v>
      </c>
      <c r="J2396" t="s">
        <v>28</v>
      </c>
      <c r="K2396" t="str">
        <f>"519067"</f>
        <v>519067</v>
      </c>
    </row>
    <row r="2397" spans="1:11" x14ac:dyDescent="0.25">
      <c r="A2397">
        <v>2022</v>
      </c>
      <c r="B2397" t="s">
        <v>2109</v>
      </c>
      <c r="C2397" t="s">
        <v>2110</v>
      </c>
      <c r="D2397" t="s">
        <v>2111</v>
      </c>
      <c r="E2397" t="s">
        <v>1341</v>
      </c>
      <c r="F2397" t="str">
        <f>"77036"</f>
        <v>77036</v>
      </c>
      <c r="G2397" t="str">
        <f>"545044"</f>
        <v>545044</v>
      </c>
      <c r="H2397" s="2">
        <f>50</f>
        <v>50</v>
      </c>
      <c r="I2397" t="s">
        <v>27</v>
      </c>
      <c r="J2397" t="s">
        <v>28</v>
      </c>
      <c r="K2397" t="str">
        <f>"518523"</f>
        <v>518523</v>
      </c>
    </row>
    <row r="2398" spans="1:11" x14ac:dyDescent="0.25">
      <c r="A2398">
        <v>2022</v>
      </c>
      <c r="B2398" t="s">
        <v>2112</v>
      </c>
      <c r="C2398" t="s">
        <v>808</v>
      </c>
      <c r="D2398" t="s">
        <v>19</v>
      </c>
      <c r="E2398" t="s">
        <v>20</v>
      </c>
      <c r="F2398" t="str">
        <f>"43615"</f>
        <v>43615</v>
      </c>
      <c r="G2398" t="str">
        <f>"Je11032022"</f>
        <v>Je11032022</v>
      </c>
      <c r="H2398" s="2">
        <f>25</f>
        <v>25</v>
      </c>
      <c r="I2398" t="s">
        <v>15</v>
      </c>
      <c r="J2398" t="s">
        <v>234</v>
      </c>
      <c r="K2398" t="str">
        <f>"60053727"</f>
        <v>60053727</v>
      </c>
    </row>
    <row r="2399" spans="1:11" x14ac:dyDescent="0.25">
      <c r="A2399">
        <v>2022</v>
      </c>
      <c r="B2399" t="s">
        <v>2131</v>
      </c>
      <c r="C2399" t="s">
        <v>2132</v>
      </c>
      <c r="D2399" t="s">
        <v>19</v>
      </c>
      <c r="E2399" t="s">
        <v>20</v>
      </c>
      <c r="F2399" t="str">
        <f>"43607-1303"</f>
        <v>43607-1303</v>
      </c>
      <c r="G2399" t="str">
        <f>"545101"</f>
        <v>545101</v>
      </c>
      <c r="H2399" s="2">
        <f>10</f>
        <v>10</v>
      </c>
      <c r="I2399" t="s">
        <v>27</v>
      </c>
      <c r="J2399" t="s">
        <v>51</v>
      </c>
      <c r="K2399" t="str">
        <f>"117999"</f>
        <v>117999</v>
      </c>
    </row>
    <row r="2400" spans="1:11" x14ac:dyDescent="0.25">
      <c r="A2400">
        <v>2022</v>
      </c>
      <c r="B2400" t="s">
        <v>2137</v>
      </c>
      <c r="C2400" t="s">
        <v>2138</v>
      </c>
      <c r="D2400" t="s">
        <v>19</v>
      </c>
      <c r="E2400" t="s">
        <v>20</v>
      </c>
      <c r="F2400" t="str">
        <f>"43615"</f>
        <v>43615</v>
      </c>
      <c r="G2400" t="str">
        <f>"Je031622"</f>
        <v>Je031622</v>
      </c>
      <c r="H2400" s="2">
        <f>45.25</f>
        <v>45.25</v>
      </c>
      <c r="I2400" t="s">
        <v>15</v>
      </c>
      <c r="J2400" t="s">
        <v>117</v>
      </c>
      <c r="K2400" t="str">
        <f>"60036780"</f>
        <v>60036780</v>
      </c>
    </row>
    <row r="2401" spans="1:11" x14ac:dyDescent="0.25">
      <c r="A2401">
        <v>2022</v>
      </c>
      <c r="B2401" t="s">
        <v>2137</v>
      </c>
      <c r="C2401" t="s">
        <v>2138</v>
      </c>
      <c r="D2401" t="s">
        <v>19</v>
      </c>
      <c r="E2401" t="s">
        <v>20</v>
      </c>
      <c r="F2401" t="str">
        <f>"43615"</f>
        <v>43615</v>
      </c>
      <c r="G2401" t="str">
        <f>"Je010722"</f>
        <v>Je010722</v>
      </c>
      <c r="H2401" s="2">
        <f>45.25</f>
        <v>45.25</v>
      </c>
      <c r="I2401" t="s">
        <v>15</v>
      </c>
      <c r="J2401" t="s">
        <v>90</v>
      </c>
      <c r="K2401" t="str">
        <f>"60034327"</f>
        <v>60034327</v>
      </c>
    </row>
    <row r="2402" spans="1:11" x14ac:dyDescent="0.25">
      <c r="A2402">
        <v>2022</v>
      </c>
      <c r="B2402" t="s">
        <v>2137</v>
      </c>
      <c r="C2402" t="s">
        <v>2138</v>
      </c>
      <c r="D2402" t="s">
        <v>19</v>
      </c>
      <c r="E2402" t="s">
        <v>20</v>
      </c>
      <c r="F2402" t="str">
        <f>"43615"</f>
        <v>43615</v>
      </c>
      <c r="G2402" t="str">
        <f>"Je031622"</f>
        <v>Je031622</v>
      </c>
      <c r="H2402" s="2">
        <f>45.25</f>
        <v>45.25</v>
      </c>
      <c r="I2402" t="s">
        <v>15</v>
      </c>
      <c r="J2402" t="s">
        <v>117</v>
      </c>
      <c r="K2402" t="str">
        <f>"60039356"</f>
        <v>60039356</v>
      </c>
    </row>
    <row r="2403" spans="1:11" x14ac:dyDescent="0.25">
      <c r="A2403">
        <v>2022</v>
      </c>
      <c r="B2403" t="s">
        <v>2137</v>
      </c>
      <c r="C2403" t="s">
        <v>2138</v>
      </c>
      <c r="D2403" t="s">
        <v>19</v>
      </c>
      <c r="E2403" t="s">
        <v>20</v>
      </c>
      <c r="F2403" t="str">
        <f>"43615"</f>
        <v>43615</v>
      </c>
      <c r="G2403" t="str">
        <f>"Je031622"</f>
        <v>Je031622</v>
      </c>
      <c r="H2403" s="2">
        <f>45.25</f>
        <v>45.25</v>
      </c>
      <c r="I2403" t="s">
        <v>15</v>
      </c>
      <c r="J2403" t="s">
        <v>117</v>
      </c>
      <c r="K2403" t="str">
        <f>"60041710"</f>
        <v>60041710</v>
      </c>
    </row>
    <row r="2404" spans="1:11" x14ac:dyDescent="0.25">
      <c r="A2404">
        <v>2022</v>
      </c>
      <c r="B2404" t="s">
        <v>2147</v>
      </c>
      <c r="C2404" t="s">
        <v>2148</v>
      </c>
      <c r="D2404" t="s">
        <v>2149</v>
      </c>
      <c r="E2404" t="s">
        <v>20</v>
      </c>
      <c r="F2404" t="str">
        <f>"43545"</f>
        <v>43545</v>
      </c>
      <c r="G2404" t="str">
        <f>"545043"</f>
        <v>545043</v>
      </c>
      <c r="H2404" s="2">
        <f>24.53</f>
        <v>24.53</v>
      </c>
      <c r="I2404" t="s">
        <v>27</v>
      </c>
      <c r="J2404" t="s">
        <v>77</v>
      </c>
      <c r="K2404" t="str">
        <f>"332924"</f>
        <v>332924</v>
      </c>
    </row>
    <row r="2405" spans="1:11" x14ac:dyDescent="0.25">
      <c r="A2405">
        <v>2022</v>
      </c>
      <c r="B2405" t="s">
        <v>2153</v>
      </c>
      <c r="C2405" t="s">
        <v>2154</v>
      </c>
      <c r="D2405" t="s">
        <v>19</v>
      </c>
      <c r="E2405" t="s">
        <v>20</v>
      </c>
      <c r="F2405" t="str">
        <f>"43613-3308"</f>
        <v>43613-3308</v>
      </c>
      <c r="G2405" t="str">
        <f>"545101"</f>
        <v>545101</v>
      </c>
      <c r="H2405" s="2">
        <f>10</f>
        <v>10</v>
      </c>
      <c r="I2405" t="s">
        <v>27</v>
      </c>
      <c r="J2405" t="s">
        <v>51</v>
      </c>
      <c r="K2405" t="str">
        <f>"118136"</f>
        <v>118136</v>
      </c>
    </row>
    <row r="2406" spans="1:11" x14ac:dyDescent="0.25">
      <c r="A2406">
        <v>2022</v>
      </c>
      <c r="B2406" t="s">
        <v>2155</v>
      </c>
      <c r="C2406" t="s">
        <v>2156</v>
      </c>
      <c r="D2406" t="s">
        <v>19</v>
      </c>
      <c r="E2406" t="s">
        <v>20</v>
      </c>
      <c r="F2406" t="str">
        <f>"43608-2454"</f>
        <v>43608-2454</v>
      </c>
      <c r="G2406" t="str">
        <f>"545101"</f>
        <v>545101</v>
      </c>
      <c r="H2406" s="2">
        <f>10</f>
        <v>10</v>
      </c>
      <c r="I2406" t="s">
        <v>27</v>
      </c>
      <c r="J2406" t="s">
        <v>51</v>
      </c>
      <c r="K2406" t="str">
        <f>"116778"</f>
        <v>116778</v>
      </c>
    </row>
    <row r="2407" spans="1:11" x14ac:dyDescent="0.25">
      <c r="A2407">
        <v>2022</v>
      </c>
      <c r="B2407" t="s">
        <v>2159</v>
      </c>
      <c r="C2407" t="s">
        <v>2160</v>
      </c>
      <c r="D2407" t="s">
        <v>105</v>
      </c>
      <c r="E2407" t="s">
        <v>20</v>
      </c>
      <c r="F2407" t="str">
        <f>"43528"</f>
        <v>43528</v>
      </c>
      <c r="G2407" t="str">
        <f>"Je010722"</f>
        <v>Je010722</v>
      </c>
      <c r="H2407" s="2">
        <f>10</f>
        <v>10</v>
      </c>
      <c r="I2407" t="s">
        <v>15</v>
      </c>
      <c r="J2407" t="s">
        <v>90</v>
      </c>
      <c r="K2407" t="str">
        <f>"60035255"</f>
        <v>60035255</v>
      </c>
    </row>
    <row r="2408" spans="1:11" x14ac:dyDescent="0.25">
      <c r="A2408">
        <v>2022</v>
      </c>
      <c r="B2408" t="s">
        <v>2187</v>
      </c>
      <c r="C2408" t="s">
        <v>2188</v>
      </c>
      <c r="D2408" t="s">
        <v>19</v>
      </c>
      <c r="E2408" t="s">
        <v>20</v>
      </c>
      <c r="F2408" t="str">
        <f>"43614-2035"</f>
        <v>43614-2035</v>
      </c>
      <c r="G2408" t="str">
        <f>"545101"</f>
        <v>545101</v>
      </c>
      <c r="H2408" s="2">
        <f>50</f>
        <v>50</v>
      </c>
      <c r="I2408" t="s">
        <v>27</v>
      </c>
      <c r="J2408" t="s">
        <v>51</v>
      </c>
      <c r="K2408" t="str">
        <f>"117091"</f>
        <v>117091</v>
      </c>
    </row>
    <row r="2409" spans="1:11" x14ac:dyDescent="0.25">
      <c r="A2409">
        <v>2022</v>
      </c>
      <c r="B2409" t="s">
        <v>2195</v>
      </c>
      <c r="C2409" t="s">
        <v>2196</v>
      </c>
      <c r="D2409" t="s">
        <v>19</v>
      </c>
      <c r="E2409" t="s">
        <v>20</v>
      </c>
      <c r="F2409" t="str">
        <f>"43613"</f>
        <v>43613</v>
      </c>
      <c r="G2409" t="str">
        <f>"545043"</f>
        <v>545043</v>
      </c>
      <c r="H2409" s="2">
        <f>10.64</f>
        <v>10.64</v>
      </c>
      <c r="I2409" t="s">
        <v>27</v>
      </c>
      <c r="J2409" t="s">
        <v>77</v>
      </c>
      <c r="K2409" t="str">
        <f>"332579"</f>
        <v>332579</v>
      </c>
    </row>
    <row r="2410" spans="1:11" x14ac:dyDescent="0.25">
      <c r="A2410">
        <v>2022</v>
      </c>
      <c r="B2410" t="s">
        <v>2201</v>
      </c>
      <c r="C2410" t="s">
        <v>2202</v>
      </c>
      <c r="D2410" t="s">
        <v>19</v>
      </c>
      <c r="E2410" t="s">
        <v>20</v>
      </c>
      <c r="F2410" t="str">
        <f>"43606"</f>
        <v>43606</v>
      </c>
      <c r="G2410" t="str">
        <f>"Je010722"</f>
        <v>Je010722</v>
      </c>
      <c r="H2410" s="2">
        <f>125.9</f>
        <v>125.9</v>
      </c>
      <c r="I2410" t="s">
        <v>15</v>
      </c>
      <c r="J2410" t="s">
        <v>90</v>
      </c>
      <c r="K2410" t="str">
        <f>"60027597"</f>
        <v>60027597</v>
      </c>
    </row>
    <row r="2411" spans="1:11" x14ac:dyDescent="0.25">
      <c r="A2411">
        <v>2022</v>
      </c>
      <c r="B2411" t="s">
        <v>2201</v>
      </c>
      <c r="C2411" t="s">
        <v>2202</v>
      </c>
      <c r="E2411" t="s">
        <v>20</v>
      </c>
      <c r="F2411" t="str">
        <f>"43606"</f>
        <v>43606</v>
      </c>
      <c r="G2411" t="str">
        <f>"Je010722"</f>
        <v>Je010722</v>
      </c>
      <c r="H2411" s="2">
        <f>1178.48</f>
        <v>1178.48</v>
      </c>
      <c r="I2411" t="s">
        <v>15</v>
      </c>
      <c r="J2411" t="s">
        <v>90</v>
      </c>
      <c r="K2411" t="str">
        <f>"60027598"</f>
        <v>60027598</v>
      </c>
    </row>
    <row r="2412" spans="1:11" x14ac:dyDescent="0.25">
      <c r="A2412">
        <v>2022</v>
      </c>
      <c r="B2412" t="s">
        <v>2210</v>
      </c>
      <c r="C2412" t="s">
        <v>2211</v>
      </c>
      <c r="D2412" t="s">
        <v>19</v>
      </c>
      <c r="E2412" t="s">
        <v>20</v>
      </c>
      <c r="F2412" t="str">
        <f>"43604"</f>
        <v>43604</v>
      </c>
      <c r="G2412" t="str">
        <f>"Je010722"</f>
        <v>Je010722</v>
      </c>
      <c r="H2412" s="2">
        <f>210</f>
        <v>210</v>
      </c>
      <c r="I2412" t="s">
        <v>15</v>
      </c>
      <c r="J2412" t="s">
        <v>90</v>
      </c>
      <c r="K2412" t="str">
        <f>"60032521"</f>
        <v>60032521</v>
      </c>
    </row>
    <row r="2413" spans="1:11" x14ac:dyDescent="0.25">
      <c r="A2413">
        <v>2022</v>
      </c>
      <c r="B2413" t="s">
        <v>2218</v>
      </c>
      <c r="C2413" t="s">
        <v>2219</v>
      </c>
      <c r="D2413" t="s">
        <v>58</v>
      </c>
      <c r="E2413" t="s">
        <v>20</v>
      </c>
      <c r="F2413" t="str">
        <f>""</f>
        <v/>
      </c>
      <c r="G2413" t="str">
        <f>"Je11032022"</f>
        <v>Je11032022</v>
      </c>
      <c r="H2413" s="2">
        <f>25</f>
        <v>25</v>
      </c>
      <c r="I2413" t="s">
        <v>15</v>
      </c>
      <c r="J2413" t="s">
        <v>234</v>
      </c>
      <c r="K2413" t="str">
        <f>"60053730"</f>
        <v>60053730</v>
      </c>
    </row>
    <row r="2414" spans="1:11" x14ac:dyDescent="0.25">
      <c r="A2414">
        <v>2022</v>
      </c>
      <c r="B2414" t="s">
        <v>2226</v>
      </c>
      <c r="C2414" t="s">
        <v>2227</v>
      </c>
      <c r="D2414" t="s">
        <v>19</v>
      </c>
      <c r="E2414" t="s">
        <v>20</v>
      </c>
      <c r="F2414" t="str">
        <f>"43612"</f>
        <v>43612</v>
      </c>
      <c r="G2414" t="str">
        <f>"Je010722"</f>
        <v>Je010722</v>
      </c>
      <c r="H2414" s="2">
        <f>10</f>
        <v>10</v>
      </c>
      <c r="I2414" t="s">
        <v>15</v>
      </c>
      <c r="J2414" t="s">
        <v>90</v>
      </c>
      <c r="K2414" t="str">
        <f>"60035257"</f>
        <v>60035257</v>
      </c>
    </row>
    <row r="2415" spans="1:11" x14ac:dyDescent="0.25">
      <c r="A2415">
        <v>2022</v>
      </c>
      <c r="B2415" t="s">
        <v>2236</v>
      </c>
      <c r="C2415" t="s">
        <v>2237</v>
      </c>
      <c r="D2415" t="s">
        <v>19</v>
      </c>
      <c r="E2415" t="s">
        <v>20</v>
      </c>
      <c r="F2415" t="str">
        <f>"43615"</f>
        <v>43615</v>
      </c>
      <c r="G2415" t="str">
        <f>"545044"</f>
        <v>545044</v>
      </c>
      <c r="H2415" s="2">
        <f>25</f>
        <v>25</v>
      </c>
      <c r="I2415" t="s">
        <v>27</v>
      </c>
      <c r="J2415" t="s">
        <v>28</v>
      </c>
      <c r="K2415" t="str">
        <f>"520530"</f>
        <v>520530</v>
      </c>
    </row>
    <row r="2416" spans="1:11" x14ac:dyDescent="0.25">
      <c r="A2416">
        <v>2022</v>
      </c>
      <c r="B2416" t="s">
        <v>2236</v>
      </c>
      <c r="C2416" t="s">
        <v>2237</v>
      </c>
      <c r="D2416" t="s">
        <v>19</v>
      </c>
      <c r="E2416" t="s">
        <v>20</v>
      </c>
      <c r="F2416" t="str">
        <f>"43615"</f>
        <v>43615</v>
      </c>
      <c r="G2416" t="str">
        <f>"545044"</f>
        <v>545044</v>
      </c>
      <c r="H2416" s="2">
        <f>30</f>
        <v>30</v>
      </c>
      <c r="I2416" t="s">
        <v>27</v>
      </c>
      <c r="J2416" t="s">
        <v>28</v>
      </c>
      <c r="K2416" t="str">
        <f>"520136"</f>
        <v>520136</v>
      </c>
    </row>
    <row r="2417" spans="1:11" x14ac:dyDescent="0.25">
      <c r="A2417">
        <v>2022</v>
      </c>
      <c r="B2417" t="s">
        <v>2236</v>
      </c>
      <c r="C2417" t="s">
        <v>2237</v>
      </c>
      <c r="D2417" t="s">
        <v>19</v>
      </c>
      <c r="E2417" t="s">
        <v>20</v>
      </c>
      <c r="F2417" t="str">
        <f>"43615"</f>
        <v>43615</v>
      </c>
      <c r="G2417" t="str">
        <f>"545044"</f>
        <v>545044</v>
      </c>
      <c r="H2417" s="2">
        <f>12</f>
        <v>12</v>
      </c>
      <c r="I2417" t="s">
        <v>27</v>
      </c>
      <c r="J2417" t="s">
        <v>28</v>
      </c>
      <c r="K2417" t="str">
        <f>"519772"</f>
        <v>519772</v>
      </c>
    </row>
    <row r="2418" spans="1:11" x14ac:dyDescent="0.25">
      <c r="A2418">
        <v>2022</v>
      </c>
      <c r="B2418" t="s">
        <v>2236</v>
      </c>
      <c r="C2418" t="s">
        <v>2237</v>
      </c>
      <c r="D2418" t="s">
        <v>19</v>
      </c>
      <c r="E2418" t="s">
        <v>20</v>
      </c>
      <c r="F2418" t="str">
        <f>"43615"</f>
        <v>43615</v>
      </c>
      <c r="G2418" t="str">
        <f>"545044"</f>
        <v>545044</v>
      </c>
      <c r="H2418" s="2">
        <f>30</f>
        <v>30</v>
      </c>
      <c r="I2418" t="s">
        <v>27</v>
      </c>
      <c r="J2418" t="s">
        <v>28</v>
      </c>
      <c r="K2418" t="str">
        <f>"518496"</f>
        <v>518496</v>
      </c>
    </row>
    <row r="2419" spans="1:11" x14ac:dyDescent="0.25">
      <c r="A2419">
        <v>2022</v>
      </c>
      <c r="B2419" t="s">
        <v>2268</v>
      </c>
      <c r="C2419" t="s">
        <v>2269</v>
      </c>
      <c r="D2419" t="s">
        <v>19</v>
      </c>
      <c r="E2419" t="s">
        <v>20</v>
      </c>
      <c r="F2419" t="str">
        <f>"43623"</f>
        <v>43623</v>
      </c>
      <c r="G2419" t="str">
        <f>"545042"</f>
        <v>545042</v>
      </c>
      <c r="H2419" s="2">
        <f>6.4</f>
        <v>6.4</v>
      </c>
      <c r="I2419" t="s">
        <v>27</v>
      </c>
      <c r="J2419" t="s">
        <v>257</v>
      </c>
      <c r="K2419" t="str">
        <f>"37195"</f>
        <v>37195</v>
      </c>
    </row>
    <row r="2420" spans="1:11" x14ac:dyDescent="0.25">
      <c r="A2420">
        <v>2022</v>
      </c>
      <c r="B2420" t="s">
        <v>2280</v>
      </c>
      <c r="C2420" t="s">
        <v>2281</v>
      </c>
      <c r="D2420" t="s">
        <v>50</v>
      </c>
      <c r="E2420" t="s">
        <v>20</v>
      </c>
      <c r="F2420" t="str">
        <f>"43560"</f>
        <v>43560</v>
      </c>
      <c r="G2420" t="str">
        <f>"545075"</f>
        <v>545075</v>
      </c>
      <c r="H2420" s="2">
        <f>4</f>
        <v>4</v>
      </c>
      <c r="I2420" t="s">
        <v>27</v>
      </c>
      <c r="J2420" t="s">
        <v>31</v>
      </c>
      <c r="K2420" t="str">
        <f>"22021258"</f>
        <v>22021258</v>
      </c>
    </row>
    <row r="2421" spans="1:11" x14ac:dyDescent="0.25">
      <c r="A2421">
        <v>2022</v>
      </c>
      <c r="B2421" t="s">
        <v>2286</v>
      </c>
      <c r="C2421" t="s">
        <v>2287</v>
      </c>
      <c r="D2421" t="s">
        <v>19</v>
      </c>
      <c r="E2421" t="s">
        <v>20</v>
      </c>
      <c r="F2421" t="str">
        <f>"43614-1109"</f>
        <v>43614-1109</v>
      </c>
      <c r="G2421" t="str">
        <f>"545101"</f>
        <v>545101</v>
      </c>
      <c r="H2421" s="2">
        <f>20</f>
        <v>20</v>
      </c>
      <c r="I2421" t="s">
        <v>27</v>
      </c>
      <c r="J2421" t="s">
        <v>51</v>
      </c>
      <c r="K2421" t="str">
        <f>"116354"</f>
        <v>116354</v>
      </c>
    </row>
    <row r="2422" spans="1:11" x14ac:dyDescent="0.25">
      <c r="A2422">
        <v>2022</v>
      </c>
      <c r="B2422" t="s">
        <v>2292</v>
      </c>
      <c r="C2422" t="s">
        <v>2293</v>
      </c>
      <c r="D2422" t="s">
        <v>19</v>
      </c>
      <c r="E2422" t="s">
        <v>20</v>
      </c>
      <c r="F2422" t="str">
        <f>"43635"</f>
        <v>43635</v>
      </c>
      <c r="G2422" t="str">
        <f>"545042"</f>
        <v>545042</v>
      </c>
      <c r="H2422" s="2">
        <f>3.55</f>
        <v>3.55</v>
      </c>
      <c r="I2422" t="s">
        <v>27</v>
      </c>
      <c r="J2422" t="s">
        <v>257</v>
      </c>
      <c r="K2422" t="str">
        <f>"38214"</f>
        <v>38214</v>
      </c>
    </row>
    <row r="2423" spans="1:11" x14ac:dyDescent="0.25">
      <c r="A2423">
        <v>2022</v>
      </c>
      <c r="B2423" t="s">
        <v>2319</v>
      </c>
      <c r="C2423" t="s">
        <v>2320</v>
      </c>
      <c r="D2423" t="s">
        <v>58</v>
      </c>
      <c r="E2423" t="s">
        <v>20</v>
      </c>
      <c r="F2423" t="str">
        <f>"43616"</f>
        <v>43616</v>
      </c>
      <c r="G2423" t="str">
        <f>"545075"</f>
        <v>545075</v>
      </c>
      <c r="H2423" s="2">
        <f>5</f>
        <v>5</v>
      </c>
      <c r="I2423" t="s">
        <v>27</v>
      </c>
      <c r="J2423" t="s">
        <v>31</v>
      </c>
      <c r="K2423" t="str">
        <f>"44008547"</f>
        <v>44008547</v>
      </c>
    </row>
    <row r="2424" spans="1:11" x14ac:dyDescent="0.25">
      <c r="A2424">
        <v>2022</v>
      </c>
      <c r="B2424" t="s">
        <v>2375</v>
      </c>
      <c r="C2424" t="s">
        <v>2378</v>
      </c>
      <c r="D2424" t="s">
        <v>19</v>
      </c>
      <c r="E2424" t="s">
        <v>20</v>
      </c>
      <c r="F2424" t="str">
        <f>"43604"</f>
        <v>43604</v>
      </c>
      <c r="G2424" t="str">
        <f>"545043"</f>
        <v>545043</v>
      </c>
      <c r="H2424" s="2">
        <f>5.75</f>
        <v>5.75</v>
      </c>
      <c r="I2424" t="s">
        <v>27</v>
      </c>
      <c r="J2424" t="s">
        <v>77</v>
      </c>
      <c r="K2424" t="str">
        <f>"333721"</f>
        <v>333721</v>
      </c>
    </row>
    <row r="2425" spans="1:11" x14ac:dyDescent="0.25">
      <c r="A2425">
        <v>2022</v>
      </c>
      <c r="B2425" t="s">
        <v>2375</v>
      </c>
      <c r="C2425" t="s">
        <v>2378</v>
      </c>
      <c r="D2425" t="s">
        <v>19</v>
      </c>
      <c r="E2425" t="s">
        <v>20</v>
      </c>
      <c r="F2425" t="str">
        <f>"43604"</f>
        <v>43604</v>
      </c>
      <c r="G2425" t="str">
        <f>"545043"</f>
        <v>545043</v>
      </c>
      <c r="H2425" s="2">
        <f>28.75</f>
        <v>28.75</v>
      </c>
      <c r="I2425" t="s">
        <v>27</v>
      </c>
      <c r="J2425" t="s">
        <v>77</v>
      </c>
      <c r="K2425" t="str">
        <f>"333728"</f>
        <v>333728</v>
      </c>
    </row>
    <row r="2426" spans="1:11" x14ac:dyDescent="0.25">
      <c r="A2426">
        <v>2022</v>
      </c>
      <c r="B2426" t="s">
        <v>2383</v>
      </c>
      <c r="C2426" t="s">
        <v>2384</v>
      </c>
      <c r="D2426" t="s">
        <v>2385</v>
      </c>
      <c r="E2426" t="s">
        <v>2386</v>
      </c>
      <c r="F2426" t="str">
        <f>"21742"</f>
        <v>21742</v>
      </c>
      <c r="G2426" t="str">
        <f t="shared" ref="G2426:G2437" si="73">"545044"</f>
        <v>545044</v>
      </c>
      <c r="H2426" s="2">
        <f>20</f>
        <v>20</v>
      </c>
      <c r="I2426" t="s">
        <v>27</v>
      </c>
      <c r="J2426" t="s">
        <v>28</v>
      </c>
      <c r="K2426" t="str">
        <f>"518386"</f>
        <v>518386</v>
      </c>
    </row>
    <row r="2427" spans="1:11" x14ac:dyDescent="0.25">
      <c r="A2427">
        <v>2022</v>
      </c>
      <c r="B2427" t="s">
        <v>2387</v>
      </c>
      <c r="C2427" t="s">
        <v>2388</v>
      </c>
      <c r="D2427" t="s">
        <v>997</v>
      </c>
      <c r="E2427" t="s">
        <v>418</v>
      </c>
      <c r="F2427" t="str">
        <f t="shared" ref="F2427:F2437" si="74">"60631"</f>
        <v>60631</v>
      </c>
      <c r="G2427" t="str">
        <f t="shared" si="73"/>
        <v>545044</v>
      </c>
      <c r="H2427" s="2">
        <f>5</f>
        <v>5</v>
      </c>
      <c r="I2427" t="s">
        <v>27</v>
      </c>
      <c r="J2427" t="s">
        <v>28</v>
      </c>
      <c r="K2427" t="str">
        <f>"518572"</f>
        <v>518572</v>
      </c>
    </row>
    <row r="2428" spans="1:11" x14ac:dyDescent="0.25">
      <c r="A2428">
        <v>2022</v>
      </c>
      <c r="B2428" t="s">
        <v>2387</v>
      </c>
      <c r="C2428" t="s">
        <v>2388</v>
      </c>
      <c r="D2428" t="s">
        <v>997</v>
      </c>
      <c r="E2428" t="s">
        <v>418</v>
      </c>
      <c r="F2428" t="str">
        <f t="shared" si="74"/>
        <v>60631</v>
      </c>
      <c r="G2428" t="str">
        <f t="shared" si="73"/>
        <v>545044</v>
      </c>
      <c r="H2428" s="2">
        <f>5</f>
        <v>5</v>
      </c>
      <c r="I2428" t="s">
        <v>27</v>
      </c>
      <c r="J2428" t="s">
        <v>28</v>
      </c>
      <c r="K2428" t="str">
        <f>"519044"</f>
        <v>519044</v>
      </c>
    </row>
    <row r="2429" spans="1:11" x14ac:dyDescent="0.25">
      <c r="A2429">
        <v>2022</v>
      </c>
      <c r="B2429" t="s">
        <v>2387</v>
      </c>
      <c r="C2429" t="s">
        <v>2388</v>
      </c>
      <c r="D2429" t="s">
        <v>997</v>
      </c>
      <c r="E2429" t="s">
        <v>418</v>
      </c>
      <c r="F2429" t="str">
        <f t="shared" si="74"/>
        <v>60631</v>
      </c>
      <c r="G2429" t="str">
        <f t="shared" si="73"/>
        <v>545044</v>
      </c>
      <c r="H2429" s="2">
        <f>5</f>
        <v>5</v>
      </c>
      <c r="I2429" t="s">
        <v>27</v>
      </c>
      <c r="J2429" t="s">
        <v>28</v>
      </c>
      <c r="K2429" t="str">
        <f>"518823"</f>
        <v>518823</v>
      </c>
    </row>
    <row r="2430" spans="1:11" x14ac:dyDescent="0.25">
      <c r="A2430">
        <v>2022</v>
      </c>
      <c r="B2430" t="s">
        <v>2387</v>
      </c>
      <c r="C2430" t="s">
        <v>2388</v>
      </c>
      <c r="D2430" t="s">
        <v>997</v>
      </c>
      <c r="E2430" t="s">
        <v>418</v>
      </c>
      <c r="F2430" t="str">
        <f t="shared" si="74"/>
        <v>60631</v>
      </c>
      <c r="G2430" t="str">
        <f t="shared" si="73"/>
        <v>545044</v>
      </c>
      <c r="H2430" s="2">
        <f>5</f>
        <v>5</v>
      </c>
      <c r="I2430" t="s">
        <v>27</v>
      </c>
      <c r="J2430" t="s">
        <v>28</v>
      </c>
      <c r="K2430" t="str">
        <f>"519823"</f>
        <v>519823</v>
      </c>
    </row>
    <row r="2431" spans="1:11" x14ac:dyDescent="0.25">
      <c r="A2431">
        <v>2022</v>
      </c>
      <c r="B2431" t="s">
        <v>2387</v>
      </c>
      <c r="C2431" t="s">
        <v>2388</v>
      </c>
      <c r="D2431" t="s">
        <v>997</v>
      </c>
      <c r="E2431" t="s">
        <v>418</v>
      </c>
      <c r="F2431" t="str">
        <f t="shared" si="74"/>
        <v>60631</v>
      </c>
      <c r="G2431" t="str">
        <f t="shared" si="73"/>
        <v>545044</v>
      </c>
      <c r="H2431" s="2">
        <f>5</f>
        <v>5</v>
      </c>
      <c r="I2431" t="s">
        <v>27</v>
      </c>
      <c r="J2431" t="s">
        <v>28</v>
      </c>
      <c r="K2431" t="str">
        <f>"519647"</f>
        <v>519647</v>
      </c>
    </row>
    <row r="2432" spans="1:11" x14ac:dyDescent="0.25">
      <c r="A2432">
        <v>2022</v>
      </c>
      <c r="B2432" t="s">
        <v>2387</v>
      </c>
      <c r="C2432" t="s">
        <v>2388</v>
      </c>
      <c r="D2432" t="s">
        <v>997</v>
      </c>
      <c r="E2432" t="s">
        <v>418</v>
      </c>
      <c r="F2432" t="str">
        <f t="shared" si="74"/>
        <v>60631</v>
      </c>
      <c r="G2432" t="str">
        <f t="shared" si="73"/>
        <v>545044</v>
      </c>
      <c r="H2432" s="2">
        <f>5</f>
        <v>5</v>
      </c>
      <c r="I2432" t="s">
        <v>27</v>
      </c>
      <c r="J2432" t="s">
        <v>28</v>
      </c>
      <c r="K2432" t="str">
        <f>"519246"</f>
        <v>519246</v>
      </c>
    </row>
    <row r="2433" spans="1:11" x14ac:dyDescent="0.25">
      <c r="A2433">
        <v>2022</v>
      </c>
      <c r="B2433" t="s">
        <v>2387</v>
      </c>
      <c r="C2433" t="s">
        <v>2388</v>
      </c>
      <c r="D2433" t="s">
        <v>997</v>
      </c>
      <c r="E2433" t="s">
        <v>418</v>
      </c>
      <c r="F2433" t="str">
        <f t="shared" si="74"/>
        <v>60631</v>
      </c>
      <c r="G2433" t="str">
        <f t="shared" si="73"/>
        <v>545044</v>
      </c>
      <c r="H2433" s="2">
        <f>5</f>
        <v>5</v>
      </c>
      <c r="I2433" t="s">
        <v>27</v>
      </c>
      <c r="J2433" t="s">
        <v>28</v>
      </c>
      <c r="K2433" t="str">
        <f>"519541"</f>
        <v>519541</v>
      </c>
    </row>
    <row r="2434" spans="1:11" x14ac:dyDescent="0.25">
      <c r="A2434">
        <v>2022</v>
      </c>
      <c r="B2434" t="s">
        <v>2387</v>
      </c>
      <c r="C2434" t="s">
        <v>2388</v>
      </c>
      <c r="D2434" t="s">
        <v>997</v>
      </c>
      <c r="E2434" t="s">
        <v>418</v>
      </c>
      <c r="F2434" t="str">
        <f t="shared" si="74"/>
        <v>60631</v>
      </c>
      <c r="G2434" t="str">
        <f t="shared" si="73"/>
        <v>545044</v>
      </c>
      <c r="H2434" s="2">
        <f>5</f>
        <v>5</v>
      </c>
      <c r="I2434" t="s">
        <v>27</v>
      </c>
      <c r="J2434" t="s">
        <v>28</v>
      </c>
      <c r="K2434" t="str">
        <f>"520014"</f>
        <v>520014</v>
      </c>
    </row>
    <row r="2435" spans="1:11" x14ac:dyDescent="0.25">
      <c r="A2435">
        <v>2022</v>
      </c>
      <c r="B2435" t="s">
        <v>2387</v>
      </c>
      <c r="C2435" t="s">
        <v>2388</v>
      </c>
      <c r="D2435" t="s">
        <v>997</v>
      </c>
      <c r="E2435" t="s">
        <v>418</v>
      </c>
      <c r="F2435" t="str">
        <f t="shared" si="74"/>
        <v>60631</v>
      </c>
      <c r="G2435" t="str">
        <f t="shared" si="73"/>
        <v>545044</v>
      </c>
      <c r="H2435" s="2">
        <f>5</f>
        <v>5</v>
      </c>
      <c r="I2435" t="s">
        <v>27</v>
      </c>
      <c r="J2435" t="s">
        <v>28</v>
      </c>
      <c r="K2435" t="str">
        <f>"520269"</f>
        <v>520269</v>
      </c>
    </row>
    <row r="2436" spans="1:11" x14ac:dyDescent="0.25">
      <c r="A2436">
        <v>2022</v>
      </c>
      <c r="B2436" t="s">
        <v>2387</v>
      </c>
      <c r="C2436" t="s">
        <v>2388</v>
      </c>
      <c r="D2436" t="s">
        <v>997</v>
      </c>
      <c r="E2436" t="s">
        <v>418</v>
      </c>
      <c r="F2436" t="str">
        <f t="shared" si="74"/>
        <v>60631</v>
      </c>
      <c r="G2436" t="str">
        <f t="shared" si="73"/>
        <v>545044</v>
      </c>
      <c r="H2436" s="2">
        <f>5</f>
        <v>5</v>
      </c>
      <c r="I2436" t="s">
        <v>27</v>
      </c>
      <c r="J2436" t="s">
        <v>28</v>
      </c>
      <c r="K2436" t="str">
        <f>"520500"</f>
        <v>520500</v>
      </c>
    </row>
    <row r="2437" spans="1:11" x14ac:dyDescent="0.25">
      <c r="A2437">
        <v>2022</v>
      </c>
      <c r="B2437" t="s">
        <v>2387</v>
      </c>
      <c r="C2437" t="s">
        <v>2388</v>
      </c>
      <c r="D2437" t="s">
        <v>997</v>
      </c>
      <c r="E2437" t="s">
        <v>418</v>
      </c>
      <c r="F2437" t="str">
        <f t="shared" si="74"/>
        <v>60631</v>
      </c>
      <c r="G2437" t="str">
        <f t="shared" si="73"/>
        <v>545044</v>
      </c>
      <c r="H2437" s="2">
        <f>5</f>
        <v>5</v>
      </c>
      <c r="I2437" t="s">
        <v>27</v>
      </c>
      <c r="J2437" t="s">
        <v>28</v>
      </c>
      <c r="K2437" t="str">
        <f>"518341"</f>
        <v>518341</v>
      </c>
    </row>
    <row r="2438" spans="1:11" x14ac:dyDescent="0.25">
      <c r="A2438">
        <v>2022</v>
      </c>
      <c r="B2438" t="s">
        <v>2420</v>
      </c>
      <c r="C2438" t="s">
        <v>2421</v>
      </c>
      <c r="D2438" t="s">
        <v>19</v>
      </c>
      <c r="E2438" t="s">
        <v>20</v>
      </c>
      <c r="F2438" t="str">
        <f>"43604"</f>
        <v>43604</v>
      </c>
      <c r="G2438" t="str">
        <f>"Je11032022"</f>
        <v>Je11032022</v>
      </c>
      <c r="H2438" s="2">
        <f>112.5</f>
        <v>112.5</v>
      </c>
      <c r="I2438" t="s">
        <v>15</v>
      </c>
      <c r="J2438" t="s">
        <v>234</v>
      </c>
      <c r="K2438" t="str">
        <f>"60056602"</f>
        <v>60056602</v>
      </c>
    </row>
    <row r="2439" spans="1:11" x14ac:dyDescent="0.25">
      <c r="A2439">
        <v>2022</v>
      </c>
      <c r="B2439" t="s">
        <v>2420</v>
      </c>
      <c r="C2439" t="s">
        <v>2421</v>
      </c>
      <c r="D2439" t="s">
        <v>19</v>
      </c>
      <c r="E2439" t="s">
        <v>20</v>
      </c>
      <c r="F2439" t="str">
        <f>"43604"</f>
        <v>43604</v>
      </c>
      <c r="G2439" t="str">
        <f>"Je11032022"</f>
        <v>Je11032022</v>
      </c>
      <c r="H2439" s="2">
        <f>168</f>
        <v>168</v>
      </c>
      <c r="I2439" t="s">
        <v>15</v>
      </c>
      <c r="J2439" t="s">
        <v>234</v>
      </c>
      <c r="K2439" t="str">
        <f>"60058738"</f>
        <v>60058738</v>
      </c>
    </row>
    <row r="2440" spans="1:11" x14ac:dyDescent="0.25">
      <c r="A2440">
        <v>2022</v>
      </c>
      <c r="B2440" t="s">
        <v>2435</v>
      </c>
      <c r="C2440" t="s">
        <v>2436</v>
      </c>
      <c r="D2440" t="s">
        <v>19</v>
      </c>
      <c r="E2440" t="s">
        <v>20</v>
      </c>
      <c r="F2440" t="str">
        <f>"43614"</f>
        <v>43614</v>
      </c>
      <c r="G2440" t="str">
        <f>"Je010722"</f>
        <v>Je010722</v>
      </c>
      <c r="H2440" s="2">
        <f>217.15</f>
        <v>217.15</v>
      </c>
      <c r="I2440" t="s">
        <v>15</v>
      </c>
      <c r="J2440" t="s">
        <v>90</v>
      </c>
      <c r="K2440" t="str">
        <f>"60035068"</f>
        <v>60035068</v>
      </c>
    </row>
    <row r="2441" spans="1:11" x14ac:dyDescent="0.25">
      <c r="A2441">
        <v>2022</v>
      </c>
      <c r="B2441" t="s">
        <v>2439</v>
      </c>
      <c r="C2441" t="s">
        <v>2440</v>
      </c>
      <c r="D2441" t="s">
        <v>19</v>
      </c>
      <c r="E2441" t="s">
        <v>20</v>
      </c>
      <c r="F2441" t="str">
        <f>"43604"</f>
        <v>43604</v>
      </c>
      <c r="G2441" t="str">
        <f>"545044"</f>
        <v>545044</v>
      </c>
      <c r="H2441" s="2">
        <f>102</f>
        <v>102</v>
      </c>
      <c r="I2441" t="s">
        <v>27</v>
      </c>
      <c r="J2441" t="s">
        <v>28</v>
      </c>
      <c r="K2441" t="str">
        <f>"520116"</f>
        <v>520116</v>
      </c>
    </row>
    <row r="2442" spans="1:11" x14ac:dyDescent="0.25">
      <c r="A2442">
        <v>2022</v>
      </c>
      <c r="B2442" t="s">
        <v>2510</v>
      </c>
      <c r="C2442" t="s">
        <v>2511</v>
      </c>
      <c r="D2442" t="s">
        <v>19</v>
      </c>
      <c r="E2442" t="s">
        <v>20</v>
      </c>
      <c r="F2442" t="str">
        <f>"43615"</f>
        <v>43615</v>
      </c>
      <c r="G2442" t="str">
        <f>"Je010722"</f>
        <v>Je010722</v>
      </c>
      <c r="H2442" s="2">
        <f>10</f>
        <v>10</v>
      </c>
      <c r="I2442" t="s">
        <v>15</v>
      </c>
      <c r="J2442" t="s">
        <v>90</v>
      </c>
      <c r="K2442" t="str">
        <f>"60032545"</f>
        <v>60032545</v>
      </c>
    </row>
    <row r="2443" spans="1:11" x14ac:dyDescent="0.25">
      <c r="A2443">
        <v>2022</v>
      </c>
      <c r="B2443" t="s">
        <v>2512</v>
      </c>
      <c r="C2443" t="s">
        <v>2513</v>
      </c>
      <c r="D2443" t="s">
        <v>64</v>
      </c>
      <c r="E2443" t="s">
        <v>20</v>
      </c>
      <c r="F2443" t="str">
        <f>"43566"</f>
        <v>43566</v>
      </c>
      <c r="G2443" t="str">
        <f>"Je010722"</f>
        <v>Je010722</v>
      </c>
      <c r="H2443" s="2">
        <f>210</f>
        <v>210</v>
      </c>
      <c r="I2443" t="s">
        <v>15</v>
      </c>
      <c r="J2443" t="s">
        <v>90</v>
      </c>
      <c r="K2443" t="str">
        <f>"60032546"</f>
        <v>60032546</v>
      </c>
    </row>
    <row r="2444" spans="1:11" x14ac:dyDescent="0.25">
      <c r="A2444">
        <v>2022</v>
      </c>
      <c r="B2444" t="s">
        <v>2526</v>
      </c>
      <c r="C2444" t="s">
        <v>2525</v>
      </c>
      <c r="D2444" t="s">
        <v>58</v>
      </c>
      <c r="E2444" t="s">
        <v>20</v>
      </c>
      <c r="F2444" t="str">
        <f>"43616-3403"</f>
        <v>43616-3403</v>
      </c>
      <c r="G2444" t="str">
        <f>"545101"</f>
        <v>545101</v>
      </c>
      <c r="H2444" s="2">
        <f>20</f>
        <v>20</v>
      </c>
      <c r="I2444" t="s">
        <v>27</v>
      </c>
      <c r="J2444" t="s">
        <v>51</v>
      </c>
      <c r="K2444" t="str">
        <f>"118056"</f>
        <v>118056</v>
      </c>
    </row>
    <row r="2445" spans="1:11" x14ac:dyDescent="0.25">
      <c r="A2445">
        <v>2022</v>
      </c>
      <c r="B2445" t="s">
        <v>2529</v>
      </c>
      <c r="C2445" t="s">
        <v>2530</v>
      </c>
      <c r="D2445" t="s">
        <v>19</v>
      </c>
      <c r="E2445" t="s">
        <v>20</v>
      </c>
      <c r="F2445" t="str">
        <f>"43614"</f>
        <v>43614</v>
      </c>
      <c r="G2445" t="str">
        <f>"545043"</f>
        <v>545043</v>
      </c>
      <c r="H2445" s="2">
        <f>2</f>
        <v>2</v>
      </c>
      <c r="I2445" t="s">
        <v>27</v>
      </c>
      <c r="J2445" t="s">
        <v>77</v>
      </c>
      <c r="K2445" t="str">
        <f>"332920"</f>
        <v>332920</v>
      </c>
    </row>
    <row r="2446" spans="1:11" x14ac:dyDescent="0.25">
      <c r="A2446">
        <v>2022</v>
      </c>
      <c r="B2446" t="s">
        <v>2531</v>
      </c>
      <c r="C2446" t="s">
        <v>2532</v>
      </c>
      <c r="D2446" t="s">
        <v>19</v>
      </c>
      <c r="E2446" t="s">
        <v>20</v>
      </c>
      <c r="F2446" t="str">
        <f>"43617"</f>
        <v>43617</v>
      </c>
      <c r="G2446" t="str">
        <f>"545042"</f>
        <v>545042</v>
      </c>
      <c r="H2446" s="2">
        <f>3.92</f>
        <v>3.92</v>
      </c>
      <c r="I2446" t="s">
        <v>27</v>
      </c>
      <c r="J2446" t="s">
        <v>257</v>
      </c>
      <c r="K2446" t="str">
        <f>"36114"</f>
        <v>36114</v>
      </c>
    </row>
    <row r="2447" spans="1:11" x14ac:dyDescent="0.25">
      <c r="A2447">
        <v>2022</v>
      </c>
      <c r="B2447" t="s">
        <v>2534</v>
      </c>
      <c r="C2447" t="s">
        <v>2535</v>
      </c>
      <c r="D2447" t="s">
        <v>19</v>
      </c>
      <c r="E2447" t="s">
        <v>20</v>
      </c>
      <c r="F2447" t="str">
        <f>"43617"</f>
        <v>43617</v>
      </c>
      <c r="G2447" t="str">
        <f>"545042"</f>
        <v>545042</v>
      </c>
      <c r="H2447" s="2">
        <f>6.15</f>
        <v>6.15</v>
      </c>
      <c r="I2447" t="s">
        <v>27</v>
      </c>
      <c r="J2447" t="s">
        <v>257</v>
      </c>
      <c r="K2447" t="str">
        <f>"38385"</f>
        <v>38385</v>
      </c>
    </row>
    <row r="2448" spans="1:11" x14ac:dyDescent="0.25">
      <c r="A2448">
        <v>2022</v>
      </c>
      <c r="B2448" t="s">
        <v>2545</v>
      </c>
      <c r="C2448" t="s">
        <v>2546</v>
      </c>
      <c r="D2448" t="s">
        <v>2547</v>
      </c>
      <c r="E2448" t="s">
        <v>20</v>
      </c>
      <c r="F2448" t="str">
        <f>"43569"</f>
        <v>43569</v>
      </c>
      <c r="G2448" t="str">
        <f>"545044"</f>
        <v>545044</v>
      </c>
      <c r="H2448" s="2">
        <f>140</f>
        <v>140</v>
      </c>
      <c r="I2448" t="s">
        <v>27</v>
      </c>
      <c r="J2448" t="s">
        <v>28</v>
      </c>
      <c r="K2448" t="str">
        <f>"519015"</f>
        <v>519015</v>
      </c>
    </row>
    <row r="2449" spans="1:11" x14ac:dyDescent="0.25">
      <c r="A2449">
        <v>2022</v>
      </c>
      <c r="B2449" t="s">
        <v>2548</v>
      </c>
      <c r="C2449" t="s">
        <v>2549</v>
      </c>
      <c r="D2449" t="s">
        <v>19</v>
      </c>
      <c r="E2449" t="s">
        <v>20</v>
      </c>
      <c r="F2449" t="str">
        <f>"43605"</f>
        <v>43605</v>
      </c>
      <c r="G2449" t="str">
        <f>"545044"</f>
        <v>545044</v>
      </c>
      <c r="H2449" s="2">
        <f>25</f>
        <v>25</v>
      </c>
      <c r="I2449" t="s">
        <v>27</v>
      </c>
      <c r="J2449" t="s">
        <v>28</v>
      </c>
      <c r="K2449" t="str">
        <f>"519720"</f>
        <v>519720</v>
      </c>
    </row>
    <row r="2450" spans="1:11" x14ac:dyDescent="0.25">
      <c r="A2450">
        <v>2022</v>
      </c>
      <c r="B2450" t="s">
        <v>2560</v>
      </c>
      <c r="C2450" t="s">
        <v>2561</v>
      </c>
      <c r="D2450" t="s">
        <v>19</v>
      </c>
      <c r="E2450" t="s">
        <v>20</v>
      </c>
      <c r="F2450" t="str">
        <f>"43608"</f>
        <v>43608</v>
      </c>
      <c r="G2450" t="str">
        <f>"545044"</f>
        <v>545044</v>
      </c>
      <c r="H2450" s="2">
        <f>680</f>
        <v>680</v>
      </c>
      <c r="I2450" t="s">
        <v>27</v>
      </c>
      <c r="J2450" t="s">
        <v>28</v>
      </c>
      <c r="K2450" t="str">
        <f>"518732"</f>
        <v>518732</v>
      </c>
    </row>
    <row r="2451" spans="1:11" x14ac:dyDescent="0.25">
      <c r="A2451">
        <v>2022</v>
      </c>
      <c r="B2451" t="s">
        <v>2570</v>
      </c>
      <c r="C2451" t="s">
        <v>2571</v>
      </c>
      <c r="D2451" t="s">
        <v>19</v>
      </c>
      <c r="E2451" t="s">
        <v>20</v>
      </c>
      <c r="F2451" t="str">
        <f>"43615-4626"</f>
        <v>43615-4626</v>
      </c>
      <c r="G2451" t="str">
        <f>"545101"</f>
        <v>545101</v>
      </c>
      <c r="H2451" s="2">
        <f>20</f>
        <v>20</v>
      </c>
      <c r="I2451" t="s">
        <v>27</v>
      </c>
      <c r="J2451" t="s">
        <v>51</v>
      </c>
      <c r="K2451" t="str">
        <f>"116348"</f>
        <v>116348</v>
      </c>
    </row>
    <row r="2452" spans="1:11" x14ac:dyDescent="0.25">
      <c r="A2452">
        <v>2022</v>
      </c>
      <c r="B2452" t="s">
        <v>2572</v>
      </c>
      <c r="C2452" t="s">
        <v>2573</v>
      </c>
      <c r="D2452" t="s">
        <v>19</v>
      </c>
      <c r="E2452" t="s">
        <v>20</v>
      </c>
      <c r="F2452" t="str">
        <f>"43613"</f>
        <v>43613</v>
      </c>
      <c r="G2452" t="str">
        <f>"545043"</f>
        <v>545043</v>
      </c>
      <c r="H2452" s="2">
        <f>43.92</f>
        <v>43.92</v>
      </c>
      <c r="I2452" t="s">
        <v>27</v>
      </c>
      <c r="J2452" t="s">
        <v>77</v>
      </c>
      <c r="K2452" t="str">
        <f>"332802"</f>
        <v>332802</v>
      </c>
    </row>
    <row r="2453" spans="1:11" x14ac:dyDescent="0.25">
      <c r="A2453">
        <v>2022</v>
      </c>
      <c r="B2453" t="s">
        <v>2597</v>
      </c>
      <c r="C2453" t="s">
        <v>2598</v>
      </c>
      <c r="D2453" t="s">
        <v>125</v>
      </c>
      <c r="E2453" t="s">
        <v>20</v>
      </c>
      <c r="F2453" t="str">
        <f>"43537"</f>
        <v>43537</v>
      </c>
      <c r="G2453" t="str">
        <f>"Je010722"</f>
        <v>Je010722</v>
      </c>
      <c r="H2453" s="2">
        <f>22.63</f>
        <v>22.63</v>
      </c>
      <c r="I2453" t="s">
        <v>15</v>
      </c>
      <c r="J2453" t="s">
        <v>90</v>
      </c>
      <c r="K2453" t="str">
        <f>"60029022"</f>
        <v>60029022</v>
      </c>
    </row>
    <row r="2454" spans="1:11" x14ac:dyDescent="0.25">
      <c r="A2454">
        <v>2022</v>
      </c>
      <c r="B2454" t="s">
        <v>2611</v>
      </c>
      <c r="C2454" t="s">
        <v>2612</v>
      </c>
      <c r="D2454" t="s">
        <v>19</v>
      </c>
      <c r="E2454" t="s">
        <v>20</v>
      </c>
      <c r="F2454" t="str">
        <f>"43613"</f>
        <v>43613</v>
      </c>
      <c r="G2454" t="str">
        <f>"545043"</f>
        <v>545043</v>
      </c>
      <c r="H2454" s="2">
        <f>5.09</f>
        <v>5.09</v>
      </c>
      <c r="I2454" t="s">
        <v>27</v>
      </c>
      <c r="J2454" t="s">
        <v>77</v>
      </c>
      <c r="K2454" t="str">
        <f>"332690"</f>
        <v>332690</v>
      </c>
    </row>
    <row r="2455" spans="1:11" x14ac:dyDescent="0.25">
      <c r="A2455">
        <v>2022</v>
      </c>
      <c r="B2455" t="s">
        <v>2613</v>
      </c>
      <c r="C2455" t="s">
        <v>2614</v>
      </c>
      <c r="D2455" t="s">
        <v>19</v>
      </c>
      <c r="E2455" t="s">
        <v>20</v>
      </c>
      <c r="F2455" t="str">
        <f>"43615-5527"</f>
        <v>43615-5527</v>
      </c>
      <c r="G2455" t="str">
        <f>"545101"</f>
        <v>545101</v>
      </c>
      <c r="H2455" s="2">
        <f>20</f>
        <v>20</v>
      </c>
      <c r="I2455" t="s">
        <v>27</v>
      </c>
      <c r="J2455" t="s">
        <v>51</v>
      </c>
      <c r="K2455" t="str">
        <f>"116394"</f>
        <v>116394</v>
      </c>
    </row>
    <row r="2456" spans="1:11" x14ac:dyDescent="0.25">
      <c r="A2456">
        <v>2022</v>
      </c>
      <c r="B2456" t="s">
        <v>2617</v>
      </c>
      <c r="C2456" t="s">
        <v>2618</v>
      </c>
      <c r="D2456" t="s">
        <v>2619</v>
      </c>
      <c r="E2456" t="s">
        <v>418</v>
      </c>
      <c r="F2456" t="str">
        <f>"61081"</f>
        <v>61081</v>
      </c>
      <c r="G2456" t="str">
        <f>"581286"</f>
        <v>581286</v>
      </c>
      <c r="H2456" s="2">
        <f>32.8</f>
        <v>32.799999999999997</v>
      </c>
      <c r="I2456" t="s">
        <v>148</v>
      </c>
      <c r="J2456" t="s">
        <v>2620</v>
      </c>
      <c r="K2456" t="str">
        <f>"25941"</f>
        <v>25941</v>
      </c>
    </row>
    <row r="2457" spans="1:11" x14ac:dyDescent="0.25">
      <c r="A2457">
        <v>2022</v>
      </c>
      <c r="B2457" t="s">
        <v>2623</v>
      </c>
      <c r="C2457" t="s">
        <v>2624</v>
      </c>
      <c r="D2457" t="s">
        <v>125</v>
      </c>
      <c r="E2457" t="s">
        <v>20</v>
      </c>
      <c r="F2457" t="str">
        <f>"43537-3915"</f>
        <v>43537-3915</v>
      </c>
      <c r="G2457" t="str">
        <f>"545101"</f>
        <v>545101</v>
      </c>
      <c r="H2457" s="2">
        <f>10</f>
        <v>10</v>
      </c>
      <c r="I2457" t="s">
        <v>27</v>
      </c>
      <c r="J2457" t="s">
        <v>51</v>
      </c>
      <c r="K2457" t="str">
        <f>"118118"</f>
        <v>118118</v>
      </c>
    </row>
    <row r="2458" spans="1:11" x14ac:dyDescent="0.25">
      <c r="A2458">
        <v>2022</v>
      </c>
      <c r="B2458" t="s">
        <v>2650</v>
      </c>
      <c r="C2458" t="s">
        <v>2651</v>
      </c>
      <c r="D2458" t="s">
        <v>19</v>
      </c>
      <c r="E2458" t="s">
        <v>20</v>
      </c>
      <c r="F2458" t="str">
        <f>"43611"</f>
        <v>43611</v>
      </c>
      <c r="G2458" t="str">
        <f>"Je11032022"</f>
        <v>Je11032022</v>
      </c>
      <c r="H2458" s="2">
        <f>25</f>
        <v>25</v>
      </c>
      <c r="I2458" t="s">
        <v>15</v>
      </c>
      <c r="J2458" t="s">
        <v>234</v>
      </c>
      <c r="K2458" t="str">
        <f>"60053735"</f>
        <v>60053735</v>
      </c>
    </row>
    <row r="2459" spans="1:11" x14ac:dyDescent="0.25">
      <c r="A2459">
        <v>2022</v>
      </c>
      <c r="B2459" t="s">
        <v>2650</v>
      </c>
      <c r="C2459" t="s">
        <v>2651</v>
      </c>
      <c r="D2459" t="s">
        <v>19</v>
      </c>
      <c r="E2459" t="s">
        <v>20</v>
      </c>
      <c r="F2459" t="str">
        <f>"43611"</f>
        <v>43611</v>
      </c>
      <c r="G2459" t="str">
        <f>"Je11032022"</f>
        <v>Je11032022</v>
      </c>
      <c r="H2459" s="2">
        <f>25</f>
        <v>25</v>
      </c>
      <c r="I2459" t="s">
        <v>15</v>
      </c>
      <c r="J2459" t="s">
        <v>234</v>
      </c>
      <c r="K2459" t="str">
        <f>"60053736"</f>
        <v>60053736</v>
      </c>
    </row>
    <row r="2460" spans="1:11" x14ac:dyDescent="0.25">
      <c r="A2460">
        <v>2022</v>
      </c>
      <c r="B2460" t="s">
        <v>2650</v>
      </c>
      <c r="C2460" t="s">
        <v>2651</v>
      </c>
      <c r="D2460" t="s">
        <v>19</v>
      </c>
      <c r="E2460" t="s">
        <v>20</v>
      </c>
      <c r="F2460" t="str">
        <f>"43611"</f>
        <v>43611</v>
      </c>
      <c r="G2460" t="str">
        <f>"Je11032022"</f>
        <v>Je11032022</v>
      </c>
      <c r="H2460" s="2">
        <f>25</f>
        <v>25</v>
      </c>
      <c r="I2460" t="s">
        <v>15</v>
      </c>
      <c r="J2460" t="s">
        <v>234</v>
      </c>
      <c r="K2460" t="str">
        <f>"60053737"</f>
        <v>60053737</v>
      </c>
    </row>
    <row r="2461" spans="1:11" x14ac:dyDescent="0.25">
      <c r="A2461">
        <v>2022</v>
      </c>
      <c r="B2461" t="s">
        <v>2650</v>
      </c>
      <c r="C2461" t="s">
        <v>2651</v>
      </c>
      <c r="D2461" t="s">
        <v>19</v>
      </c>
      <c r="E2461" t="s">
        <v>20</v>
      </c>
      <c r="F2461" t="str">
        <f>"43611"</f>
        <v>43611</v>
      </c>
      <c r="G2461" t="str">
        <f>"Je11032022"</f>
        <v>Je11032022</v>
      </c>
      <c r="H2461" s="2">
        <f>25</f>
        <v>25</v>
      </c>
      <c r="I2461" t="s">
        <v>15</v>
      </c>
      <c r="J2461" t="s">
        <v>234</v>
      </c>
      <c r="K2461" t="str">
        <f>"60053738"</f>
        <v>60053738</v>
      </c>
    </row>
    <row r="2462" spans="1:11" x14ac:dyDescent="0.25">
      <c r="A2462">
        <v>2022</v>
      </c>
      <c r="B2462" t="s">
        <v>2650</v>
      </c>
      <c r="C2462" t="s">
        <v>2651</v>
      </c>
      <c r="D2462" t="s">
        <v>19</v>
      </c>
      <c r="E2462" t="s">
        <v>20</v>
      </c>
      <c r="F2462" t="str">
        <f>"43611"</f>
        <v>43611</v>
      </c>
      <c r="G2462" t="str">
        <f>"Je11032022"</f>
        <v>Je11032022</v>
      </c>
      <c r="H2462" s="2">
        <f>25</f>
        <v>25</v>
      </c>
      <c r="I2462" t="s">
        <v>15</v>
      </c>
      <c r="J2462" t="s">
        <v>234</v>
      </c>
      <c r="K2462" t="str">
        <f>"60053739"</f>
        <v>60053739</v>
      </c>
    </row>
    <row r="2463" spans="1:11" x14ac:dyDescent="0.25">
      <c r="A2463">
        <v>2022</v>
      </c>
      <c r="B2463" t="s">
        <v>2678</v>
      </c>
      <c r="C2463" t="s">
        <v>2679</v>
      </c>
      <c r="D2463" t="s">
        <v>19</v>
      </c>
      <c r="E2463" t="s">
        <v>20</v>
      </c>
      <c r="F2463" t="str">
        <f>"43614"</f>
        <v>43614</v>
      </c>
      <c r="G2463" t="str">
        <f t="shared" ref="G2463:G2469" si="75">"545044"</f>
        <v>545044</v>
      </c>
      <c r="H2463" s="2">
        <f>1500</f>
        <v>1500</v>
      </c>
      <c r="I2463" t="s">
        <v>27</v>
      </c>
      <c r="J2463" t="s">
        <v>28</v>
      </c>
      <c r="K2463" t="str">
        <f>"518483"</f>
        <v>518483</v>
      </c>
    </row>
    <row r="2464" spans="1:11" x14ac:dyDescent="0.25">
      <c r="A2464">
        <v>2022</v>
      </c>
      <c r="B2464" t="s">
        <v>2688</v>
      </c>
      <c r="C2464" t="s">
        <v>2689</v>
      </c>
      <c r="D2464" t="s">
        <v>19</v>
      </c>
      <c r="E2464" t="s">
        <v>20</v>
      </c>
      <c r="F2464" t="str">
        <f t="shared" ref="F2464:F2469" si="76">"43605"</f>
        <v>43605</v>
      </c>
      <c r="G2464" t="str">
        <f t="shared" si="75"/>
        <v>545044</v>
      </c>
      <c r="H2464" s="2">
        <f>2.73</f>
        <v>2.73</v>
      </c>
      <c r="I2464" t="s">
        <v>27</v>
      </c>
      <c r="J2464" t="s">
        <v>28</v>
      </c>
      <c r="K2464" t="str">
        <f>"518601"</f>
        <v>518601</v>
      </c>
    </row>
    <row r="2465" spans="1:11" x14ac:dyDescent="0.25">
      <c r="A2465">
        <v>2022</v>
      </c>
      <c r="B2465" t="s">
        <v>2688</v>
      </c>
      <c r="C2465" t="s">
        <v>2689</v>
      </c>
      <c r="D2465" t="s">
        <v>19</v>
      </c>
      <c r="E2465" t="s">
        <v>20</v>
      </c>
      <c r="F2465" t="str">
        <f t="shared" si="76"/>
        <v>43605</v>
      </c>
      <c r="G2465" t="str">
        <f t="shared" si="75"/>
        <v>545044</v>
      </c>
      <c r="H2465" s="2">
        <f>1.82</f>
        <v>1.82</v>
      </c>
      <c r="I2465" t="s">
        <v>27</v>
      </c>
      <c r="J2465" t="s">
        <v>28</v>
      </c>
      <c r="K2465" t="str">
        <f>"518374"</f>
        <v>518374</v>
      </c>
    </row>
    <row r="2466" spans="1:11" x14ac:dyDescent="0.25">
      <c r="A2466">
        <v>2022</v>
      </c>
      <c r="B2466" t="s">
        <v>2688</v>
      </c>
      <c r="C2466" t="s">
        <v>2689</v>
      </c>
      <c r="D2466" t="s">
        <v>19</v>
      </c>
      <c r="E2466" t="s">
        <v>20</v>
      </c>
      <c r="F2466" t="str">
        <f t="shared" si="76"/>
        <v>43605</v>
      </c>
      <c r="G2466" t="str">
        <f t="shared" si="75"/>
        <v>545044</v>
      </c>
      <c r="H2466" s="2">
        <f>1.82</f>
        <v>1.82</v>
      </c>
      <c r="I2466" t="s">
        <v>27</v>
      </c>
      <c r="J2466" t="s">
        <v>28</v>
      </c>
      <c r="K2466" t="str">
        <f>"518856"</f>
        <v>518856</v>
      </c>
    </row>
    <row r="2467" spans="1:11" x14ac:dyDescent="0.25">
      <c r="A2467">
        <v>2022</v>
      </c>
      <c r="B2467" t="s">
        <v>2688</v>
      </c>
      <c r="C2467" t="s">
        <v>2689</v>
      </c>
      <c r="D2467" t="s">
        <v>19</v>
      </c>
      <c r="E2467" t="s">
        <v>20</v>
      </c>
      <c r="F2467" t="str">
        <f t="shared" si="76"/>
        <v>43605</v>
      </c>
      <c r="G2467" t="str">
        <f t="shared" si="75"/>
        <v>545044</v>
      </c>
      <c r="H2467" s="2">
        <f>4.55</f>
        <v>4.55</v>
      </c>
      <c r="I2467" t="s">
        <v>27</v>
      </c>
      <c r="J2467" t="s">
        <v>28</v>
      </c>
      <c r="K2467" t="str">
        <f>"520452"</f>
        <v>520452</v>
      </c>
    </row>
    <row r="2468" spans="1:11" x14ac:dyDescent="0.25">
      <c r="A2468">
        <v>2022</v>
      </c>
      <c r="B2468" t="s">
        <v>2688</v>
      </c>
      <c r="C2468" t="s">
        <v>2689</v>
      </c>
      <c r="D2468" t="s">
        <v>19</v>
      </c>
      <c r="E2468" t="s">
        <v>20</v>
      </c>
      <c r="F2468" t="str">
        <f t="shared" si="76"/>
        <v>43605</v>
      </c>
      <c r="G2468" t="str">
        <f t="shared" si="75"/>
        <v>545044</v>
      </c>
      <c r="H2468" s="2">
        <f>5</f>
        <v>5</v>
      </c>
      <c r="I2468" t="s">
        <v>27</v>
      </c>
      <c r="J2468" t="s">
        <v>28</v>
      </c>
      <c r="K2468" t="str">
        <f>"519667"</f>
        <v>519667</v>
      </c>
    </row>
    <row r="2469" spans="1:11" x14ac:dyDescent="0.25">
      <c r="A2469">
        <v>2022</v>
      </c>
      <c r="B2469" t="s">
        <v>2688</v>
      </c>
      <c r="C2469" t="s">
        <v>2689</v>
      </c>
      <c r="D2469" t="s">
        <v>19</v>
      </c>
      <c r="E2469" t="s">
        <v>20</v>
      </c>
      <c r="F2469" t="str">
        <f t="shared" si="76"/>
        <v>43605</v>
      </c>
      <c r="G2469" t="str">
        <f t="shared" si="75"/>
        <v>545044</v>
      </c>
      <c r="H2469" s="2">
        <f>4.55</f>
        <v>4.55</v>
      </c>
      <c r="I2469" t="s">
        <v>27</v>
      </c>
      <c r="J2469" t="s">
        <v>28</v>
      </c>
      <c r="K2469" t="str">
        <f>"519845"</f>
        <v>519845</v>
      </c>
    </row>
    <row r="2470" spans="1:11" x14ac:dyDescent="0.25">
      <c r="A2470">
        <v>2022</v>
      </c>
      <c r="B2470" t="s">
        <v>2692</v>
      </c>
      <c r="C2470" t="s">
        <v>2693</v>
      </c>
      <c r="D2470" t="s">
        <v>19</v>
      </c>
      <c r="E2470" t="s">
        <v>20</v>
      </c>
      <c r="F2470" t="str">
        <f>"43613"</f>
        <v>43613</v>
      </c>
      <c r="G2470" t="str">
        <f>"545043"</f>
        <v>545043</v>
      </c>
      <c r="H2470" s="2">
        <f>12.5</f>
        <v>12.5</v>
      </c>
      <c r="I2470" t="s">
        <v>27</v>
      </c>
      <c r="J2470" t="s">
        <v>77</v>
      </c>
      <c r="K2470" t="str">
        <f>"333096"</f>
        <v>333096</v>
      </c>
    </row>
    <row r="2471" spans="1:11" x14ac:dyDescent="0.25">
      <c r="A2471">
        <v>2022</v>
      </c>
      <c r="B2471" t="s">
        <v>2706</v>
      </c>
      <c r="C2471" t="s">
        <v>2707</v>
      </c>
      <c r="D2471" t="s">
        <v>45</v>
      </c>
      <c r="E2471" t="s">
        <v>20</v>
      </c>
      <c r="F2471" t="str">
        <f>"43542"</f>
        <v>43542</v>
      </c>
      <c r="G2471" t="str">
        <f>"562222"</f>
        <v>562222</v>
      </c>
      <c r="H2471" s="2">
        <f>1</f>
        <v>1</v>
      </c>
      <c r="I2471" t="s">
        <v>519</v>
      </c>
      <c r="J2471" t="s">
        <v>811</v>
      </c>
      <c r="K2471" t="str">
        <f>"11260"</f>
        <v>11260</v>
      </c>
    </row>
    <row r="2472" spans="1:11" x14ac:dyDescent="0.25">
      <c r="A2472">
        <v>2022</v>
      </c>
      <c r="B2472" t="s">
        <v>2713</v>
      </c>
      <c r="C2472" t="s">
        <v>2714</v>
      </c>
      <c r="D2472" t="s">
        <v>2715</v>
      </c>
      <c r="E2472" t="s">
        <v>20</v>
      </c>
      <c r="F2472" t="str">
        <f>"43450"</f>
        <v>43450</v>
      </c>
      <c r="G2472" t="str">
        <f>"545042"</f>
        <v>545042</v>
      </c>
      <c r="H2472" s="2">
        <f>3</f>
        <v>3</v>
      </c>
      <c r="I2472" t="s">
        <v>27</v>
      </c>
      <c r="J2472" t="s">
        <v>257</v>
      </c>
      <c r="K2472" t="str">
        <f>"37890"</f>
        <v>37890</v>
      </c>
    </row>
    <row r="2473" spans="1:11" x14ac:dyDescent="0.25">
      <c r="A2473">
        <v>2022</v>
      </c>
      <c r="B2473" t="s">
        <v>2716</v>
      </c>
      <c r="C2473" t="s">
        <v>2717</v>
      </c>
      <c r="D2473" t="s">
        <v>19</v>
      </c>
      <c r="E2473" t="s">
        <v>20</v>
      </c>
      <c r="F2473" t="str">
        <f>"43617"</f>
        <v>43617</v>
      </c>
      <c r="G2473" t="str">
        <f>"545042"</f>
        <v>545042</v>
      </c>
      <c r="H2473" s="2">
        <f>6.2</f>
        <v>6.2</v>
      </c>
      <c r="I2473" t="s">
        <v>27</v>
      </c>
      <c r="J2473" t="s">
        <v>257</v>
      </c>
      <c r="K2473" t="str">
        <f>"38338"</f>
        <v>38338</v>
      </c>
    </row>
    <row r="2474" spans="1:11" x14ac:dyDescent="0.25">
      <c r="A2474">
        <v>2022</v>
      </c>
      <c r="B2474" t="s">
        <v>2731</v>
      </c>
      <c r="C2474" t="s">
        <v>2732</v>
      </c>
      <c r="D2474" t="s">
        <v>50</v>
      </c>
      <c r="E2474" t="s">
        <v>20</v>
      </c>
      <c r="F2474" t="str">
        <f>"43615"</f>
        <v>43615</v>
      </c>
      <c r="G2474" t="str">
        <f>"562222"</f>
        <v>562222</v>
      </c>
      <c r="H2474" s="2">
        <f>4</f>
        <v>4</v>
      </c>
      <c r="I2474" t="s">
        <v>519</v>
      </c>
      <c r="J2474" t="s">
        <v>811</v>
      </c>
      <c r="K2474" t="str">
        <f>"11222"</f>
        <v>11222</v>
      </c>
    </row>
    <row r="2475" spans="1:11" x14ac:dyDescent="0.25">
      <c r="A2475">
        <v>2022</v>
      </c>
      <c r="B2475" t="s">
        <v>2743</v>
      </c>
      <c r="C2475" t="s">
        <v>2744</v>
      </c>
      <c r="D2475" t="s">
        <v>323</v>
      </c>
      <c r="E2475" t="s">
        <v>20</v>
      </c>
      <c r="F2475" t="str">
        <f>"43571-9657"</f>
        <v>43571-9657</v>
      </c>
      <c r="G2475" t="str">
        <f>"545101"</f>
        <v>545101</v>
      </c>
      <c r="H2475" s="2">
        <f>10</f>
        <v>10</v>
      </c>
      <c r="I2475" t="s">
        <v>27</v>
      </c>
      <c r="J2475" t="s">
        <v>51</v>
      </c>
      <c r="K2475" t="str">
        <f>"117071"</f>
        <v>117071</v>
      </c>
    </row>
    <row r="2476" spans="1:11" x14ac:dyDescent="0.25">
      <c r="A2476">
        <v>2022</v>
      </c>
      <c r="B2476" t="s">
        <v>2761</v>
      </c>
      <c r="C2476" t="s">
        <v>2762</v>
      </c>
      <c r="D2476" t="s">
        <v>19</v>
      </c>
      <c r="E2476" t="s">
        <v>20</v>
      </c>
      <c r="F2476" t="str">
        <f>"43624"</f>
        <v>43624</v>
      </c>
      <c r="G2476" t="str">
        <f>"Je11032022"</f>
        <v>Je11032022</v>
      </c>
      <c r="H2476" s="2">
        <f>25</f>
        <v>25</v>
      </c>
      <c r="I2476" t="s">
        <v>15</v>
      </c>
      <c r="J2476" t="s">
        <v>234</v>
      </c>
      <c r="K2476" t="str">
        <f>"60054185"</f>
        <v>60054185</v>
      </c>
    </row>
    <row r="2477" spans="1:11" x14ac:dyDescent="0.25">
      <c r="A2477">
        <v>2022</v>
      </c>
      <c r="B2477" t="s">
        <v>2763</v>
      </c>
      <c r="C2477" t="s">
        <v>2764</v>
      </c>
      <c r="D2477" t="s">
        <v>125</v>
      </c>
      <c r="E2477" t="s">
        <v>20</v>
      </c>
      <c r="F2477" t="str">
        <f>"43537"</f>
        <v>43537</v>
      </c>
      <c r="G2477" t="str">
        <f>"Je010722"</f>
        <v>Je010722</v>
      </c>
      <c r="H2477" s="2">
        <f>671.5</f>
        <v>671.5</v>
      </c>
      <c r="I2477" t="s">
        <v>15</v>
      </c>
      <c r="J2477" t="s">
        <v>90</v>
      </c>
      <c r="K2477" t="str">
        <f>"60027186"</f>
        <v>60027186</v>
      </c>
    </row>
    <row r="2478" spans="1:11" x14ac:dyDescent="0.25">
      <c r="A2478">
        <v>2022</v>
      </c>
      <c r="B2478" t="s">
        <v>2779</v>
      </c>
      <c r="C2478" t="s">
        <v>828</v>
      </c>
      <c r="D2478" t="s">
        <v>422</v>
      </c>
      <c r="E2478" t="s">
        <v>20</v>
      </c>
      <c r="F2478" t="str">
        <f>"44132"</f>
        <v>44132</v>
      </c>
      <c r="G2478" t="str">
        <f>"545042"</f>
        <v>545042</v>
      </c>
      <c r="H2478" s="2">
        <f>20</f>
        <v>20</v>
      </c>
      <c r="I2478" t="s">
        <v>27</v>
      </c>
      <c r="J2478" t="s">
        <v>257</v>
      </c>
      <c r="K2478" t="str">
        <f>"38044"</f>
        <v>38044</v>
      </c>
    </row>
    <row r="2479" spans="1:11" x14ac:dyDescent="0.25">
      <c r="A2479">
        <v>2022</v>
      </c>
      <c r="B2479" t="s">
        <v>2782</v>
      </c>
      <c r="C2479" t="s">
        <v>2783</v>
      </c>
      <c r="D2479" t="s">
        <v>58</v>
      </c>
      <c r="E2479" t="s">
        <v>20</v>
      </c>
      <c r="F2479" t="str">
        <f>"43616-3409"</f>
        <v>43616-3409</v>
      </c>
      <c r="G2479" t="str">
        <f>"545101"</f>
        <v>545101</v>
      </c>
      <c r="H2479" s="2">
        <f>40</f>
        <v>40</v>
      </c>
      <c r="I2479" t="s">
        <v>27</v>
      </c>
      <c r="J2479" t="s">
        <v>51</v>
      </c>
      <c r="K2479" t="str">
        <f>"118249"</f>
        <v>118249</v>
      </c>
    </row>
    <row r="2480" spans="1:11" x14ac:dyDescent="0.25">
      <c r="A2480">
        <v>2022</v>
      </c>
      <c r="B2480" t="s">
        <v>2788</v>
      </c>
      <c r="C2480" t="s">
        <v>2789</v>
      </c>
      <c r="D2480" t="s">
        <v>19</v>
      </c>
      <c r="E2480" t="s">
        <v>20</v>
      </c>
      <c r="F2480" t="str">
        <f>"43615"</f>
        <v>43615</v>
      </c>
      <c r="G2480" t="str">
        <f>"545043"</f>
        <v>545043</v>
      </c>
      <c r="H2480" s="2">
        <f>1.4</f>
        <v>1.4</v>
      </c>
      <c r="I2480" t="s">
        <v>27</v>
      </c>
      <c r="J2480" t="s">
        <v>77</v>
      </c>
      <c r="K2480" t="str">
        <f>"333154"</f>
        <v>333154</v>
      </c>
    </row>
    <row r="2481" spans="1:11" x14ac:dyDescent="0.25">
      <c r="A2481">
        <v>2022</v>
      </c>
      <c r="B2481" t="s">
        <v>2806</v>
      </c>
      <c r="C2481" t="s">
        <v>2807</v>
      </c>
      <c r="D2481" t="s">
        <v>58</v>
      </c>
      <c r="E2481" t="s">
        <v>20</v>
      </c>
      <c r="F2481" t="str">
        <f>"43616-4507"</f>
        <v>43616-4507</v>
      </c>
      <c r="G2481" t="str">
        <f>"545101"</f>
        <v>545101</v>
      </c>
      <c r="H2481" s="2">
        <f>10</f>
        <v>10</v>
      </c>
      <c r="I2481" t="s">
        <v>27</v>
      </c>
      <c r="J2481" t="s">
        <v>51</v>
      </c>
      <c r="K2481" t="str">
        <f>"116948"</f>
        <v>116948</v>
      </c>
    </row>
    <row r="2482" spans="1:11" x14ac:dyDescent="0.25">
      <c r="A2482">
        <v>2022</v>
      </c>
      <c r="B2482" t="s">
        <v>2810</v>
      </c>
      <c r="C2482" t="s">
        <v>2811</v>
      </c>
      <c r="D2482" t="s">
        <v>19</v>
      </c>
      <c r="E2482" t="s">
        <v>20</v>
      </c>
      <c r="F2482" t="str">
        <f>"43614"</f>
        <v>43614</v>
      </c>
      <c r="G2482" t="str">
        <f>"Je010722"</f>
        <v>Je010722</v>
      </c>
      <c r="H2482" s="2">
        <f>10</f>
        <v>10</v>
      </c>
      <c r="I2482" t="s">
        <v>15</v>
      </c>
      <c r="J2482" t="s">
        <v>90</v>
      </c>
      <c r="K2482" t="str">
        <f>"60035269"</f>
        <v>60035269</v>
      </c>
    </row>
    <row r="2483" spans="1:11" x14ac:dyDescent="0.25">
      <c r="A2483">
        <v>2022</v>
      </c>
      <c r="B2483" t="s">
        <v>2824</v>
      </c>
      <c r="C2483" t="s">
        <v>2825</v>
      </c>
      <c r="D2483" t="s">
        <v>19</v>
      </c>
      <c r="E2483" t="s">
        <v>20</v>
      </c>
      <c r="F2483" t="str">
        <f>"43604"</f>
        <v>43604</v>
      </c>
      <c r="G2483" t="str">
        <f>"545043"</f>
        <v>545043</v>
      </c>
      <c r="H2483" s="2">
        <f>58.25</f>
        <v>58.25</v>
      </c>
      <c r="I2483" t="s">
        <v>27</v>
      </c>
      <c r="J2483" t="s">
        <v>77</v>
      </c>
      <c r="K2483" t="str">
        <f>"332878"</f>
        <v>332878</v>
      </c>
    </row>
    <row r="2484" spans="1:11" x14ac:dyDescent="0.25">
      <c r="A2484">
        <v>2022</v>
      </c>
      <c r="B2484" t="s">
        <v>2853</v>
      </c>
      <c r="C2484" t="s">
        <v>2854</v>
      </c>
      <c r="D2484" t="s">
        <v>19</v>
      </c>
      <c r="E2484" t="s">
        <v>20</v>
      </c>
      <c r="F2484" t="str">
        <f>"43620-1110"</f>
        <v>43620-1110</v>
      </c>
      <c r="G2484" t="str">
        <f>"545101"</f>
        <v>545101</v>
      </c>
      <c r="H2484" s="2">
        <f>10</f>
        <v>10</v>
      </c>
      <c r="I2484" t="s">
        <v>27</v>
      </c>
      <c r="J2484" t="s">
        <v>51</v>
      </c>
      <c r="K2484" t="str">
        <f>"117857"</f>
        <v>117857</v>
      </c>
    </row>
    <row r="2485" spans="1:11" x14ac:dyDescent="0.25">
      <c r="A2485">
        <v>2022</v>
      </c>
      <c r="B2485" t="s">
        <v>2887</v>
      </c>
      <c r="C2485" t="s">
        <v>2888</v>
      </c>
      <c r="D2485" t="s">
        <v>19</v>
      </c>
      <c r="E2485" t="s">
        <v>20</v>
      </c>
      <c r="F2485" t="str">
        <f>"43608-2020"</f>
        <v>43608-2020</v>
      </c>
      <c r="G2485" t="str">
        <f>"Je031622"</f>
        <v>Je031622</v>
      </c>
      <c r="H2485" s="2">
        <f>24</f>
        <v>24</v>
      </c>
      <c r="I2485" t="s">
        <v>15</v>
      </c>
      <c r="J2485" t="s">
        <v>117</v>
      </c>
      <c r="K2485" t="str">
        <f>"60040993"</f>
        <v>60040993</v>
      </c>
    </row>
    <row r="2486" spans="1:11" x14ac:dyDescent="0.25">
      <c r="A2486">
        <v>2022</v>
      </c>
      <c r="B2486" t="s">
        <v>2887</v>
      </c>
      <c r="C2486" t="s">
        <v>2888</v>
      </c>
      <c r="D2486" t="s">
        <v>19</v>
      </c>
      <c r="E2486" t="s">
        <v>20</v>
      </c>
      <c r="F2486" t="str">
        <f>"43608-2020"</f>
        <v>43608-2020</v>
      </c>
      <c r="G2486" t="str">
        <f>"Je070522"</f>
        <v>Je070522</v>
      </c>
      <c r="H2486" s="2">
        <f>62.4</f>
        <v>62.4</v>
      </c>
      <c r="I2486" t="s">
        <v>15</v>
      </c>
      <c r="J2486" t="s">
        <v>207</v>
      </c>
      <c r="K2486" t="str">
        <f>"60045765"</f>
        <v>60045765</v>
      </c>
    </row>
    <row r="2487" spans="1:11" x14ac:dyDescent="0.25">
      <c r="A2487">
        <v>2022</v>
      </c>
      <c r="B2487" t="s">
        <v>2897</v>
      </c>
      <c r="C2487" t="s">
        <v>2898</v>
      </c>
      <c r="D2487" t="s">
        <v>19</v>
      </c>
      <c r="E2487" t="s">
        <v>20</v>
      </c>
      <c r="F2487" t="str">
        <f>"43607"</f>
        <v>43607</v>
      </c>
      <c r="G2487" t="str">
        <f>"545075"</f>
        <v>545075</v>
      </c>
      <c r="H2487" s="2">
        <f>14</f>
        <v>14</v>
      </c>
      <c r="I2487" t="s">
        <v>27</v>
      </c>
      <c r="J2487" t="s">
        <v>31</v>
      </c>
      <c r="K2487" t="str">
        <f>"33011145"</f>
        <v>33011145</v>
      </c>
    </row>
    <row r="2488" spans="1:11" x14ac:dyDescent="0.25">
      <c r="A2488">
        <v>2022</v>
      </c>
      <c r="B2488" t="s">
        <v>2925</v>
      </c>
      <c r="C2488" t="s">
        <v>2926</v>
      </c>
      <c r="D2488" t="s">
        <v>19</v>
      </c>
      <c r="E2488" t="s">
        <v>20</v>
      </c>
      <c r="F2488" t="str">
        <f>"43613"</f>
        <v>43613</v>
      </c>
      <c r="G2488" t="str">
        <f>"545043"</f>
        <v>545043</v>
      </c>
      <c r="H2488" s="2">
        <f>39.42</f>
        <v>39.42</v>
      </c>
      <c r="I2488" t="s">
        <v>27</v>
      </c>
      <c r="J2488" t="s">
        <v>77</v>
      </c>
      <c r="K2488" t="str">
        <f>"332600"</f>
        <v>332600</v>
      </c>
    </row>
    <row r="2489" spans="1:11" x14ac:dyDescent="0.25">
      <c r="A2489">
        <v>2022</v>
      </c>
      <c r="B2489" t="s">
        <v>2927</v>
      </c>
      <c r="C2489" t="s">
        <v>2928</v>
      </c>
      <c r="D2489" t="s">
        <v>45</v>
      </c>
      <c r="E2489" t="s">
        <v>20</v>
      </c>
      <c r="F2489" t="str">
        <f>"43542"</f>
        <v>43542</v>
      </c>
      <c r="G2489" t="str">
        <f>"Je010722"</f>
        <v>Je010722</v>
      </c>
      <c r="H2489" s="2">
        <f>1047.59</f>
        <v>1047.5899999999999</v>
      </c>
      <c r="I2489" t="s">
        <v>15</v>
      </c>
      <c r="J2489" t="s">
        <v>90</v>
      </c>
      <c r="K2489" t="str">
        <f>"60027600"</f>
        <v>60027600</v>
      </c>
    </row>
    <row r="2490" spans="1:11" x14ac:dyDescent="0.25">
      <c r="A2490">
        <v>2022</v>
      </c>
      <c r="B2490" t="s">
        <v>2929</v>
      </c>
      <c r="C2490" t="s">
        <v>2930</v>
      </c>
      <c r="D2490" t="s">
        <v>19</v>
      </c>
      <c r="E2490" t="s">
        <v>20</v>
      </c>
      <c r="F2490" t="str">
        <f>"43609"</f>
        <v>43609</v>
      </c>
      <c r="G2490" t="str">
        <f>"545075"</f>
        <v>545075</v>
      </c>
      <c r="H2490" s="2">
        <f>3</f>
        <v>3</v>
      </c>
      <c r="I2490" t="s">
        <v>27</v>
      </c>
      <c r="J2490" t="s">
        <v>31</v>
      </c>
      <c r="K2490" t="str">
        <f>"11003928"</f>
        <v>11003928</v>
      </c>
    </row>
    <row r="2491" spans="1:11" x14ac:dyDescent="0.25">
      <c r="A2491">
        <v>2022</v>
      </c>
      <c r="B2491" t="s">
        <v>2937</v>
      </c>
      <c r="C2491" t="s">
        <v>2939</v>
      </c>
      <c r="D2491" t="s">
        <v>50</v>
      </c>
      <c r="E2491" t="s">
        <v>20</v>
      </c>
      <c r="F2491" t="str">
        <f>"43560"</f>
        <v>43560</v>
      </c>
      <c r="G2491" t="str">
        <f>"545075"</f>
        <v>545075</v>
      </c>
      <c r="H2491" s="2">
        <f>271.68</f>
        <v>271.68</v>
      </c>
      <c r="I2491" t="s">
        <v>27</v>
      </c>
      <c r="J2491" t="s">
        <v>31</v>
      </c>
      <c r="K2491" t="str">
        <f>"22023111"</f>
        <v>22023111</v>
      </c>
    </row>
    <row r="2492" spans="1:11" x14ac:dyDescent="0.25">
      <c r="A2492">
        <v>2022</v>
      </c>
      <c r="B2492" t="s">
        <v>2940</v>
      </c>
      <c r="C2492" t="s">
        <v>2941</v>
      </c>
      <c r="D2492" t="s">
        <v>50</v>
      </c>
      <c r="E2492" t="s">
        <v>20</v>
      </c>
      <c r="F2492" t="str">
        <f>"43560"</f>
        <v>43560</v>
      </c>
      <c r="G2492" t="str">
        <f>"545075"</f>
        <v>545075</v>
      </c>
      <c r="H2492" s="2">
        <f>61.32</f>
        <v>61.32</v>
      </c>
      <c r="I2492" t="s">
        <v>27</v>
      </c>
      <c r="J2492" t="s">
        <v>31</v>
      </c>
      <c r="K2492" t="str">
        <f>"22022491"</f>
        <v>22022491</v>
      </c>
    </row>
    <row r="2493" spans="1:11" x14ac:dyDescent="0.25">
      <c r="A2493">
        <v>2022</v>
      </c>
      <c r="B2493" t="s">
        <v>2967</v>
      </c>
      <c r="C2493" t="s">
        <v>2968</v>
      </c>
      <c r="D2493" t="s">
        <v>19</v>
      </c>
      <c r="E2493" t="s">
        <v>20</v>
      </c>
      <c r="F2493" t="str">
        <f>"43615"</f>
        <v>43615</v>
      </c>
      <c r="G2493" t="str">
        <f>"Je010722"</f>
        <v>Je010722</v>
      </c>
      <c r="H2493" s="2">
        <f>10</f>
        <v>10</v>
      </c>
      <c r="I2493" t="s">
        <v>15</v>
      </c>
      <c r="J2493" t="s">
        <v>90</v>
      </c>
      <c r="K2493" t="str">
        <f>"60035271"</f>
        <v>60035271</v>
      </c>
    </row>
    <row r="2494" spans="1:11" x14ac:dyDescent="0.25">
      <c r="A2494">
        <v>2022</v>
      </c>
      <c r="B2494" t="s">
        <v>2976</v>
      </c>
      <c r="C2494" t="s">
        <v>2971</v>
      </c>
      <c r="D2494" t="s">
        <v>19</v>
      </c>
      <c r="E2494" t="s">
        <v>20</v>
      </c>
      <c r="F2494" t="str">
        <f>"43620-1184"</f>
        <v>43620-1184</v>
      </c>
      <c r="G2494" t="str">
        <f>"545101"</f>
        <v>545101</v>
      </c>
      <c r="H2494" s="2">
        <f>100</f>
        <v>100</v>
      </c>
      <c r="I2494" t="s">
        <v>27</v>
      </c>
      <c r="J2494" t="s">
        <v>51</v>
      </c>
      <c r="K2494" t="str">
        <f>"117976"</f>
        <v>117976</v>
      </c>
    </row>
    <row r="2495" spans="1:11" x14ac:dyDescent="0.25">
      <c r="A2495">
        <v>2022</v>
      </c>
      <c r="B2495" t="s">
        <v>2989</v>
      </c>
      <c r="C2495" t="s">
        <v>2990</v>
      </c>
      <c r="D2495" t="s">
        <v>19</v>
      </c>
      <c r="E2495" t="s">
        <v>20</v>
      </c>
      <c r="F2495" t="str">
        <f>"43614"</f>
        <v>43614</v>
      </c>
      <c r="G2495" t="str">
        <f>"Je031622"</f>
        <v>Je031622</v>
      </c>
      <c r="H2495" s="2">
        <f>25</f>
        <v>25</v>
      </c>
      <c r="I2495" t="s">
        <v>15</v>
      </c>
      <c r="J2495" t="s">
        <v>117</v>
      </c>
      <c r="K2495" t="str">
        <f>"60038441"</f>
        <v>60038441</v>
      </c>
    </row>
    <row r="2496" spans="1:11" x14ac:dyDescent="0.25">
      <c r="A2496">
        <v>2022</v>
      </c>
      <c r="B2496" t="s">
        <v>3008</v>
      </c>
      <c r="C2496" t="s">
        <v>3009</v>
      </c>
      <c r="D2496" t="s">
        <v>3010</v>
      </c>
      <c r="E2496" t="s">
        <v>2122</v>
      </c>
      <c r="F2496" t="str">
        <f t="shared" ref="F2496:F2501" si="77">"28574"</f>
        <v>28574</v>
      </c>
      <c r="G2496" t="str">
        <f>"Je010722"</f>
        <v>Je010722</v>
      </c>
      <c r="H2496" s="2">
        <f t="shared" ref="H2496:H2501" si="78">45.25</f>
        <v>45.25</v>
      </c>
      <c r="I2496" t="s">
        <v>15</v>
      </c>
      <c r="J2496" t="s">
        <v>90</v>
      </c>
      <c r="K2496" t="str">
        <f>"60026298"</f>
        <v>60026298</v>
      </c>
    </row>
    <row r="2497" spans="1:11" x14ac:dyDescent="0.25">
      <c r="A2497">
        <v>2022</v>
      </c>
      <c r="B2497" t="s">
        <v>3008</v>
      </c>
      <c r="C2497" t="s">
        <v>3009</v>
      </c>
      <c r="D2497" t="s">
        <v>3010</v>
      </c>
      <c r="E2497" t="s">
        <v>2122</v>
      </c>
      <c r="F2497" t="str">
        <f t="shared" si="77"/>
        <v>28574</v>
      </c>
      <c r="G2497" t="str">
        <f>"Je010722"</f>
        <v>Je010722</v>
      </c>
      <c r="H2497" s="2">
        <f t="shared" si="78"/>
        <v>45.25</v>
      </c>
      <c r="I2497" t="s">
        <v>15</v>
      </c>
      <c r="J2497" t="s">
        <v>90</v>
      </c>
      <c r="K2497" t="str">
        <f>"60034385"</f>
        <v>60034385</v>
      </c>
    </row>
    <row r="2498" spans="1:11" x14ac:dyDescent="0.25">
      <c r="A2498">
        <v>2022</v>
      </c>
      <c r="B2498" t="s">
        <v>3008</v>
      </c>
      <c r="C2498" t="s">
        <v>3009</v>
      </c>
      <c r="D2498" t="s">
        <v>3010</v>
      </c>
      <c r="E2498" t="s">
        <v>2122</v>
      </c>
      <c r="F2498" t="str">
        <f t="shared" si="77"/>
        <v>28574</v>
      </c>
      <c r="G2498" t="str">
        <f>"Je010722"</f>
        <v>Je010722</v>
      </c>
      <c r="H2498" s="2">
        <f t="shared" si="78"/>
        <v>45.25</v>
      </c>
      <c r="I2498" t="s">
        <v>15</v>
      </c>
      <c r="J2498" t="s">
        <v>90</v>
      </c>
      <c r="K2498" t="str">
        <f>"60029049"</f>
        <v>60029049</v>
      </c>
    </row>
    <row r="2499" spans="1:11" x14ac:dyDescent="0.25">
      <c r="A2499">
        <v>2022</v>
      </c>
      <c r="B2499" t="s">
        <v>3008</v>
      </c>
      <c r="C2499" t="s">
        <v>3009</v>
      </c>
      <c r="D2499" t="s">
        <v>3010</v>
      </c>
      <c r="E2499" t="s">
        <v>2122</v>
      </c>
      <c r="F2499" t="str">
        <f t="shared" si="77"/>
        <v>28574</v>
      </c>
      <c r="G2499" t="str">
        <f>"Je031622"</f>
        <v>Je031622</v>
      </c>
      <c r="H2499" s="2">
        <f t="shared" si="78"/>
        <v>45.25</v>
      </c>
      <c r="I2499" t="s">
        <v>15</v>
      </c>
      <c r="J2499" t="s">
        <v>117</v>
      </c>
      <c r="K2499" t="str">
        <f>"60039411"</f>
        <v>60039411</v>
      </c>
    </row>
    <row r="2500" spans="1:11" x14ac:dyDescent="0.25">
      <c r="A2500">
        <v>2022</v>
      </c>
      <c r="B2500" t="s">
        <v>3008</v>
      </c>
      <c r="C2500" t="s">
        <v>3009</v>
      </c>
      <c r="D2500" t="s">
        <v>3010</v>
      </c>
      <c r="E2500" t="s">
        <v>2122</v>
      </c>
      <c r="F2500" t="str">
        <f t="shared" si="77"/>
        <v>28574</v>
      </c>
      <c r="G2500" t="str">
        <f>"Je031622"</f>
        <v>Je031622</v>
      </c>
      <c r="H2500" s="2">
        <f t="shared" si="78"/>
        <v>45.25</v>
      </c>
      <c r="I2500" t="s">
        <v>15</v>
      </c>
      <c r="J2500" t="s">
        <v>117</v>
      </c>
      <c r="K2500" t="str">
        <f>"60036836"</f>
        <v>60036836</v>
      </c>
    </row>
    <row r="2501" spans="1:11" x14ac:dyDescent="0.25">
      <c r="A2501">
        <v>2022</v>
      </c>
      <c r="B2501" t="s">
        <v>3008</v>
      </c>
      <c r="C2501" t="s">
        <v>3009</v>
      </c>
      <c r="D2501" t="s">
        <v>3010</v>
      </c>
      <c r="E2501" t="s">
        <v>2122</v>
      </c>
      <c r="F2501" t="str">
        <f t="shared" si="77"/>
        <v>28574</v>
      </c>
      <c r="G2501" t="str">
        <f>"Je031622"</f>
        <v>Je031622</v>
      </c>
      <c r="H2501" s="2">
        <f t="shared" si="78"/>
        <v>45.25</v>
      </c>
      <c r="I2501" t="s">
        <v>15</v>
      </c>
      <c r="J2501" t="s">
        <v>117</v>
      </c>
      <c r="K2501" t="str">
        <f>"60041764"</f>
        <v>60041764</v>
      </c>
    </row>
    <row r="2502" spans="1:11" x14ac:dyDescent="0.25">
      <c r="A2502">
        <v>2022</v>
      </c>
      <c r="B2502" t="s">
        <v>3031</v>
      </c>
      <c r="C2502" t="s">
        <v>3032</v>
      </c>
      <c r="D2502" t="s">
        <v>1074</v>
      </c>
      <c r="E2502" t="s">
        <v>20</v>
      </c>
      <c r="F2502" t="str">
        <f>"43551"</f>
        <v>43551</v>
      </c>
      <c r="G2502" t="str">
        <f>"545043"</f>
        <v>545043</v>
      </c>
      <c r="H2502" s="2">
        <f>5.4</f>
        <v>5.4</v>
      </c>
      <c r="I2502" t="s">
        <v>27</v>
      </c>
      <c r="J2502" t="s">
        <v>77</v>
      </c>
      <c r="K2502" t="str">
        <f>"333138"</f>
        <v>333138</v>
      </c>
    </row>
    <row r="2503" spans="1:11" x14ac:dyDescent="0.25">
      <c r="A2503">
        <v>2022</v>
      </c>
      <c r="B2503" t="s">
        <v>3037</v>
      </c>
      <c r="C2503" t="s">
        <v>3038</v>
      </c>
      <c r="D2503" t="s">
        <v>19</v>
      </c>
      <c r="E2503" t="s">
        <v>20</v>
      </c>
      <c r="F2503" t="str">
        <f>"43609"</f>
        <v>43609</v>
      </c>
      <c r="G2503" t="str">
        <f>"545043"</f>
        <v>545043</v>
      </c>
      <c r="H2503" s="2">
        <f>28.7</f>
        <v>28.7</v>
      </c>
      <c r="I2503" t="s">
        <v>27</v>
      </c>
      <c r="J2503" t="s">
        <v>77</v>
      </c>
      <c r="K2503" t="str">
        <f>"333734"</f>
        <v>333734</v>
      </c>
    </row>
    <row r="2504" spans="1:11" x14ac:dyDescent="0.25">
      <c r="A2504">
        <v>2022</v>
      </c>
      <c r="B2504" t="s">
        <v>3039</v>
      </c>
      <c r="C2504" t="s">
        <v>3040</v>
      </c>
      <c r="D2504" t="s">
        <v>19</v>
      </c>
      <c r="E2504" t="s">
        <v>20</v>
      </c>
      <c r="F2504" t="str">
        <f>"43610"</f>
        <v>43610</v>
      </c>
      <c r="G2504" t="str">
        <f>"545044"</f>
        <v>545044</v>
      </c>
      <c r="H2504" s="2">
        <f>3</f>
        <v>3</v>
      </c>
      <c r="I2504" t="s">
        <v>27</v>
      </c>
      <c r="J2504" t="s">
        <v>28</v>
      </c>
      <c r="K2504" t="str">
        <f>"518587"</f>
        <v>518587</v>
      </c>
    </row>
    <row r="2505" spans="1:11" x14ac:dyDescent="0.25">
      <c r="A2505">
        <v>2022</v>
      </c>
      <c r="B2505" t="s">
        <v>3058</v>
      </c>
      <c r="C2505" t="s">
        <v>3059</v>
      </c>
      <c r="D2505" t="s">
        <v>19</v>
      </c>
      <c r="E2505" t="s">
        <v>20</v>
      </c>
      <c r="F2505" t="str">
        <f>"43612-2347"</f>
        <v>43612-2347</v>
      </c>
      <c r="G2505" t="str">
        <f>"545101"</f>
        <v>545101</v>
      </c>
      <c r="H2505" s="2">
        <f>20</f>
        <v>20</v>
      </c>
      <c r="I2505" t="s">
        <v>27</v>
      </c>
      <c r="J2505" t="s">
        <v>51</v>
      </c>
      <c r="K2505" t="str">
        <f>"118019"</f>
        <v>118019</v>
      </c>
    </row>
    <row r="2506" spans="1:11" x14ac:dyDescent="0.25">
      <c r="A2506">
        <v>2022</v>
      </c>
      <c r="B2506" t="s">
        <v>3064</v>
      </c>
      <c r="C2506" t="s">
        <v>3065</v>
      </c>
      <c r="D2506" t="s">
        <v>19</v>
      </c>
      <c r="E2506" t="s">
        <v>20</v>
      </c>
      <c r="F2506" t="str">
        <f>"43613"</f>
        <v>43613</v>
      </c>
      <c r="G2506" t="str">
        <f>"545043"</f>
        <v>545043</v>
      </c>
      <c r="H2506" s="2">
        <f>7.4</f>
        <v>7.4</v>
      </c>
      <c r="I2506" t="s">
        <v>27</v>
      </c>
      <c r="J2506" t="s">
        <v>77</v>
      </c>
      <c r="K2506" t="str">
        <f>"333667"</f>
        <v>333667</v>
      </c>
    </row>
    <row r="2507" spans="1:11" x14ac:dyDescent="0.25">
      <c r="A2507">
        <v>2022</v>
      </c>
      <c r="B2507" t="s">
        <v>3080</v>
      </c>
      <c r="C2507" t="s">
        <v>3081</v>
      </c>
      <c r="D2507" t="s">
        <v>19</v>
      </c>
      <c r="E2507" t="s">
        <v>20</v>
      </c>
      <c r="F2507" t="str">
        <f>"43613"</f>
        <v>43613</v>
      </c>
      <c r="G2507" t="str">
        <f>"Je010722"</f>
        <v>Je010722</v>
      </c>
      <c r="H2507" s="2">
        <f>15</f>
        <v>15</v>
      </c>
      <c r="I2507" t="s">
        <v>15</v>
      </c>
      <c r="J2507" t="s">
        <v>90</v>
      </c>
      <c r="K2507" t="str">
        <f>"60032592"</f>
        <v>60032592</v>
      </c>
    </row>
    <row r="2508" spans="1:11" x14ac:dyDescent="0.25">
      <c r="A2508">
        <v>2022</v>
      </c>
      <c r="B2508" t="s">
        <v>3094</v>
      </c>
      <c r="C2508" t="s">
        <v>3095</v>
      </c>
      <c r="D2508" t="s">
        <v>19</v>
      </c>
      <c r="E2508" t="s">
        <v>20</v>
      </c>
      <c r="F2508" t="str">
        <f>"43614-4953"</f>
        <v>43614-4953</v>
      </c>
      <c r="G2508" t="str">
        <f>"545101"</f>
        <v>545101</v>
      </c>
      <c r="H2508" s="2">
        <f>20</f>
        <v>20</v>
      </c>
      <c r="I2508" t="s">
        <v>27</v>
      </c>
      <c r="J2508" t="s">
        <v>51</v>
      </c>
      <c r="K2508" t="str">
        <f>"118072"</f>
        <v>118072</v>
      </c>
    </row>
    <row r="2509" spans="1:11" x14ac:dyDescent="0.25">
      <c r="A2509">
        <v>2022</v>
      </c>
      <c r="B2509" t="s">
        <v>3106</v>
      </c>
      <c r="C2509" t="s">
        <v>3105</v>
      </c>
      <c r="D2509" t="s">
        <v>19</v>
      </c>
      <c r="E2509" t="s">
        <v>20</v>
      </c>
      <c r="F2509" t="str">
        <f>"43604"</f>
        <v>43604</v>
      </c>
      <c r="G2509" t="str">
        <f>"Je010722"</f>
        <v>Je010722</v>
      </c>
      <c r="H2509" s="2">
        <f>15.08</f>
        <v>15.08</v>
      </c>
      <c r="I2509" t="s">
        <v>15</v>
      </c>
      <c r="J2509" t="s">
        <v>90</v>
      </c>
      <c r="K2509" t="str">
        <f>"60034394"</f>
        <v>60034394</v>
      </c>
    </row>
    <row r="2510" spans="1:11" x14ac:dyDescent="0.25">
      <c r="A2510">
        <v>2022</v>
      </c>
      <c r="B2510" t="s">
        <v>3106</v>
      </c>
      <c r="C2510" t="s">
        <v>3105</v>
      </c>
      <c r="D2510" t="s">
        <v>19</v>
      </c>
      <c r="E2510" t="s">
        <v>20</v>
      </c>
      <c r="F2510" t="str">
        <f>"43604"</f>
        <v>43604</v>
      </c>
      <c r="G2510" t="str">
        <f>"Je010722"</f>
        <v>Je010722</v>
      </c>
      <c r="H2510" s="2">
        <f>15.08</f>
        <v>15.08</v>
      </c>
      <c r="I2510" t="s">
        <v>15</v>
      </c>
      <c r="J2510" t="s">
        <v>90</v>
      </c>
      <c r="K2510" t="str">
        <f>"60029058"</f>
        <v>60029058</v>
      </c>
    </row>
    <row r="2511" spans="1:11" x14ac:dyDescent="0.25">
      <c r="A2511">
        <v>2022</v>
      </c>
      <c r="B2511" t="s">
        <v>3106</v>
      </c>
      <c r="C2511" t="s">
        <v>3105</v>
      </c>
      <c r="D2511" t="s">
        <v>19</v>
      </c>
      <c r="E2511" t="s">
        <v>20</v>
      </c>
      <c r="F2511" t="str">
        <f>"43604"</f>
        <v>43604</v>
      </c>
      <c r="G2511" t="str">
        <f>"Je031622"</f>
        <v>Je031622</v>
      </c>
      <c r="H2511" s="2">
        <f>15.08</f>
        <v>15.08</v>
      </c>
      <c r="I2511" t="s">
        <v>15</v>
      </c>
      <c r="J2511" t="s">
        <v>117</v>
      </c>
      <c r="K2511" t="str">
        <f>"60039420"</f>
        <v>60039420</v>
      </c>
    </row>
    <row r="2512" spans="1:11" x14ac:dyDescent="0.25">
      <c r="A2512">
        <v>2022</v>
      </c>
      <c r="B2512" t="s">
        <v>3117</v>
      </c>
      <c r="C2512" t="s">
        <v>3118</v>
      </c>
      <c r="D2512" t="s">
        <v>125</v>
      </c>
      <c r="E2512" t="s">
        <v>20</v>
      </c>
      <c r="F2512" t="str">
        <f>"43537"</f>
        <v>43537</v>
      </c>
      <c r="G2512" t="str">
        <f>"Je070522"</f>
        <v>Je070522</v>
      </c>
      <c r="H2512" s="2">
        <f>86.37</f>
        <v>86.37</v>
      </c>
      <c r="I2512" t="s">
        <v>15</v>
      </c>
      <c r="J2512" t="s">
        <v>207</v>
      </c>
      <c r="K2512" t="str">
        <f>"60046167"</f>
        <v>60046167</v>
      </c>
    </row>
    <row r="2513" spans="1:11" x14ac:dyDescent="0.25">
      <c r="A2513">
        <v>2022</v>
      </c>
      <c r="B2513" t="s">
        <v>3117</v>
      </c>
      <c r="C2513" t="s">
        <v>3118</v>
      </c>
      <c r="D2513" t="s">
        <v>125</v>
      </c>
      <c r="E2513" t="s">
        <v>20</v>
      </c>
      <c r="F2513" t="str">
        <f>"43537"</f>
        <v>43537</v>
      </c>
      <c r="G2513" t="str">
        <f>"Je070522"</f>
        <v>Je070522</v>
      </c>
      <c r="H2513" s="2">
        <f>28.77</f>
        <v>28.77</v>
      </c>
      <c r="I2513" t="s">
        <v>15</v>
      </c>
      <c r="J2513" t="s">
        <v>207</v>
      </c>
      <c r="K2513" t="str">
        <f>"60046168"</f>
        <v>60046168</v>
      </c>
    </row>
    <row r="2514" spans="1:11" x14ac:dyDescent="0.25">
      <c r="A2514">
        <v>2022</v>
      </c>
      <c r="B2514" t="s">
        <v>3150</v>
      </c>
      <c r="C2514" t="s">
        <v>3151</v>
      </c>
      <c r="D2514" t="s">
        <v>1074</v>
      </c>
      <c r="E2514" t="s">
        <v>20</v>
      </c>
      <c r="F2514" t="str">
        <f>"43551"</f>
        <v>43551</v>
      </c>
      <c r="G2514" t="str">
        <f>"Je031622"</f>
        <v>Je031622</v>
      </c>
      <c r="H2514" s="2">
        <f>37.71</f>
        <v>37.71</v>
      </c>
      <c r="I2514" t="s">
        <v>15</v>
      </c>
      <c r="J2514" t="s">
        <v>117</v>
      </c>
      <c r="K2514" t="str">
        <f>"60039428"</f>
        <v>60039428</v>
      </c>
    </row>
    <row r="2515" spans="1:11" x14ac:dyDescent="0.25">
      <c r="A2515">
        <v>2022</v>
      </c>
      <c r="B2515" t="s">
        <v>3204</v>
      </c>
      <c r="C2515" t="s">
        <v>3205</v>
      </c>
      <c r="D2515" t="s">
        <v>19</v>
      </c>
      <c r="E2515" t="s">
        <v>20</v>
      </c>
      <c r="F2515" t="str">
        <f>"43607"</f>
        <v>43607</v>
      </c>
      <c r="G2515" t="str">
        <f>"Je031622"</f>
        <v>Je031622</v>
      </c>
      <c r="H2515" s="2">
        <f>211.09</f>
        <v>211.09</v>
      </c>
      <c r="I2515" t="s">
        <v>15</v>
      </c>
      <c r="J2515" t="s">
        <v>117</v>
      </c>
      <c r="K2515" t="str">
        <f>"60040210"</f>
        <v>60040210</v>
      </c>
    </row>
    <row r="2516" spans="1:11" x14ac:dyDescent="0.25">
      <c r="A2516">
        <v>2022</v>
      </c>
      <c r="B2516" t="s">
        <v>3246</v>
      </c>
      <c r="C2516" t="s">
        <v>3245</v>
      </c>
      <c r="D2516" t="s">
        <v>19</v>
      </c>
      <c r="E2516" t="s">
        <v>20</v>
      </c>
      <c r="F2516" t="str">
        <f>"43606"</f>
        <v>43606</v>
      </c>
      <c r="G2516" t="str">
        <f>"Je031622"</f>
        <v>Je031622</v>
      </c>
      <c r="H2516" s="2">
        <f>37.71</f>
        <v>37.71</v>
      </c>
      <c r="I2516" t="s">
        <v>15</v>
      </c>
      <c r="J2516" t="s">
        <v>117</v>
      </c>
      <c r="K2516" t="str">
        <f>"60039441"</f>
        <v>60039441</v>
      </c>
    </row>
    <row r="2517" spans="1:11" x14ac:dyDescent="0.25">
      <c r="A2517">
        <v>2022</v>
      </c>
      <c r="B2517" t="s">
        <v>3253</v>
      </c>
      <c r="C2517" t="s">
        <v>3254</v>
      </c>
      <c r="D2517" t="s">
        <v>19</v>
      </c>
      <c r="E2517" t="s">
        <v>20</v>
      </c>
      <c r="F2517" t="str">
        <f>"43615"</f>
        <v>43615</v>
      </c>
      <c r="G2517" t="str">
        <f>"Je11032022"</f>
        <v>Je11032022</v>
      </c>
      <c r="H2517" s="2">
        <f>25</f>
        <v>25</v>
      </c>
      <c r="I2517" t="s">
        <v>15</v>
      </c>
      <c r="J2517" t="s">
        <v>234</v>
      </c>
      <c r="K2517" t="str">
        <f>"60053750"</f>
        <v>60053750</v>
      </c>
    </row>
    <row r="2518" spans="1:11" x14ac:dyDescent="0.25">
      <c r="A2518">
        <v>2022</v>
      </c>
      <c r="B2518" t="s">
        <v>3304</v>
      </c>
      <c r="C2518" t="s">
        <v>3305</v>
      </c>
      <c r="D2518" t="s">
        <v>19</v>
      </c>
      <c r="E2518" t="s">
        <v>20</v>
      </c>
      <c r="F2518" t="str">
        <f>"43620"</f>
        <v>43620</v>
      </c>
      <c r="G2518" t="str">
        <f>"545043"</f>
        <v>545043</v>
      </c>
      <c r="H2518" s="2">
        <f>36.08</f>
        <v>36.08</v>
      </c>
      <c r="I2518" t="s">
        <v>27</v>
      </c>
      <c r="J2518" t="s">
        <v>77</v>
      </c>
      <c r="K2518" t="str">
        <f>"332758"</f>
        <v>332758</v>
      </c>
    </row>
    <row r="2519" spans="1:11" x14ac:dyDescent="0.25">
      <c r="A2519">
        <v>2022</v>
      </c>
      <c r="B2519" t="s">
        <v>3318</v>
      </c>
      <c r="C2519" t="s">
        <v>3319</v>
      </c>
      <c r="D2519" t="s">
        <v>19</v>
      </c>
      <c r="E2519" t="s">
        <v>20</v>
      </c>
      <c r="F2519" t="str">
        <f>"43606-4240"</f>
        <v>43606-4240</v>
      </c>
      <c r="G2519" t="str">
        <f>"545101"</f>
        <v>545101</v>
      </c>
      <c r="H2519" s="2">
        <f>20</f>
        <v>20</v>
      </c>
      <c r="I2519" t="s">
        <v>27</v>
      </c>
      <c r="J2519" t="s">
        <v>51</v>
      </c>
      <c r="K2519" t="str">
        <f>"117354"</f>
        <v>117354</v>
      </c>
    </row>
    <row r="2520" spans="1:11" x14ac:dyDescent="0.25">
      <c r="A2520">
        <v>2022</v>
      </c>
      <c r="B2520" t="s">
        <v>3318</v>
      </c>
      <c r="C2520" t="s">
        <v>3319</v>
      </c>
      <c r="D2520" t="s">
        <v>19</v>
      </c>
      <c r="E2520" t="s">
        <v>20</v>
      </c>
      <c r="F2520" t="str">
        <f>"43606-4240"</f>
        <v>43606-4240</v>
      </c>
      <c r="G2520" t="str">
        <f>"545101"</f>
        <v>545101</v>
      </c>
      <c r="H2520" s="2">
        <f>30</f>
        <v>30</v>
      </c>
      <c r="I2520" t="s">
        <v>27</v>
      </c>
      <c r="J2520" t="s">
        <v>51</v>
      </c>
      <c r="K2520" t="str">
        <f>"117365"</f>
        <v>117365</v>
      </c>
    </row>
    <row r="2521" spans="1:11" x14ac:dyDescent="0.25">
      <c r="A2521">
        <v>2022</v>
      </c>
      <c r="B2521" t="s">
        <v>3350</v>
      </c>
      <c r="C2521" t="s">
        <v>3351</v>
      </c>
      <c r="D2521" t="s">
        <v>19</v>
      </c>
      <c r="E2521" t="s">
        <v>20</v>
      </c>
      <c r="F2521" t="str">
        <f>"43605"</f>
        <v>43605</v>
      </c>
      <c r="G2521" t="str">
        <f>"Je031622"</f>
        <v>Je031622</v>
      </c>
      <c r="H2521" s="2">
        <f>218.04</f>
        <v>218.04</v>
      </c>
      <c r="I2521" t="s">
        <v>15</v>
      </c>
      <c r="J2521" t="s">
        <v>117</v>
      </c>
      <c r="K2521" t="str">
        <f>"60042799"</f>
        <v>60042799</v>
      </c>
    </row>
    <row r="2522" spans="1:11" x14ac:dyDescent="0.25">
      <c r="A2522">
        <v>2022</v>
      </c>
      <c r="B2522" t="s">
        <v>3401</v>
      </c>
      <c r="C2522" t="s">
        <v>3402</v>
      </c>
      <c r="D2522" t="s">
        <v>50</v>
      </c>
      <c r="E2522" t="s">
        <v>20</v>
      </c>
      <c r="F2522" t="str">
        <f>"43560"</f>
        <v>43560</v>
      </c>
      <c r="G2522" t="str">
        <f>"545044"</f>
        <v>545044</v>
      </c>
      <c r="H2522" s="2">
        <f>15</f>
        <v>15</v>
      </c>
      <c r="I2522" t="s">
        <v>27</v>
      </c>
      <c r="J2522" t="s">
        <v>28</v>
      </c>
      <c r="K2522" t="str">
        <f>"518641"</f>
        <v>518641</v>
      </c>
    </row>
    <row r="2523" spans="1:11" x14ac:dyDescent="0.25">
      <c r="A2523">
        <v>2022</v>
      </c>
      <c r="B2523" t="s">
        <v>3401</v>
      </c>
      <c r="C2523" t="s">
        <v>3402</v>
      </c>
      <c r="D2523" t="s">
        <v>50</v>
      </c>
      <c r="E2523" t="s">
        <v>20</v>
      </c>
      <c r="F2523" t="str">
        <f>"43560"</f>
        <v>43560</v>
      </c>
      <c r="G2523" t="str">
        <f>"545044"</f>
        <v>545044</v>
      </c>
      <c r="H2523" s="2">
        <f>23.05</f>
        <v>23.05</v>
      </c>
      <c r="I2523" t="s">
        <v>27</v>
      </c>
      <c r="J2523" t="s">
        <v>28</v>
      </c>
      <c r="K2523" t="str">
        <f>"520127"</f>
        <v>520127</v>
      </c>
    </row>
    <row r="2524" spans="1:11" x14ac:dyDescent="0.25">
      <c r="A2524">
        <v>2022</v>
      </c>
      <c r="B2524" t="s">
        <v>3403</v>
      </c>
      <c r="C2524" t="s">
        <v>928</v>
      </c>
      <c r="D2524" t="s">
        <v>50</v>
      </c>
      <c r="E2524" t="s">
        <v>20</v>
      </c>
      <c r="F2524" t="str">
        <f>"43560"</f>
        <v>43560</v>
      </c>
      <c r="G2524" t="str">
        <f t="shared" ref="G2524:G2530" si="79">"545075"</f>
        <v>545075</v>
      </c>
      <c r="H2524" s="2">
        <f>1</f>
        <v>1</v>
      </c>
      <c r="I2524" t="s">
        <v>27</v>
      </c>
      <c r="J2524" t="s">
        <v>31</v>
      </c>
      <c r="K2524" t="str">
        <f>"33010866"</f>
        <v>33010866</v>
      </c>
    </row>
    <row r="2525" spans="1:11" x14ac:dyDescent="0.25">
      <c r="A2525">
        <v>2022</v>
      </c>
      <c r="B2525" t="s">
        <v>3403</v>
      </c>
      <c r="C2525" t="s">
        <v>928</v>
      </c>
      <c r="D2525" t="s">
        <v>50</v>
      </c>
      <c r="E2525" t="s">
        <v>20</v>
      </c>
      <c r="F2525" t="str">
        <f>"43560"</f>
        <v>43560</v>
      </c>
      <c r="G2525" t="str">
        <f t="shared" si="79"/>
        <v>545075</v>
      </c>
      <c r="H2525" s="2">
        <f>11.84</f>
        <v>11.84</v>
      </c>
      <c r="I2525" t="s">
        <v>27</v>
      </c>
      <c r="J2525" t="s">
        <v>31</v>
      </c>
      <c r="K2525" t="str">
        <f>"33010867"</f>
        <v>33010867</v>
      </c>
    </row>
    <row r="2526" spans="1:11" x14ac:dyDescent="0.25">
      <c r="A2526">
        <v>2022</v>
      </c>
      <c r="B2526" t="s">
        <v>3403</v>
      </c>
      <c r="C2526" t="s">
        <v>928</v>
      </c>
      <c r="D2526" t="s">
        <v>50</v>
      </c>
      <c r="E2526" t="s">
        <v>20</v>
      </c>
      <c r="F2526" t="str">
        <f>"43560"</f>
        <v>43560</v>
      </c>
      <c r="G2526" t="str">
        <f t="shared" si="79"/>
        <v>545075</v>
      </c>
      <c r="H2526" s="2">
        <f>28.09</f>
        <v>28.09</v>
      </c>
      <c r="I2526" t="s">
        <v>27</v>
      </c>
      <c r="J2526" t="s">
        <v>31</v>
      </c>
      <c r="K2526" t="str">
        <f>"33010962"</f>
        <v>33010962</v>
      </c>
    </row>
    <row r="2527" spans="1:11" x14ac:dyDescent="0.25">
      <c r="A2527">
        <v>2022</v>
      </c>
      <c r="B2527" t="s">
        <v>3403</v>
      </c>
      <c r="C2527" t="s">
        <v>3404</v>
      </c>
      <c r="D2527" t="s">
        <v>58</v>
      </c>
      <c r="E2527" t="s">
        <v>20</v>
      </c>
      <c r="F2527" t="str">
        <f>"43616"</f>
        <v>43616</v>
      </c>
      <c r="G2527" t="str">
        <f t="shared" si="79"/>
        <v>545075</v>
      </c>
      <c r="H2527" s="2">
        <f>9.15</f>
        <v>9.15</v>
      </c>
      <c r="I2527" t="s">
        <v>27</v>
      </c>
      <c r="J2527" t="s">
        <v>31</v>
      </c>
      <c r="K2527" t="str">
        <f>"44008649"</f>
        <v>44008649</v>
      </c>
    </row>
    <row r="2528" spans="1:11" x14ac:dyDescent="0.25">
      <c r="A2528">
        <v>2022</v>
      </c>
      <c r="B2528" t="s">
        <v>3403</v>
      </c>
      <c r="C2528" t="s">
        <v>928</v>
      </c>
      <c r="D2528" t="s">
        <v>50</v>
      </c>
      <c r="E2528" t="s">
        <v>20</v>
      </c>
      <c r="F2528" t="str">
        <f>"43560"</f>
        <v>43560</v>
      </c>
      <c r="G2528" t="str">
        <f t="shared" si="79"/>
        <v>545075</v>
      </c>
      <c r="H2528" s="2">
        <f>28</f>
        <v>28</v>
      </c>
      <c r="I2528" t="s">
        <v>27</v>
      </c>
      <c r="J2528" t="s">
        <v>31</v>
      </c>
      <c r="K2528" t="str">
        <f>"44008899"</f>
        <v>44008899</v>
      </c>
    </row>
    <row r="2529" spans="1:11" x14ac:dyDescent="0.25">
      <c r="A2529">
        <v>2022</v>
      </c>
      <c r="B2529" t="s">
        <v>3403</v>
      </c>
      <c r="C2529" t="s">
        <v>928</v>
      </c>
      <c r="D2529" t="s">
        <v>50</v>
      </c>
      <c r="E2529" t="s">
        <v>20</v>
      </c>
      <c r="F2529" t="str">
        <f>"43560"</f>
        <v>43560</v>
      </c>
      <c r="G2529" t="str">
        <f t="shared" si="79"/>
        <v>545075</v>
      </c>
      <c r="H2529" s="2">
        <f>6.51</f>
        <v>6.51</v>
      </c>
      <c r="I2529" t="s">
        <v>27</v>
      </c>
      <c r="J2529" t="s">
        <v>31</v>
      </c>
      <c r="K2529" t="str">
        <f>"44008851"</f>
        <v>44008851</v>
      </c>
    </row>
    <row r="2530" spans="1:11" x14ac:dyDescent="0.25">
      <c r="A2530">
        <v>2022</v>
      </c>
      <c r="B2530" t="s">
        <v>3403</v>
      </c>
      <c r="C2530" t="s">
        <v>928</v>
      </c>
      <c r="D2530" t="s">
        <v>50</v>
      </c>
      <c r="E2530" t="s">
        <v>20</v>
      </c>
      <c r="F2530" t="str">
        <f>"43560"</f>
        <v>43560</v>
      </c>
      <c r="G2530" t="str">
        <f t="shared" si="79"/>
        <v>545075</v>
      </c>
      <c r="H2530" s="2">
        <f>13.57</f>
        <v>13.57</v>
      </c>
      <c r="I2530" t="s">
        <v>27</v>
      </c>
      <c r="J2530" t="s">
        <v>31</v>
      </c>
      <c r="K2530" t="str">
        <f>"44008988"</f>
        <v>44008988</v>
      </c>
    </row>
    <row r="2531" spans="1:11" x14ac:dyDescent="0.25">
      <c r="A2531">
        <v>2022</v>
      </c>
      <c r="B2531" t="s">
        <v>3424</v>
      </c>
      <c r="C2531" t="s">
        <v>3425</v>
      </c>
      <c r="D2531" t="s">
        <v>3426</v>
      </c>
      <c r="E2531" t="s">
        <v>20</v>
      </c>
      <c r="F2531" t="str">
        <f>"44136"</f>
        <v>44136</v>
      </c>
      <c r="G2531" t="str">
        <f>"545044"</f>
        <v>545044</v>
      </c>
      <c r="H2531" s="2">
        <f>100</f>
        <v>100</v>
      </c>
      <c r="I2531" t="s">
        <v>27</v>
      </c>
      <c r="J2531" t="s">
        <v>28</v>
      </c>
      <c r="K2531" t="str">
        <f>"518730"</f>
        <v>518730</v>
      </c>
    </row>
    <row r="2532" spans="1:11" x14ac:dyDescent="0.25">
      <c r="A2532">
        <v>2022</v>
      </c>
      <c r="B2532" t="s">
        <v>3442</v>
      </c>
      <c r="C2532" t="s">
        <v>3443</v>
      </c>
      <c r="D2532" t="s">
        <v>19</v>
      </c>
      <c r="E2532" t="s">
        <v>20</v>
      </c>
      <c r="F2532" t="str">
        <f>"43607"</f>
        <v>43607</v>
      </c>
      <c r="G2532" t="str">
        <f>"Je11032022"</f>
        <v>Je11032022</v>
      </c>
      <c r="H2532" s="2">
        <f>25</f>
        <v>25</v>
      </c>
      <c r="I2532" t="s">
        <v>15</v>
      </c>
      <c r="J2532" t="s">
        <v>234</v>
      </c>
      <c r="K2532" t="str">
        <f>"60053754"</f>
        <v>60053754</v>
      </c>
    </row>
    <row r="2533" spans="1:11" x14ac:dyDescent="0.25">
      <c r="A2533">
        <v>2022</v>
      </c>
      <c r="B2533" t="s">
        <v>3450</v>
      </c>
      <c r="C2533" t="s">
        <v>3451</v>
      </c>
      <c r="D2533" t="s">
        <v>19</v>
      </c>
      <c r="E2533" t="s">
        <v>20</v>
      </c>
      <c r="F2533" t="str">
        <f>"43609"</f>
        <v>43609</v>
      </c>
      <c r="G2533" t="str">
        <f>"Je11032022"</f>
        <v>Je11032022</v>
      </c>
      <c r="H2533" s="2">
        <f>25</f>
        <v>25</v>
      </c>
      <c r="I2533" t="s">
        <v>15</v>
      </c>
      <c r="J2533" t="s">
        <v>234</v>
      </c>
      <c r="K2533" t="str">
        <f>"60053757"</f>
        <v>60053757</v>
      </c>
    </row>
    <row r="2534" spans="1:11" x14ac:dyDescent="0.25">
      <c r="A2534">
        <v>2022</v>
      </c>
      <c r="B2534" t="s">
        <v>3462</v>
      </c>
      <c r="C2534" t="s">
        <v>3455</v>
      </c>
      <c r="D2534" t="s">
        <v>19</v>
      </c>
      <c r="E2534" t="s">
        <v>20</v>
      </c>
      <c r="F2534" t="str">
        <f>"43617-2234"</f>
        <v>43617-2234</v>
      </c>
      <c r="G2534" t="str">
        <f>"545101"</f>
        <v>545101</v>
      </c>
      <c r="H2534" s="2">
        <f>50</f>
        <v>50</v>
      </c>
      <c r="I2534" t="s">
        <v>27</v>
      </c>
      <c r="J2534" t="s">
        <v>51</v>
      </c>
      <c r="K2534" t="str">
        <f>"117668"</f>
        <v>117668</v>
      </c>
    </row>
    <row r="2535" spans="1:11" x14ac:dyDescent="0.25">
      <c r="A2535">
        <v>2022</v>
      </c>
      <c r="B2535" t="s">
        <v>3471</v>
      </c>
      <c r="C2535" t="s">
        <v>3472</v>
      </c>
      <c r="D2535" t="s">
        <v>19</v>
      </c>
      <c r="E2535" t="s">
        <v>20</v>
      </c>
      <c r="F2535" t="str">
        <f>"43614-5465"</f>
        <v>43614-5465</v>
      </c>
      <c r="G2535" t="str">
        <f>"545101"</f>
        <v>545101</v>
      </c>
      <c r="H2535" s="2">
        <f>20</f>
        <v>20</v>
      </c>
      <c r="I2535" t="s">
        <v>27</v>
      </c>
      <c r="J2535" t="s">
        <v>51</v>
      </c>
      <c r="K2535" t="str">
        <f>"116635"</f>
        <v>116635</v>
      </c>
    </row>
    <row r="2536" spans="1:11" x14ac:dyDescent="0.25">
      <c r="A2536">
        <v>2022</v>
      </c>
      <c r="B2536" t="s">
        <v>3527</v>
      </c>
      <c r="C2536" t="s">
        <v>3528</v>
      </c>
      <c r="D2536" t="s">
        <v>19</v>
      </c>
      <c r="E2536" t="s">
        <v>20</v>
      </c>
      <c r="F2536" t="str">
        <f>"43608"</f>
        <v>43608</v>
      </c>
      <c r="G2536" t="str">
        <f>"545044"</f>
        <v>545044</v>
      </c>
      <c r="H2536" s="2">
        <f>20</f>
        <v>20</v>
      </c>
      <c r="I2536" t="s">
        <v>27</v>
      </c>
      <c r="J2536" t="s">
        <v>28</v>
      </c>
      <c r="K2536" t="str">
        <f>"520310"</f>
        <v>520310</v>
      </c>
    </row>
    <row r="2537" spans="1:11" x14ac:dyDescent="0.25">
      <c r="A2537">
        <v>2022</v>
      </c>
      <c r="B2537" t="s">
        <v>3533</v>
      </c>
      <c r="C2537" t="s">
        <v>3534</v>
      </c>
      <c r="D2537" t="s">
        <v>3535</v>
      </c>
      <c r="E2537" t="s">
        <v>3536</v>
      </c>
      <c r="F2537" t="str">
        <f>"60831"</f>
        <v>60831</v>
      </c>
      <c r="G2537" t="str">
        <f>"Je11032022"</f>
        <v>Je11032022</v>
      </c>
      <c r="H2537" s="2">
        <f>62.07</f>
        <v>62.07</v>
      </c>
      <c r="I2537" t="s">
        <v>15</v>
      </c>
      <c r="J2537" t="s">
        <v>234</v>
      </c>
      <c r="K2537" t="str">
        <f>"60056515"</f>
        <v>60056515</v>
      </c>
    </row>
    <row r="2538" spans="1:11" x14ac:dyDescent="0.25">
      <c r="A2538">
        <v>2022</v>
      </c>
      <c r="B2538" t="s">
        <v>3556</v>
      </c>
      <c r="C2538" t="s">
        <v>3557</v>
      </c>
      <c r="D2538" t="s">
        <v>64</v>
      </c>
      <c r="E2538" t="s">
        <v>20</v>
      </c>
      <c r="F2538" t="str">
        <f>"43566"</f>
        <v>43566</v>
      </c>
      <c r="G2538" t="str">
        <f>"Je010722"</f>
        <v>Je010722</v>
      </c>
      <c r="H2538" s="2">
        <f>60.34</f>
        <v>60.34</v>
      </c>
      <c r="I2538" t="s">
        <v>15</v>
      </c>
      <c r="J2538" t="s">
        <v>90</v>
      </c>
      <c r="K2538" t="str">
        <f>"60026346"</f>
        <v>60026346</v>
      </c>
    </row>
    <row r="2539" spans="1:11" x14ac:dyDescent="0.25">
      <c r="A2539">
        <v>2022</v>
      </c>
      <c r="B2539" t="s">
        <v>3566</v>
      </c>
      <c r="C2539" t="s">
        <v>3567</v>
      </c>
      <c r="D2539" t="s">
        <v>50</v>
      </c>
      <c r="E2539" t="s">
        <v>20</v>
      </c>
      <c r="F2539" t="str">
        <f>"43560"</f>
        <v>43560</v>
      </c>
      <c r="G2539" t="str">
        <f>"545044"</f>
        <v>545044</v>
      </c>
      <c r="H2539" s="2">
        <f>200</f>
        <v>200</v>
      </c>
      <c r="I2539" t="s">
        <v>27</v>
      </c>
      <c r="J2539" t="s">
        <v>28</v>
      </c>
      <c r="K2539" t="str">
        <f>"518712"</f>
        <v>518712</v>
      </c>
    </row>
    <row r="2540" spans="1:11" x14ac:dyDescent="0.25">
      <c r="A2540">
        <v>2022</v>
      </c>
      <c r="B2540" t="s">
        <v>3566</v>
      </c>
      <c r="C2540" t="s">
        <v>3567</v>
      </c>
      <c r="D2540" t="s">
        <v>50</v>
      </c>
      <c r="E2540" t="s">
        <v>20</v>
      </c>
      <c r="F2540" t="str">
        <f>"43560"</f>
        <v>43560</v>
      </c>
      <c r="G2540" t="str">
        <f>"545044"</f>
        <v>545044</v>
      </c>
      <c r="H2540" s="2">
        <f>200</f>
        <v>200</v>
      </c>
      <c r="I2540" t="s">
        <v>27</v>
      </c>
      <c r="J2540" t="s">
        <v>28</v>
      </c>
      <c r="K2540" t="str">
        <f>"518524"</f>
        <v>518524</v>
      </c>
    </row>
    <row r="2541" spans="1:11" x14ac:dyDescent="0.25">
      <c r="A2541">
        <v>2022</v>
      </c>
      <c r="B2541" t="s">
        <v>3572</v>
      </c>
      <c r="C2541" t="s">
        <v>3573</v>
      </c>
      <c r="D2541" t="s">
        <v>45</v>
      </c>
      <c r="E2541" t="s">
        <v>20</v>
      </c>
      <c r="F2541" t="str">
        <f>"43542"</f>
        <v>43542</v>
      </c>
      <c r="G2541" t="str">
        <f>"Je070522"</f>
        <v>Je070522</v>
      </c>
      <c r="H2541" s="2">
        <f>130.18</f>
        <v>130.18</v>
      </c>
      <c r="I2541" t="s">
        <v>15</v>
      </c>
      <c r="J2541" t="s">
        <v>207</v>
      </c>
      <c r="K2541" t="str">
        <f>"60048165"</f>
        <v>60048165</v>
      </c>
    </row>
    <row r="2542" spans="1:11" x14ac:dyDescent="0.25">
      <c r="A2542">
        <v>2022</v>
      </c>
      <c r="B2542" t="s">
        <v>3595</v>
      </c>
      <c r="C2542" t="s">
        <v>3596</v>
      </c>
      <c r="D2542" t="s">
        <v>19</v>
      </c>
      <c r="E2542" t="s">
        <v>20</v>
      </c>
      <c r="F2542" t="str">
        <f>"43606-1659"</f>
        <v>43606-1659</v>
      </c>
      <c r="G2542" t="str">
        <f>"545101"</f>
        <v>545101</v>
      </c>
      <c r="H2542" s="2">
        <f>10</f>
        <v>10</v>
      </c>
      <c r="I2542" t="s">
        <v>27</v>
      </c>
      <c r="J2542" t="s">
        <v>51</v>
      </c>
      <c r="K2542" t="str">
        <f>"116406"</f>
        <v>116406</v>
      </c>
    </row>
    <row r="2543" spans="1:11" x14ac:dyDescent="0.25">
      <c r="A2543">
        <v>2022</v>
      </c>
      <c r="B2543" t="s">
        <v>3622</v>
      </c>
      <c r="C2543" t="s">
        <v>3623</v>
      </c>
      <c r="D2543" t="s">
        <v>19</v>
      </c>
      <c r="E2543" t="s">
        <v>20</v>
      </c>
      <c r="F2543" t="str">
        <f>"43612"</f>
        <v>43612</v>
      </c>
      <c r="G2543" t="str">
        <f>"545043"</f>
        <v>545043</v>
      </c>
      <c r="H2543" s="2">
        <f>12.85</f>
        <v>12.85</v>
      </c>
      <c r="I2543" t="s">
        <v>27</v>
      </c>
      <c r="J2543" t="s">
        <v>77</v>
      </c>
      <c r="K2543" t="str">
        <f>"333720"</f>
        <v>333720</v>
      </c>
    </row>
    <row r="2544" spans="1:11" x14ac:dyDescent="0.25">
      <c r="A2544">
        <v>2022</v>
      </c>
      <c r="B2544" t="s">
        <v>3624</v>
      </c>
      <c r="C2544" t="s">
        <v>3625</v>
      </c>
      <c r="D2544" t="s">
        <v>3626</v>
      </c>
      <c r="E2544" t="s">
        <v>14</v>
      </c>
      <c r="F2544" t="str">
        <f t="shared" ref="F2544:F2549" si="80">"48067"</f>
        <v>48067</v>
      </c>
      <c r="G2544" t="str">
        <f>"Je031622"</f>
        <v>Je031622</v>
      </c>
      <c r="H2544" s="2">
        <f t="shared" ref="H2544:H2549" si="81">60.34</f>
        <v>60.34</v>
      </c>
      <c r="I2544" t="s">
        <v>15</v>
      </c>
      <c r="J2544" t="s">
        <v>117</v>
      </c>
      <c r="K2544" t="str">
        <f>"60041809"</f>
        <v>60041809</v>
      </c>
    </row>
    <row r="2545" spans="1:11" x14ac:dyDescent="0.25">
      <c r="A2545">
        <v>2022</v>
      </c>
      <c r="B2545" t="s">
        <v>3624</v>
      </c>
      <c r="C2545" t="s">
        <v>3625</v>
      </c>
      <c r="D2545" t="s">
        <v>3626</v>
      </c>
      <c r="E2545" t="s">
        <v>14</v>
      </c>
      <c r="F2545" t="str">
        <f t="shared" si="80"/>
        <v>48067</v>
      </c>
      <c r="G2545" t="str">
        <f>"Je031622"</f>
        <v>Je031622</v>
      </c>
      <c r="H2545" s="2">
        <f t="shared" si="81"/>
        <v>60.34</v>
      </c>
      <c r="I2545" t="s">
        <v>15</v>
      </c>
      <c r="J2545" t="s">
        <v>117</v>
      </c>
      <c r="K2545" t="str">
        <f>"60039458"</f>
        <v>60039458</v>
      </c>
    </row>
    <row r="2546" spans="1:11" x14ac:dyDescent="0.25">
      <c r="A2546">
        <v>2022</v>
      </c>
      <c r="B2546" t="s">
        <v>3624</v>
      </c>
      <c r="C2546" t="s">
        <v>3625</v>
      </c>
      <c r="D2546" t="s">
        <v>3626</v>
      </c>
      <c r="E2546" t="s">
        <v>14</v>
      </c>
      <c r="F2546" t="str">
        <f t="shared" si="80"/>
        <v>48067</v>
      </c>
      <c r="G2546" t="str">
        <f>"Je010722"</f>
        <v>Je010722</v>
      </c>
      <c r="H2546" s="2">
        <f t="shared" si="81"/>
        <v>60.34</v>
      </c>
      <c r="I2546" t="s">
        <v>15</v>
      </c>
      <c r="J2546" t="s">
        <v>90</v>
      </c>
      <c r="K2546" t="str">
        <f>"60029100"</f>
        <v>60029100</v>
      </c>
    </row>
    <row r="2547" spans="1:11" x14ac:dyDescent="0.25">
      <c r="A2547">
        <v>2022</v>
      </c>
      <c r="B2547" t="s">
        <v>3624</v>
      </c>
      <c r="C2547" t="s">
        <v>3625</v>
      </c>
      <c r="D2547" t="s">
        <v>3626</v>
      </c>
      <c r="E2547" t="s">
        <v>14</v>
      </c>
      <c r="F2547" t="str">
        <f t="shared" si="80"/>
        <v>48067</v>
      </c>
      <c r="G2547" t="str">
        <f>"Je010722"</f>
        <v>Je010722</v>
      </c>
      <c r="H2547" s="2">
        <f t="shared" si="81"/>
        <v>60.34</v>
      </c>
      <c r="I2547" t="s">
        <v>15</v>
      </c>
      <c r="J2547" t="s">
        <v>90</v>
      </c>
      <c r="K2547" t="str">
        <f>"60034433"</f>
        <v>60034433</v>
      </c>
    </row>
    <row r="2548" spans="1:11" x14ac:dyDescent="0.25">
      <c r="A2548">
        <v>2022</v>
      </c>
      <c r="B2548" t="s">
        <v>3624</v>
      </c>
      <c r="C2548" t="s">
        <v>3625</v>
      </c>
      <c r="D2548" t="s">
        <v>3626</v>
      </c>
      <c r="E2548" t="s">
        <v>14</v>
      </c>
      <c r="F2548" t="str">
        <f t="shared" si="80"/>
        <v>48067</v>
      </c>
      <c r="G2548" t="str">
        <f>"Je010722"</f>
        <v>Je010722</v>
      </c>
      <c r="H2548" s="2">
        <f t="shared" si="81"/>
        <v>60.34</v>
      </c>
      <c r="I2548" t="s">
        <v>15</v>
      </c>
      <c r="J2548" t="s">
        <v>90</v>
      </c>
      <c r="K2548" t="str">
        <f>"60026349"</f>
        <v>60026349</v>
      </c>
    </row>
    <row r="2549" spans="1:11" x14ac:dyDescent="0.25">
      <c r="A2549">
        <v>2022</v>
      </c>
      <c r="B2549" t="s">
        <v>3624</v>
      </c>
      <c r="C2549" t="s">
        <v>3625</v>
      </c>
      <c r="D2549" t="s">
        <v>3626</v>
      </c>
      <c r="E2549" t="s">
        <v>14</v>
      </c>
      <c r="F2549" t="str">
        <f t="shared" si="80"/>
        <v>48067</v>
      </c>
      <c r="G2549" t="str">
        <f>"Je031622"</f>
        <v>Je031622</v>
      </c>
      <c r="H2549" s="2">
        <f t="shared" si="81"/>
        <v>60.34</v>
      </c>
      <c r="I2549" t="s">
        <v>15</v>
      </c>
      <c r="J2549" t="s">
        <v>117</v>
      </c>
      <c r="K2549" t="str">
        <f>"60036884"</f>
        <v>60036884</v>
      </c>
    </row>
    <row r="2550" spans="1:11" x14ac:dyDescent="0.25">
      <c r="A2550">
        <v>2022</v>
      </c>
      <c r="B2550" t="s">
        <v>3679</v>
      </c>
      <c r="C2550" t="s">
        <v>3681</v>
      </c>
      <c r="D2550" t="s">
        <v>19</v>
      </c>
      <c r="E2550" t="s">
        <v>20</v>
      </c>
      <c r="F2550" t="str">
        <f>"43606"</f>
        <v>43606</v>
      </c>
      <c r="G2550" t="str">
        <f>"545044"</f>
        <v>545044</v>
      </c>
      <c r="H2550" s="2">
        <f>5</f>
        <v>5</v>
      </c>
      <c r="I2550" t="s">
        <v>27</v>
      </c>
      <c r="J2550" t="s">
        <v>28</v>
      </c>
      <c r="K2550" t="str">
        <f>"518477"</f>
        <v>518477</v>
      </c>
    </row>
    <row r="2551" spans="1:11" x14ac:dyDescent="0.25">
      <c r="A2551">
        <v>2022</v>
      </c>
      <c r="B2551" t="s">
        <v>3679</v>
      </c>
      <c r="C2551" t="s">
        <v>3681</v>
      </c>
      <c r="D2551" t="s">
        <v>19</v>
      </c>
      <c r="E2551" t="s">
        <v>20</v>
      </c>
      <c r="F2551" t="str">
        <f>"43606"</f>
        <v>43606</v>
      </c>
      <c r="G2551" t="str">
        <f>"545044"</f>
        <v>545044</v>
      </c>
      <c r="H2551" s="2">
        <f>10</f>
        <v>10</v>
      </c>
      <c r="I2551" t="s">
        <v>27</v>
      </c>
      <c r="J2551" t="s">
        <v>28</v>
      </c>
      <c r="K2551" t="str">
        <f>"518729"</f>
        <v>518729</v>
      </c>
    </row>
    <row r="2552" spans="1:11" x14ac:dyDescent="0.25">
      <c r="A2552">
        <v>2022</v>
      </c>
      <c r="B2552" t="s">
        <v>3679</v>
      </c>
      <c r="C2552" t="s">
        <v>3681</v>
      </c>
      <c r="D2552" t="s">
        <v>19</v>
      </c>
      <c r="E2552" t="s">
        <v>20</v>
      </c>
      <c r="F2552" t="str">
        <f>"43606"</f>
        <v>43606</v>
      </c>
      <c r="G2552" t="str">
        <f>"545044"</f>
        <v>545044</v>
      </c>
      <c r="H2552" s="2">
        <f>20</f>
        <v>20</v>
      </c>
      <c r="I2552" t="s">
        <v>27</v>
      </c>
      <c r="J2552" t="s">
        <v>28</v>
      </c>
      <c r="K2552" t="str">
        <f>"519511"</f>
        <v>519511</v>
      </c>
    </row>
    <row r="2553" spans="1:11" x14ac:dyDescent="0.25">
      <c r="A2553">
        <v>2022</v>
      </c>
      <c r="B2553" t="s">
        <v>3686</v>
      </c>
      <c r="C2553" t="s">
        <v>3687</v>
      </c>
      <c r="D2553" t="s">
        <v>19</v>
      </c>
      <c r="E2553" t="s">
        <v>20</v>
      </c>
      <c r="F2553" t="str">
        <f>"43611-2486"</f>
        <v>43611-2486</v>
      </c>
      <c r="G2553" t="str">
        <f>"545101"</f>
        <v>545101</v>
      </c>
      <c r="H2553" s="2">
        <f>50</f>
        <v>50</v>
      </c>
      <c r="I2553" t="s">
        <v>27</v>
      </c>
      <c r="J2553" t="s">
        <v>51</v>
      </c>
      <c r="K2553" t="str">
        <f>"117615"</f>
        <v>117615</v>
      </c>
    </row>
    <row r="2554" spans="1:11" x14ac:dyDescent="0.25">
      <c r="A2554">
        <v>2022</v>
      </c>
      <c r="B2554" t="s">
        <v>3690</v>
      </c>
      <c r="C2554" t="s">
        <v>3691</v>
      </c>
      <c r="D2554" t="s">
        <v>19</v>
      </c>
      <c r="E2554" t="s">
        <v>20</v>
      </c>
      <c r="F2554" t="str">
        <f>"43623"</f>
        <v>43623</v>
      </c>
      <c r="G2554" t="str">
        <f>"545044"</f>
        <v>545044</v>
      </c>
      <c r="H2554" s="2">
        <f>12.5</f>
        <v>12.5</v>
      </c>
      <c r="I2554" t="s">
        <v>27</v>
      </c>
      <c r="J2554" t="s">
        <v>28</v>
      </c>
      <c r="K2554" t="str">
        <f>"519971"</f>
        <v>519971</v>
      </c>
    </row>
    <row r="2555" spans="1:11" x14ac:dyDescent="0.25">
      <c r="A2555">
        <v>2022</v>
      </c>
      <c r="B2555" t="s">
        <v>3690</v>
      </c>
      <c r="C2555" t="s">
        <v>3691</v>
      </c>
      <c r="D2555" t="s">
        <v>19</v>
      </c>
      <c r="E2555" t="s">
        <v>20</v>
      </c>
      <c r="F2555" t="str">
        <f>"43623"</f>
        <v>43623</v>
      </c>
      <c r="G2555" t="str">
        <f>"545044"</f>
        <v>545044</v>
      </c>
      <c r="H2555" s="2">
        <f>10</f>
        <v>10</v>
      </c>
      <c r="I2555" t="s">
        <v>27</v>
      </c>
      <c r="J2555" t="s">
        <v>28</v>
      </c>
      <c r="K2555" t="str">
        <f>"520397"</f>
        <v>520397</v>
      </c>
    </row>
    <row r="2556" spans="1:11" x14ac:dyDescent="0.25">
      <c r="A2556">
        <v>2022</v>
      </c>
      <c r="B2556" t="s">
        <v>3700</v>
      </c>
      <c r="C2556" t="s">
        <v>3701</v>
      </c>
      <c r="D2556" t="s">
        <v>899</v>
      </c>
      <c r="E2556" t="s">
        <v>20</v>
      </c>
      <c r="F2556" t="str">
        <f>"43412-9756"</f>
        <v>43412-9756</v>
      </c>
      <c r="G2556" t="str">
        <f>"545101"</f>
        <v>545101</v>
      </c>
      <c r="H2556" s="2">
        <f>30</f>
        <v>30</v>
      </c>
      <c r="I2556" t="s">
        <v>27</v>
      </c>
      <c r="J2556" t="s">
        <v>51</v>
      </c>
      <c r="K2556" t="str">
        <f>"118341"</f>
        <v>118341</v>
      </c>
    </row>
    <row r="2557" spans="1:11" x14ac:dyDescent="0.25">
      <c r="A2557">
        <v>2022</v>
      </c>
      <c r="B2557" t="s">
        <v>3702</v>
      </c>
      <c r="C2557" t="s">
        <v>3703</v>
      </c>
      <c r="D2557" t="s">
        <v>1163</v>
      </c>
      <c r="E2557" t="s">
        <v>20</v>
      </c>
      <c r="F2557" t="str">
        <f>"45255-4237"</f>
        <v>45255-4237</v>
      </c>
      <c r="G2557" t="str">
        <f>"Je031622"</f>
        <v>Je031622</v>
      </c>
      <c r="H2557" s="2">
        <f>221</f>
        <v>221</v>
      </c>
      <c r="I2557" t="s">
        <v>15</v>
      </c>
      <c r="J2557" t="s">
        <v>117</v>
      </c>
      <c r="K2557" t="str">
        <f>"60037777"</f>
        <v>60037777</v>
      </c>
    </row>
    <row r="2558" spans="1:11" x14ac:dyDescent="0.25">
      <c r="A2558">
        <v>2022</v>
      </c>
      <c r="B2558" t="s">
        <v>3763</v>
      </c>
      <c r="C2558" t="s">
        <v>3764</v>
      </c>
      <c r="D2558" t="s">
        <v>19</v>
      </c>
      <c r="E2558" t="s">
        <v>20</v>
      </c>
      <c r="F2558" t="str">
        <f>"43612"</f>
        <v>43612</v>
      </c>
      <c r="G2558" t="str">
        <f>"Je11032022"</f>
        <v>Je11032022</v>
      </c>
      <c r="H2558" s="2">
        <f>25</f>
        <v>25</v>
      </c>
      <c r="I2558" t="s">
        <v>15</v>
      </c>
      <c r="J2558" t="s">
        <v>234</v>
      </c>
      <c r="K2558" t="str">
        <f>"60053762"</f>
        <v>60053762</v>
      </c>
    </row>
    <row r="2559" spans="1:11" x14ac:dyDescent="0.25">
      <c r="A2559">
        <v>2022</v>
      </c>
      <c r="B2559" t="s">
        <v>3784</v>
      </c>
      <c r="C2559" t="s">
        <v>3785</v>
      </c>
      <c r="D2559" t="s">
        <v>19</v>
      </c>
      <c r="E2559" t="s">
        <v>20</v>
      </c>
      <c r="F2559" t="str">
        <f>"43611-2546"</f>
        <v>43611-2546</v>
      </c>
      <c r="G2559" t="str">
        <f>"545101"</f>
        <v>545101</v>
      </c>
      <c r="H2559" s="2">
        <f>10</f>
        <v>10</v>
      </c>
      <c r="I2559" t="s">
        <v>27</v>
      </c>
      <c r="J2559" t="s">
        <v>51</v>
      </c>
      <c r="K2559" t="str">
        <f>"116213"</f>
        <v>116213</v>
      </c>
    </row>
    <row r="2560" spans="1:11" x14ac:dyDescent="0.25">
      <c r="A2560">
        <v>2022</v>
      </c>
      <c r="B2560" t="s">
        <v>3815</v>
      </c>
      <c r="C2560" t="s">
        <v>3816</v>
      </c>
      <c r="D2560" t="s">
        <v>19</v>
      </c>
      <c r="E2560" t="s">
        <v>20</v>
      </c>
      <c r="F2560" t="str">
        <f>"43604"</f>
        <v>43604</v>
      </c>
      <c r="G2560" t="str">
        <f>"Je010722"</f>
        <v>Je010722</v>
      </c>
      <c r="H2560" s="2">
        <f>300</f>
        <v>300</v>
      </c>
      <c r="I2560" t="s">
        <v>15</v>
      </c>
      <c r="J2560" t="s">
        <v>90</v>
      </c>
      <c r="K2560" t="str">
        <f>"60028177"</f>
        <v>60028177</v>
      </c>
    </row>
    <row r="2561" spans="1:11" x14ac:dyDescent="0.25">
      <c r="A2561">
        <v>2022</v>
      </c>
      <c r="B2561" t="s">
        <v>3828</v>
      </c>
      <c r="C2561" t="s">
        <v>3829</v>
      </c>
      <c r="D2561" t="s">
        <v>125</v>
      </c>
      <c r="E2561" t="s">
        <v>20</v>
      </c>
      <c r="F2561" t="str">
        <f>"43537"</f>
        <v>43537</v>
      </c>
      <c r="G2561" t="str">
        <f>"Je11032022"</f>
        <v>Je11032022</v>
      </c>
      <c r="H2561" s="2">
        <f>25</f>
        <v>25</v>
      </c>
      <c r="I2561" t="s">
        <v>15</v>
      </c>
      <c r="J2561" t="s">
        <v>234</v>
      </c>
      <c r="K2561" t="str">
        <f>"60053777"</f>
        <v>60053777</v>
      </c>
    </row>
    <row r="2562" spans="1:11" x14ac:dyDescent="0.25">
      <c r="A2562">
        <v>2022</v>
      </c>
      <c r="B2562" t="s">
        <v>3851</v>
      </c>
      <c r="C2562" t="s">
        <v>3852</v>
      </c>
      <c r="D2562" t="s">
        <v>3853</v>
      </c>
      <c r="E2562" t="s">
        <v>20</v>
      </c>
      <c r="F2562" t="str">
        <f>"43447"</f>
        <v>43447</v>
      </c>
      <c r="G2562" t="str">
        <f>"Je010722"</f>
        <v>Je010722</v>
      </c>
      <c r="H2562" s="2">
        <f>105.6</f>
        <v>105.6</v>
      </c>
      <c r="I2562" t="s">
        <v>15</v>
      </c>
      <c r="J2562" t="s">
        <v>90</v>
      </c>
      <c r="K2562" t="str">
        <f>"60026362"</f>
        <v>60026362</v>
      </c>
    </row>
    <row r="2563" spans="1:11" x14ac:dyDescent="0.25">
      <c r="A2563">
        <v>2022</v>
      </c>
      <c r="B2563" t="s">
        <v>3876</v>
      </c>
      <c r="C2563" t="s">
        <v>3877</v>
      </c>
      <c r="D2563" t="s">
        <v>899</v>
      </c>
      <c r="E2563" t="s">
        <v>20</v>
      </c>
      <c r="F2563" t="str">
        <f>"43412"</f>
        <v>43412</v>
      </c>
      <c r="G2563" t="str">
        <f>"545101"</f>
        <v>545101</v>
      </c>
      <c r="H2563" s="2">
        <f>20</f>
        <v>20</v>
      </c>
      <c r="I2563" t="s">
        <v>27</v>
      </c>
      <c r="J2563" t="s">
        <v>51</v>
      </c>
      <c r="K2563" t="str">
        <f>"116177"</f>
        <v>116177</v>
      </c>
    </row>
    <row r="2564" spans="1:11" x14ac:dyDescent="0.25">
      <c r="A2564">
        <v>2022</v>
      </c>
      <c r="B2564" t="s">
        <v>3892</v>
      </c>
      <c r="C2564" t="s">
        <v>3893</v>
      </c>
      <c r="D2564" t="s">
        <v>105</v>
      </c>
      <c r="E2564" t="s">
        <v>20</v>
      </c>
      <c r="F2564" t="str">
        <f>"43528-8193"</f>
        <v>43528-8193</v>
      </c>
      <c r="G2564" t="str">
        <f>"545101"</f>
        <v>545101</v>
      </c>
      <c r="H2564" s="2">
        <f>10</f>
        <v>10</v>
      </c>
      <c r="I2564" t="s">
        <v>27</v>
      </c>
      <c r="J2564" t="s">
        <v>51</v>
      </c>
      <c r="K2564" t="str">
        <f>"116298"</f>
        <v>116298</v>
      </c>
    </row>
    <row r="2565" spans="1:11" x14ac:dyDescent="0.25">
      <c r="A2565">
        <v>2022</v>
      </c>
      <c r="B2565" t="s">
        <v>3898</v>
      </c>
      <c r="C2565" t="s">
        <v>3899</v>
      </c>
      <c r="D2565" t="s">
        <v>19</v>
      </c>
      <c r="E2565" t="s">
        <v>20</v>
      </c>
      <c r="F2565" t="str">
        <f>"43606-2931"</f>
        <v>43606-2931</v>
      </c>
      <c r="G2565" t="str">
        <f>"545101"</f>
        <v>545101</v>
      </c>
      <c r="H2565" s="2">
        <f>20</f>
        <v>20</v>
      </c>
      <c r="I2565" t="s">
        <v>27</v>
      </c>
      <c r="J2565" t="s">
        <v>51</v>
      </c>
      <c r="K2565" t="str">
        <f>"117288"</f>
        <v>117288</v>
      </c>
    </row>
    <row r="2566" spans="1:11" x14ac:dyDescent="0.25">
      <c r="A2566">
        <v>2022</v>
      </c>
      <c r="B2566" t="s">
        <v>3918</v>
      </c>
      <c r="C2566" t="s">
        <v>3914</v>
      </c>
      <c r="D2566" t="s">
        <v>3915</v>
      </c>
      <c r="E2566" t="s">
        <v>20</v>
      </c>
      <c r="F2566" t="str">
        <f>"44870"</f>
        <v>44870</v>
      </c>
      <c r="G2566" t="str">
        <f>"Je031622"</f>
        <v>Je031622</v>
      </c>
      <c r="H2566" s="2">
        <f>15.08</f>
        <v>15.08</v>
      </c>
      <c r="I2566" t="s">
        <v>15</v>
      </c>
      <c r="J2566" t="s">
        <v>117</v>
      </c>
      <c r="K2566" t="str">
        <f>"60036903"</f>
        <v>60036903</v>
      </c>
    </row>
    <row r="2567" spans="1:11" x14ac:dyDescent="0.25">
      <c r="A2567">
        <v>2022</v>
      </c>
      <c r="B2567" t="s">
        <v>3918</v>
      </c>
      <c r="C2567" t="s">
        <v>3914</v>
      </c>
      <c r="D2567" t="s">
        <v>3915</v>
      </c>
      <c r="E2567" t="s">
        <v>20</v>
      </c>
      <c r="F2567" t="str">
        <f>"44870"</f>
        <v>44870</v>
      </c>
      <c r="G2567" t="str">
        <f>"Je010722"</f>
        <v>Je010722</v>
      </c>
      <c r="H2567" s="2">
        <f>15.08</f>
        <v>15.08</v>
      </c>
      <c r="I2567" t="s">
        <v>15</v>
      </c>
      <c r="J2567" t="s">
        <v>90</v>
      </c>
      <c r="K2567" t="str">
        <f>"60029118"</f>
        <v>60029118</v>
      </c>
    </row>
    <row r="2568" spans="1:11" x14ac:dyDescent="0.25">
      <c r="A2568">
        <v>2022</v>
      </c>
      <c r="B2568" t="s">
        <v>3918</v>
      </c>
      <c r="C2568" t="s">
        <v>3914</v>
      </c>
      <c r="D2568" t="s">
        <v>3915</v>
      </c>
      <c r="E2568" t="s">
        <v>20</v>
      </c>
      <c r="F2568" t="str">
        <f>"44870"</f>
        <v>44870</v>
      </c>
      <c r="G2568" t="str">
        <f>"Je010722"</f>
        <v>Je010722</v>
      </c>
      <c r="H2568" s="2">
        <f>15.08</f>
        <v>15.08</v>
      </c>
      <c r="I2568" t="s">
        <v>15</v>
      </c>
      <c r="J2568" t="s">
        <v>90</v>
      </c>
      <c r="K2568" t="str">
        <f>"60034452"</f>
        <v>60034452</v>
      </c>
    </row>
    <row r="2569" spans="1:11" x14ac:dyDescent="0.25">
      <c r="A2569">
        <v>2022</v>
      </c>
      <c r="B2569" t="s">
        <v>3919</v>
      </c>
      <c r="C2569" t="s">
        <v>3920</v>
      </c>
      <c r="D2569" t="s">
        <v>19</v>
      </c>
      <c r="E2569" t="s">
        <v>20</v>
      </c>
      <c r="F2569" t="str">
        <f>"43615"</f>
        <v>43615</v>
      </c>
      <c r="G2569" t="str">
        <f>"Je11032022"</f>
        <v>Je11032022</v>
      </c>
      <c r="H2569" s="2">
        <f>25</f>
        <v>25</v>
      </c>
      <c r="I2569" t="s">
        <v>15</v>
      </c>
      <c r="J2569" t="s">
        <v>234</v>
      </c>
      <c r="K2569" t="str">
        <f>"60053791"</f>
        <v>60053791</v>
      </c>
    </row>
    <row r="2570" spans="1:11" x14ac:dyDescent="0.25">
      <c r="A2570">
        <v>2022</v>
      </c>
      <c r="B2570" t="s">
        <v>3923</v>
      </c>
      <c r="C2570" t="s">
        <v>3924</v>
      </c>
      <c r="D2570" t="s">
        <v>19</v>
      </c>
      <c r="E2570" t="s">
        <v>20</v>
      </c>
      <c r="F2570" t="str">
        <f>"43615"</f>
        <v>43615</v>
      </c>
      <c r="G2570" t="str">
        <f>"545043"</f>
        <v>545043</v>
      </c>
      <c r="H2570" s="2">
        <f>8.8</f>
        <v>8.8000000000000007</v>
      </c>
      <c r="I2570" t="s">
        <v>27</v>
      </c>
      <c r="J2570" t="s">
        <v>77</v>
      </c>
      <c r="K2570" t="str">
        <f>"332912"</f>
        <v>332912</v>
      </c>
    </row>
    <row r="2571" spans="1:11" x14ac:dyDescent="0.25">
      <c r="A2571">
        <v>2022</v>
      </c>
      <c r="B2571" t="s">
        <v>3962</v>
      </c>
      <c r="C2571" t="s">
        <v>895</v>
      </c>
      <c r="F2571" t="str">
        <f>""</f>
        <v/>
      </c>
      <c r="G2571" t="str">
        <f>"545173"</f>
        <v>545173</v>
      </c>
      <c r="H2571" s="2">
        <f>12209.72</f>
        <v>12209.72</v>
      </c>
      <c r="I2571" t="s">
        <v>148</v>
      </c>
      <c r="J2571" t="s">
        <v>3963</v>
      </c>
      <c r="K2571" t="str">
        <f>"25700"</f>
        <v>25700</v>
      </c>
    </row>
    <row r="2572" spans="1:11" x14ac:dyDescent="0.25">
      <c r="A2572">
        <v>2022</v>
      </c>
      <c r="B2572" t="s">
        <v>3964</v>
      </c>
      <c r="C2572" t="s">
        <v>3966</v>
      </c>
      <c r="D2572" t="s">
        <v>19</v>
      </c>
      <c r="E2572" t="s">
        <v>20</v>
      </c>
      <c r="F2572" t="str">
        <f>"43609"</f>
        <v>43609</v>
      </c>
      <c r="G2572" t="str">
        <f>"545075"</f>
        <v>545075</v>
      </c>
      <c r="H2572" s="2">
        <f>92.03</f>
        <v>92.03</v>
      </c>
      <c r="I2572" t="s">
        <v>27</v>
      </c>
      <c r="J2572" t="s">
        <v>31</v>
      </c>
      <c r="K2572" t="str">
        <f>"22022788"</f>
        <v>22022788</v>
      </c>
    </row>
    <row r="2573" spans="1:11" x14ac:dyDescent="0.25">
      <c r="A2573">
        <v>2022</v>
      </c>
      <c r="B2573" t="s">
        <v>3967</v>
      </c>
      <c r="C2573" t="s">
        <v>3968</v>
      </c>
      <c r="D2573" t="s">
        <v>3969</v>
      </c>
      <c r="E2573" t="s">
        <v>600</v>
      </c>
      <c r="F2573" t="str">
        <f>"41042"</f>
        <v>41042</v>
      </c>
      <c r="G2573" t="str">
        <f>"545042"</f>
        <v>545042</v>
      </c>
      <c r="H2573" s="2">
        <f>550</f>
        <v>550</v>
      </c>
      <c r="I2573" t="s">
        <v>27</v>
      </c>
      <c r="J2573" t="s">
        <v>257</v>
      </c>
      <c r="K2573" t="str">
        <f>"36215"</f>
        <v>36215</v>
      </c>
    </row>
    <row r="2574" spans="1:11" x14ac:dyDescent="0.25">
      <c r="A2574">
        <v>2022</v>
      </c>
      <c r="B2574" t="s">
        <v>3967</v>
      </c>
      <c r="C2574" t="s">
        <v>3968</v>
      </c>
      <c r="D2574" t="s">
        <v>3969</v>
      </c>
      <c r="E2574" t="s">
        <v>600</v>
      </c>
      <c r="F2574" t="str">
        <f>"41042"</f>
        <v>41042</v>
      </c>
      <c r="G2574" t="str">
        <f>"545042"</f>
        <v>545042</v>
      </c>
      <c r="H2574" s="2">
        <f>550</f>
        <v>550</v>
      </c>
      <c r="I2574" t="s">
        <v>27</v>
      </c>
      <c r="J2574" t="s">
        <v>257</v>
      </c>
      <c r="K2574" t="str">
        <f>"38083"</f>
        <v>38083</v>
      </c>
    </row>
    <row r="2575" spans="1:11" x14ac:dyDescent="0.25">
      <c r="A2575">
        <v>2022</v>
      </c>
      <c r="B2575" t="s">
        <v>3967</v>
      </c>
      <c r="C2575" t="s">
        <v>3968</v>
      </c>
      <c r="D2575" t="s">
        <v>3969</v>
      </c>
      <c r="E2575" t="s">
        <v>600</v>
      </c>
      <c r="F2575" t="str">
        <f>"41042"</f>
        <v>41042</v>
      </c>
      <c r="G2575" t="str">
        <f>"545042"</f>
        <v>545042</v>
      </c>
      <c r="H2575" s="2">
        <f>550</f>
        <v>550</v>
      </c>
      <c r="I2575" t="s">
        <v>27</v>
      </c>
      <c r="J2575" t="s">
        <v>257</v>
      </c>
      <c r="K2575" t="str">
        <f>"36223"</f>
        <v>36223</v>
      </c>
    </row>
    <row r="2576" spans="1:11" x14ac:dyDescent="0.25">
      <c r="A2576">
        <v>2022</v>
      </c>
      <c r="B2576" t="s">
        <v>3967</v>
      </c>
      <c r="C2576" t="s">
        <v>3968</v>
      </c>
      <c r="D2576" t="s">
        <v>3969</v>
      </c>
      <c r="E2576" t="s">
        <v>600</v>
      </c>
      <c r="F2576" t="str">
        <f>"41042"</f>
        <v>41042</v>
      </c>
      <c r="G2576" t="str">
        <f>"545042"</f>
        <v>545042</v>
      </c>
      <c r="H2576" s="2">
        <f>66</f>
        <v>66</v>
      </c>
      <c r="I2576" t="s">
        <v>27</v>
      </c>
      <c r="J2576" t="s">
        <v>257</v>
      </c>
      <c r="K2576" t="str">
        <f>"36645"</f>
        <v>36645</v>
      </c>
    </row>
    <row r="2577" spans="1:11" x14ac:dyDescent="0.25">
      <c r="A2577">
        <v>2022</v>
      </c>
      <c r="B2577" t="s">
        <v>3970</v>
      </c>
      <c r="C2577" t="s">
        <v>3971</v>
      </c>
      <c r="D2577" t="s">
        <v>19</v>
      </c>
      <c r="E2577" t="s">
        <v>20</v>
      </c>
      <c r="F2577" t="str">
        <f>"43606-3318"</f>
        <v>43606-3318</v>
      </c>
      <c r="G2577" t="str">
        <f>"545101"</f>
        <v>545101</v>
      </c>
      <c r="H2577" s="2">
        <f>50</f>
        <v>50</v>
      </c>
      <c r="I2577" t="s">
        <v>27</v>
      </c>
      <c r="J2577" t="s">
        <v>51</v>
      </c>
      <c r="K2577" t="str">
        <f>"118309"</f>
        <v>118309</v>
      </c>
    </row>
    <row r="2578" spans="1:11" x14ac:dyDescent="0.25">
      <c r="A2578">
        <v>2022</v>
      </c>
      <c r="B2578" t="s">
        <v>4006</v>
      </c>
      <c r="C2578" t="s">
        <v>1004</v>
      </c>
      <c r="D2578" t="s">
        <v>1005</v>
      </c>
      <c r="E2578" t="s">
        <v>20</v>
      </c>
      <c r="F2578" t="str">
        <f>"44139"</f>
        <v>44139</v>
      </c>
      <c r="G2578" t="str">
        <f>"545042"</f>
        <v>545042</v>
      </c>
      <c r="H2578" s="2">
        <f>550</f>
        <v>550</v>
      </c>
      <c r="I2578" t="s">
        <v>27</v>
      </c>
      <c r="J2578" t="s">
        <v>257</v>
      </c>
      <c r="K2578" t="str">
        <f>"36374"</f>
        <v>36374</v>
      </c>
    </row>
    <row r="2579" spans="1:11" x14ac:dyDescent="0.25">
      <c r="A2579">
        <v>2022</v>
      </c>
      <c r="B2579" t="s">
        <v>4013</v>
      </c>
      <c r="C2579" t="s">
        <v>4014</v>
      </c>
      <c r="D2579" t="s">
        <v>19</v>
      </c>
      <c r="E2579" t="s">
        <v>20</v>
      </c>
      <c r="F2579" t="str">
        <f>"43620-1006"</f>
        <v>43620-1006</v>
      </c>
      <c r="G2579" t="str">
        <f>"545101"</f>
        <v>545101</v>
      </c>
      <c r="H2579" s="2">
        <f>40</f>
        <v>40</v>
      </c>
      <c r="I2579" t="s">
        <v>27</v>
      </c>
      <c r="J2579" t="s">
        <v>51</v>
      </c>
      <c r="K2579" t="str">
        <f>"117035"</f>
        <v>117035</v>
      </c>
    </row>
    <row r="2580" spans="1:11" x14ac:dyDescent="0.25">
      <c r="A2580">
        <v>2022</v>
      </c>
      <c r="B2580" t="s">
        <v>4017</v>
      </c>
      <c r="C2580" t="s">
        <v>4018</v>
      </c>
      <c r="D2580" t="s">
        <v>19</v>
      </c>
      <c r="E2580" t="s">
        <v>20</v>
      </c>
      <c r="F2580" t="str">
        <f>"43606"</f>
        <v>43606</v>
      </c>
      <c r="G2580" t="str">
        <f>"545044"</f>
        <v>545044</v>
      </c>
      <c r="H2580" s="2">
        <f>30</f>
        <v>30</v>
      </c>
      <c r="I2580" t="s">
        <v>27</v>
      </c>
      <c r="J2580" t="s">
        <v>28</v>
      </c>
      <c r="K2580" t="str">
        <f>"518541"</f>
        <v>518541</v>
      </c>
    </row>
    <row r="2581" spans="1:11" x14ac:dyDescent="0.25">
      <c r="A2581">
        <v>2022</v>
      </c>
      <c r="B2581" t="s">
        <v>4025</v>
      </c>
      <c r="C2581" t="s">
        <v>4026</v>
      </c>
      <c r="D2581" t="s">
        <v>19</v>
      </c>
      <c r="E2581" t="s">
        <v>20</v>
      </c>
      <c r="F2581" t="str">
        <f>"43611"</f>
        <v>43611</v>
      </c>
      <c r="G2581" t="str">
        <f>"545044"</f>
        <v>545044</v>
      </c>
      <c r="H2581" s="2">
        <f>15</f>
        <v>15</v>
      </c>
      <c r="I2581" t="s">
        <v>27</v>
      </c>
      <c r="J2581" t="s">
        <v>28</v>
      </c>
      <c r="K2581" t="str">
        <f>"518903"</f>
        <v>518903</v>
      </c>
    </row>
    <row r="2582" spans="1:11" x14ac:dyDescent="0.25">
      <c r="A2582">
        <v>2022</v>
      </c>
      <c r="B2582" t="s">
        <v>4035</v>
      </c>
      <c r="C2582" t="s">
        <v>4036</v>
      </c>
      <c r="D2582" t="s">
        <v>19</v>
      </c>
      <c r="E2582" t="s">
        <v>20</v>
      </c>
      <c r="F2582" t="str">
        <f>"43615"</f>
        <v>43615</v>
      </c>
      <c r="G2582" t="str">
        <f>"Je010722"</f>
        <v>Je010722</v>
      </c>
      <c r="H2582" s="2">
        <f>22.42</f>
        <v>22.42</v>
      </c>
      <c r="I2582" t="s">
        <v>15</v>
      </c>
      <c r="J2582" t="s">
        <v>90</v>
      </c>
      <c r="K2582" t="str">
        <f>"60025438"</f>
        <v>60025438</v>
      </c>
    </row>
    <row r="2583" spans="1:11" x14ac:dyDescent="0.25">
      <c r="A2583">
        <v>2022</v>
      </c>
      <c r="B2583" t="s">
        <v>4042</v>
      </c>
      <c r="C2583" t="s">
        <v>4043</v>
      </c>
      <c r="D2583" t="s">
        <v>4044</v>
      </c>
      <c r="E2583" t="s">
        <v>20</v>
      </c>
      <c r="F2583" t="str">
        <f>"44883"</f>
        <v>44883</v>
      </c>
      <c r="G2583" t="str">
        <f>"Je11032022"</f>
        <v>Je11032022</v>
      </c>
      <c r="H2583" s="2">
        <f>25</f>
        <v>25</v>
      </c>
      <c r="I2583" t="s">
        <v>15</v>
      </c>
      <c r="J2583" t="s">
        <v>234</v>
      </c>
      <c r="K2583" t="str">
        <f>"60053793"</f>
        <v>60053793</v>
      </c>
    </row>
    <row r="2584" spans="1:11" x14ac:dyDescent="0.25">
      <c r="A2584">
        <v>2022</v>
      </c>
      <c r="B2584" t="s">
        <v>4051</v>
      </c>
      <c r="C2584" t="s">
        <v>4052</v>
      </c>
      <c r="D2584" t="s">
        <v>19</v>
      </c>
      <c r="E2584" t="s">
        <v>20</v>
      </c>
      <c r="F2584" t="str">
        <f>"43612"</f>
        <v>43612</v>
      </c>
      <c r="G2584" t="str">
        <f>"Je010722"</f>
        <v>Je010722</v>
      </c>
      <c r="H2584" s="2">
        <f>10</f>
        <v>10</v>
      </c>
      <c r="I2584" t="s">
        <v>15</v>
      </c>
      <c r="J2584" t="s">
        <v>90</v>
      </c>
      <c r="K2584" t="str">
        <f>"60032695"</f>
        <v>60032695</v>
      </c>
    </row>
    <row r="2585" spans="1:11" x14ac:dyDescent="0.25">
      <c r="A2585">
        <v>2022</v>
      </c>
      <c r="B2585" t="s">
        <v>4055</v>
      </c>
      <c r="C2585" t="s">
        <v>4056</v>
      </c>
      <c r="D2585" t="s">
        <v>1754</v>
      </c>
      <c r="E2585" t="s">
        <v>20</v>
      </c>
      <c r="F2585" t="str">
        <f>"45040"</f>
        <v>45040</v>
      </c>
      <c r="G2585" t="str">
        <f>"545044"</f>
        <v>545044</v>
      </c>
      <c r="H2585" s="2">
        <f>5.15</f>
        <v>5.15</v>
      </c>
      <c r="I2585" t="s">
        <v>27</v>
      </c>
      <c r="J2585" t="s">
        <v>28</v>
      </c>
      <c r="K2585" t="str">
        <f>"518619"</f>
        <v>518619</v>
      </c>
    </row>
    <row r="2586" spans="1:11" x14ac:dyDescent="0.25">
      <c r="A2586">
        <v>2022</v>
      </c>
      <c r="B2586" t="s">
        <v>4055</v>
      </c>
      <c r="C2586" t="s">
        <v>4057</v>
      </c>
      <c r="D2586" t="s">
        <v>1754</v>
      </c>
      <c r="E2586" t="s">
        <v>20</v>
      </c>
      <c r="F2586" t="str">
        <f>"45040"</f>
        <v>45040</v>
      </c>
      <c r="G2586" t="str">
        <f>"545044"</f>
        <v>545044</v>
      </c>
      <c r="H2586" s="2">
        <f>5.05</f>
        <v>5.05</v>
      </c>
      <c r="I2586" t="s">
        <v>27</v>
      </c>
      <c r="J2586" t="s">
        <v>28</v>
      </c>
      <c r="K2586" t="str">
        <f>"518620"</f>
        <v>518620</v>
      </c>
    </row>
    <row r="2587" spans="1:11" x14ac:dyDescent="0.25">
      <c r="A2587">
        <v>2022</v>
      </c>
      <c r="B2587" t="s">
        <v>4070</v>
      </c>
      <c r="C2587" t="s">
        <v>4071</v>
      </c>
      <c r="D2587" t="s">
        <v>19</v>
      </c>
      <c r="E2587" t="s">
        <v>20</v>
      </c>
      <c r="F2587" t="str">
        <f>"43610"</f>
        <v>43610</v>
      </c>
      <c r="G2587" t="str">
        <f>"545042"</f>
        <v>545042</v>
      </c>
      <c r="H2587" s="2">
        <f>3.95</f>
        <v>3.95</v>
      </c>
      <c r="I2587" t="s">
        <v>27</v>
      </c>
      <c r="J2587" t="s">
        <v>257</v>
      </c>
      <c r="K2587" t="str">
        <f>"37984"</f>
        <v>37984</v>
      </c>
    </row>
    <row r="2588" spans="1:11" x14ac:dyDescent="0.25">
      <c r="A2588">
        <v>2022</v>
      </c>
      <c r="B2588" t="s">
        <v>4072</v>
      </c>
      <c r="C2588" t="s">
        <v>4073</v>
      </c>
      <c r="D2588" t="s">
        <v>19</v>
      </c>
      <c r="E2588" t="s">
        <v>20</v>
      </c>
      <c r="F2588" t="str">
        <f>"43611"</f>
        <v>43611</v>
      </c>
      <c r="G2588" t="str">
        <f>"545044"</f>
        <v>545044</v>
      </c>
      <c r="H2588" s="2">
        <f>10</f>
        <v>10</v>
      </c>
      <c r="I2588" t="s">
        <v>27</v>
      </c>
      <c r="J2588" t="s">
        <v>28</v>
      </c>
      <c r="K2588" t="str">
        <f>"518623"</f>
        <v>518623</v>
      </c>
    </row>
    <row r="2589" spans="1:11" x14ac:dyDescent="0.25">
      <c r="A2589">
        <v>2022</v>
      </c>
      <c r="B2589" t="s">
        <v>4111</v>
      </c>
      <c r="C2589" t="s">
        <v>4112</v>
      </c>
      <c r="D2589" t="s">
        <v>1074</v>
      </c>
      <c r="E2589" t="s">
        <v>20</v>
      </c>
      <c r="F2589" t="str">
        <f>"43551"</f>
        <v>43551</v>
      </c>
      <c r="G2589" t="str">
        <f>"545042"</f>
        <v>545042</v>
      </c>
      <c r="H2589" s="2">
        <f>9.6</f>
        <v>9.6</v>
      </c>
      <c r="I2589" t="s">
        <v>27</v>
      </c>
      <c r="J2589" t="s">
        <v>257</v>
      </c>
      <c r="K2589" t="str">
        <f>"38158"</f>
        <v>38158</v>
      </c>
    </row>
    <row r="2590" spans="1:11" x14ac:dyDescent="0.25">
      <c r="A2590">
        <v>2022</v>
      </c>
      <c r="B2590" t="s">
        <v>4130</v>
      </c>
      <c r="C2590" t="s">
        <v>4131</v>
      </c>
      <c r="D2590" t="s">
        <v>19</v>
      </c>
      <c r="E2590" t="s">
        <v>20</v>
      </c>
      <c r="F2590" t="str">
        <f>"43623"</f>
        <v>43623</v>
      </c>
      <c r="G2590" t="str">
        <f>"545044"</f>
        <v>545044</v>
      </c>
      <c r="H2590" s="2">
        <f>25</f>
        <v>25</v>
      </c>
      <c r="I2590" t="s">
        <v>27</v>
      </c>
      <c r="J2590" t="s">
        <v>28</v>
      </c>
      <c r="K2590" t="str">
        <f>"519873"</f>
        <v>519873</v>
      </c>
    </row>
    <row r="2591" spans="1:11" x14ac:dyDescent="0.25">
      <c r="A2591">
        <v>2022</v>
      </c>
      <c r="B2591" t="s">
        <v>4136</v>
      </c>
      <c r="C2591" t="s">
        <v>4137</v>
      </c>
      <c r="D2591" t="s">
        <v>120</v>
      </c>
      <c r="E2591" t="s">
        <v>20</v>
      </c>
      <c r="F2591" t="str">
        <f>"43522"</f>
        <v>43522</v>
      </c>
      <c r="G2591" t="str">
        <f>"545044"</f>
        <v>545044</v>
      </c>
      <c r="H2591" s="2">
        <f>20</f>
        <v>20</v>
      </c>
      <c r="I2591" t="s">
        <v>27</v>
      </c>
      <c r="J2591" t="s">
        <v>28</v>
      </c>
      <c r="K2591" t="str">
        <f>"519549"</f>
        <v>519549</v>
      </c>
    </row>
    <row r="2592" spans="1:11" x14ac:dyDescent="0.25">
      <c r="A2592">
        <v>2022</v>
      </c>
      <c r="B2592" t="s">
        <v>4195</v>
      </c>
      <c r="C2592" t="s">
        <v>4196</v>
      </c>
      <c r="D2592" t="s">
        <v>19</v>
      </c>
      <c r="E2592" t="s">
        <v>20</v>
      </c>
      <c r="F2592" t="str">
        <f>"43611"</f>
        <v>43611</v>
      </c>
      <c r="G2592" t="str">
        <f t="shared" ref="G2592:G2599" si="82">"Je031622"</f>
        <v>Je031622</v>
      </c>
      <c r="H2592" s="2">
        <f>50</f>
        <v>50</v>
      </c>
      <c r="I2592" t="s">
        <v>15</v>
      </c>
      <c r="J2592" t="s">
        <v>117</v>
      </c>
      <c r="K2592" t="str">
        <f>"60038496"</f>
        <v>60038496</v>
      </c>
    </row>
    <row r="2593" spans="1:11" x14ac:dyDescent="0.25">
      <c r="A2593">
        <v>2022</v>
      </c>
      <c r="B2593" t="s">
        <v>4195</v>
      </c>
      <c r="C2593" t="s">
        <v>4197</v>
      </c>
      <c r="D2593" t="s">
        <v>19</v>
      </c>
      <c r="E2593" t="s">
        <v>20</v>
      </c>
      <c r="F2593" t="str">
        <f>"43607"</f>
        <v>43607</v>
      </c>
      <c r="G2593" t="str">
        <f t="shared" si="82"/>
        <v>Je031622</v>
      </c>
      <c r="H2593" s="2">
        <f>175</f>
        <v>175</v>
      </c>
      <c r="I2593" t="s">
        <v>15</v>
      </c>
      <c r="J2593" t="s">
        <v>117</v>
      </c>
      <c r="K2593" t="str">
        <f>"60038497"</f>
        <v>60038497</v>
      </c>
    </row>
    <row r="2594" spans="1:11" x14ac:dyDescent="0.25">
      <c r="A2594">
        <v>2022</v>
      </c>
      <c r="B2594" t="s">
        <v>4195</v>
      </c>
      <c r="C2594" t="s">
        <v>4196</v>
      </c>
      <c r="D2594" t="s">
        <v>19</v>
      </c>
      <c r="E2594" t="s">
        <v>20</v>
      </c>
      <c r="F2594" t="str">
        <f t="shared" ref="F2594:F2599" si="83">"43611"</f>
        <v>43611</v>
      </c>
      <c r="G2594" t="str">
        <f t="shared" si="82"/>
        <v>Je031622</v>
      </c>
      <c r="H2594" s="2">
        <f>25</f>
        <v>25</v>
      </c>
      <c r="I2594" t="s">
        <v>15</v>
      </c>
      <c r="J2594" t="s">
        <v>117</v>
      </c>
      <c r="K2594" t="str">
        <f>"60038495"</f>
        <v>60038495</v>
      </c>
    </row>
    <row r="2595" spans="1:11" x14ac:dyDescent="0.25">
      <c r="A2595">
        <v>2022</v>
      </c>
      <c r="B2595" t="s">
        <v>4195</v>
      </c>
      <c r="C2595" t="s">
        <v>4196</v>
      </c>
      <c r="D2595" t="s">
        <v>19</v>
      </c>
      <c r="E2595" t="s">
        <v>20</v>
      </c>
      <c r="F2595" t="str">
        <f t="shared" si="83"/>
        <v>43611</v>
      </c>
      <c r="G2595" t="str">
        <f t="shared" si="82"/>
        <v>Je031622</v>
      </c>
      <c r="H2595" s="2">
        <f>25</f>
        <v>25</v>
      </c>
      <c r="I2595" t="s">
        <v>15</v>
      </c>
      <c r="J2595" t="s">
        <v>117</v>
      </c>
      <c r="K2595" t="str">
        <f>"60038498"</f>
        <v>60038498</v>
      </c>
    </row>
    <row r="2596" spans="1:11" x14ac:dyDescent="0.25">
      <c r="A2596">
        <v>2022</v>
      </c>
      <c r="B2596" t="s">
        <v>4195</v>
      </c>
      <c r="C2596" t="s">
        <v>4196</v>
      </c>
      <c r="D2596" t="s">
        <v>19</v>
      </c>
      <c r="E2596" t="s">
        <v>20</v>
      </c>
      <c r="F2596" t="str">
        <f t="shared" si="83"/>
        <v>43611</v>
      </c>
      <c r="G2596" t="str">
        <f t="shared" si="82"/>
        <v>Je031622</v>
      </c>
      <c r="H2596" s="2">
        <f>25</f>
        <v>25</v>
      </c>
      <c r="I2596" t="s">
        <v>15</v>
      </c>
      <c r="J2596" t="s">
        <v>117</v>
      </c>
      <c r="K2596" t="str">
        <f>"60038492"</f>
        <v>60038492</v>
      </c>
    </row>
    <row r="2597" spans="1:11" x14ac:dyDescent="0.25">
      <c r="A2597">
        <v>2022</v>
      </c>
      <c r="B2597" t="s">
        <v>4195</v>
      </c>
      <c r="C2597" t="s">
        <v>4196</v>
      </c>
      <c r="D2597" t="s">
        <v>19</v>
      </c>
      <c r="E2597" t="s">
        <v>20</v>
      </c>
      <c r="F2597" t="str">
        <f t="shared" si="83"/>
        <v>43611</v>
      </c>
      <c r="G2597" t="str">
        <f t="shared" si="82"/>
        <v>Je031622</v>
      </c>
      <c r="H2597" s="2">
        <f>25</f>
        <v>25</v>
      </c>
      <c r="I2597" t="s">
        <v>15</v>
      </c>
      <c r="J2597" t="s">
        <v>117</v>
      </c>
      <c r="K2597" t="str">
        <f>"60038493"</f>
        <v>60038493</v>
      </c>
    </row>
    <row r="2598" spans="1:11" x14ac:dyDescent="0.25">
      <c r="A2598">
        <v>2022</v>
      </c>
      <c r="B2598" t="s">
        <v>4195</v>
      </c>
      <c r="C2598" t="s">
        <v>4196</v>
      </c>
      <c r="D2598" t="s">
        <v>19</v>
      </c>
      <c r="E2598" t="s">
        <v>20</v>
      </c>
      <c r="F2598" t="str">
        <f t="shared" si="83"/>
        <v>43611</v>
      </c>
      <c r="G2598" t="str">
        <f t="shared" si="82"/>
        <v>Je031622</v>
      </c>
      <c r="H2598" s="2">
        <f>225</f>
        <v>225</v>
      </c>
      <c r="I2598" t="s">
        <v>15</v>
      </c>
      <c r="J2598" t="s">
        <v>117</v>
      </c>
      <c r="K2598" t="str">
        <f>"60038494"</f>
        <v>60038494</v>
      </c>
    </row>
    <row r="2599" spans="1:11" x14ac:dyDescent="0.25">
      <c r="A2599">
        <v>2022</v>
      </c>
      <c r="B2599" t="s">
        <v>4195</v>
      </c>
      <c r="C2599" t="s">
        <v>4196</v>
      </c>
      <c r="D2599" t="s">
        <v>19</v>
      </c>
      <c r="E2599" t="s">
        <v>20</v>
      </c>
      <c r="F2599" t="str">
        <f t="shared" si="83"/>
        <v>43611</v>
      </c>
      <c r="G2599" t="str">
        <f t="shared" si="82"/>
        <v>Je031622</v>
      </c>
      <c r="H2599" s="2">
        <f>25</f>
        <v>25</v>
      </c>
      <c r="I2599" t="s">
        <v>15</v>
      </c>
      <c r="J2599" t="s">
        <v>117</v>
      </c>
      <c r="K2599" t="str">
        <f>"60038491"</f>
        <v>60038491</v>
      </c>
    </row>
    <row r="2600" spans="1:11" x14ac:dyDescent="0.25">
      <c r="A2600">
        <v>2022</v>
      </c>
      <c r="B2600" t="s">
        <v>4209</v>
      </c>
      <c r="C2600" t="s">
        <v>4210</v>
      </c>
      <c r="D2600" t="s">
        <v>1074</v>
      </c>
      <c r="E2600" t="s">
        <v>20</v>
      </c>
      <c r="F2600" t="str">
        <f>"43551"</f>
        <v>43551</v>
      </c>
      <c r="G2600" t="str">
        <f>"545044"</f>
        <v>545044</v>
      </c>
      <c r="H2600" s="2">
        <f>25</f>
        <v>25</v>
      </c>
      <c r="I2600" t="s">
        <v>27</v>
      </c>
      <c r="J2600" t="s">
        <v>28</v>
      </c>
      <c r="K2600" t="str">
        <f>"518885"</f>
        <v>518885</v>
      </c>
    </row>
    <row r="2601" spans="1:11" x14ac:dyDescent="0.25">
      <c r="A2601">
        <v>2022</v>
      </c>
      <c r="B2601" t="s">
        <v>4234</v>
      </c>
      <c r="C2601" t="s">
        <v>4235</v>
      </c>
      <c r="D2601" t="s">
        <v>19</v>
      </c>
      <c r="E2601" t="s">
        <v>20</v>
      </c>
      <c r="F2601" t="str">
        <f>"43607"</f>
        <v>43607</v>
      </c>
      <c r="G2601" t="str">
        <f>"Je11032022"</f>
        <v>Je11032022</v>
      </c>
      <c r="H2601" s="2">
        <f>25</f>
        <v>25</v>
      </c>
      <c r="I2601" t="s">
        <v>15</v>
      </c>
      <c r="J2601" t="s">
        <v>234</v>
      </c>
      <c r="K2601" t="str">
        <f>"60053795"</f>
        <v>60053795</v>
      </c>
    </row>
    <row r="2602" spans="1:11" x14ac:dyDescent="0.25">
      <c r="A2602">
        <v>2022</v>
      </c>
      <c r="B2602" t="s">
        <v>4255</v>
      </c>
      <c r="C2602" t="s">
        <v>245</v>
      </c>
      <c r="D2602" t="s">
        <v>19</v>
      </c>
      <c r="E2602" t="s">
        <v>20</v>
      </c>
      <c r="F2602" t="str">
        <f>"43617"</f>
        <v>43617</v>
      </c>
      <c r="G2602" t="str">
        <f>"545042"</f>
        <v>545042</v>
      </c>
      <c r="H2602" s="2">
        <f>20</f>
        <v>20</v>
      </c>
      <c r="I2602" t="s">
        <v>27</v>
      </c>
      <c r="J2602" t="s">
        <v>257</v>
      </c>
      <c r="K2602" t="str">
        <f>"37992"</f>
        <v>37992</v>
      </c>
    </row>
    <row r="2603" spans="1:11" x14ac:dyDescent="0.25">
      <c r="A2603">
        <v>2022</v>
      </c>
      <c r="B2603" t="s">
        <v>4258</v>
      </c>
      <c r="C2603" t="s">
        <v>4259</v>
      </c>
      <c r="D2603" t="s">
        <v>19</v>
      </c>
      <c r="E2603" t="s">
        <v>20</v>
      </c>
      <c r="F2603" t="str">
        <f>"43605"</f>
        <v>43605</v>
      </c>
      <c r="G2603" t="str">
        <f>"545044"</f>
        <v>545044</v>
      </c>
      <c r="H2603" s="2">
        <f>2153</f>
        <v>2153</v>
      </c>
      <c r="I2603" t="s">
        <v>27</v>
      </c>
      <c r="J2603" t="s">
        <v>28</v>
      </c>
      <c r="K2603" t="str">
        <f>"519381"</f>
        <v>519381</v>
      </c>
    </row>
    <row r="2604" spans="1:11" x14ac:dyDescent="0.25">
      <c r="A2604">
        <v>2022</v>
      </c>
      <c r="B2604" t="s">
        <v>4358</v>
      </c>
      <c r="C2604" t="s">
        <v>4359</v>
      </c>
      <c r="D2604" t="s">
        <v>50</v>
      </c>
      <c r="E2604" t="s">
        <v>20</v>
      </c>
      <c r="F2604" t="str">
        <f>"43560"</f>
        <v>43560</v>
      </c>
      <c r="G2604" t="str">
        <f>"Je031622"</f>
        <v>Je031622</v>
      </c>
      <c r="H2604" s="2">
        <f>357.18</f>
        <v>357.18</v>
      </c>
      <c r="I2604" t="s">
        <v>15</v>
      </c>
      <c r="J2604" t="s">
        <v>117</v>
      </c>
      <c r="K2604" t="str">
        <f>"60042998"</f>
        <v>60042998</v>
      </c>
    </row>
    <row r="2605" spans="1:11" x14ac:dyDescent="0.25">
      <c r="A2605">
        <v>2022</v>
      </c>
      <c r="B2605" t="s">
        <v>4370</v>
      </c>
      <c r="C2605" t="s">
        <v>4371</v>
      </c>
      <c r="D2605" t="s">
        <v>19</v>
      </c>
      <c r="E2605" t="s">
        <v>20</v>
      </c>
      <c r="F2605" t="str">
        <f>"43609"</f>
        <v>43609</v>
      </c>
      <c r="G2605" t="str">
        <f>"545075"</f>
        <v>545075</v>
      </c>
      <c r="H2605" s="2">
        <f>2.5</f>
        <v>2.5</v>
      </c>
      <c r="I2605" t="s">
        <v>27</v>
      </c>
      <c r="J2605" t="s">
        <v>31</v>
      </c>
      <c r="K2605" t="str">
        <f>"11004032"</f>
        <v>11004032</v>
      </c>
    </row>
    <row r="2606" spans="1:11" x14ac:dyDescent="0.25">
      <c r="A2606">
        <v>2022</v>
      </c>
      <c r="B2606" t="s">
        <v>4372</v>
      </c>
      <c r="C2606" t="s">
        <v>4373</v>
      </c>
      <c r="D2606" t="s">
        <v>829</v>
      </c>
      <c r="E2606" t="s">
        <v>20</v>
      </c>
      <c r="F2606" t="str">
        <f>"44132"</f>
        <v>44132</v>
      </c>
      <c r="G2606" t="str">
        <f>"545042"</f>
        <v>545042</v>
      </c>
      <c r="H2606" s="2">
        <f>20</f>
        <v>20</v>
      </c>
      <c r="I2606" t="s">
        <v>27</v>
      </c>
      <c r="J2606" t="s">
        <v>257</v>
      </c>
      <c r="K2606" t="str">
        <f>"37433"</f>
        <v>37433</v>
      </c>
    </row>
    <row r="2607" spans="1:11" x14ac:dyDescent="0.25">
      <c r="A2607">
        <v>2022</v>
      </c>
      <c r="B2607" t="s">
        <v>4374</v>
      </c>
      <c r="C2607" t="s">
        <v>4375</v>
      </c>
      <c r="D2607" t="s">
        <v>19</v>
      </c>
      <c r="E2607" t="s">
        <v>20</v>
      </c>
      <c r="F2607" t="str">
        <f>"43610-1628"</f>
        <v>43610-1628</v>
      </c>
      <c r="G2607" t="str">
        <f>"545101"</f>
        <v>545101</v>
      </c>
      <c r="H2607" s="2">
        <f>10</f>
        <v>10</v>
      </c>
      <c r="I2607" t="s">
        <v>27</v>
      </c>
      <c r="J2607" t="s">
        <v>51</v>
      </c>
      <c r="K2607" t="str">
        <f>"116144"</f>
        <v>116144</v>
      </c>
    </row>
    <row r="2608" spans="1:11" x14ac:dyDescent="0.25">
      <c r="A2608">
        <v>2022</v>
      </c>
      <c r="B2608" t="s">
        <v>4376</v>
      </c>
      <c r="C2608" t="s">
        <v>4377</v>
      </c>
      <c r="D2608" t="s">
        <v>125</v>
      </c>
      <c r="E2608" t="s">
        <v>20</v>
      </c>
      <c r="F2608" t="str">
        <f>"43537"</f>
        <v>43537</v>
      </c>
      <c r="G2608" t="str">
        <f>"Je031622"</f>
        <v>Je031622</v>
      </c>
      <c r="H2608" s="2">
        <f>325.89</f>
        <v>325.89</v>
      </c>
      <c r="I2608" t="s">
        <v>15</v>
      </c>
      <c r="J2608" t="s">
        <v>117</v>
      </c>
      <c r="K2608" t="str">
        <f>"60042999"</f>
        <v>60042999</v>
      </c>
    </row>
    <row r="2609" spans="1:11" x14ac:dyDescent="0.25">
      <c r="A2609">
        <v>2022</v>
      </c>
      <c r="B2609" t="s">
        <v>4391</v>
      </c>
      <c r="C2609" t="s">
        <v>3968</v>
      </c>
      <c r="D2609" t="s">
        <v>3969</v>
      </c>
      <c r="E2609" t="s">
        <v>600</v>
      </c>
      <c r="F2609" t="str">
        <f>"41042"</f>
        <v>41042</v>
      </c>
      <c r="G2609" t="str">
        <f>"545042"</f>
        <v>545042</v>
      </c>
      <c r="H2609" s="2">
        <f>550</f>
        <v>550</v>
      </c>
      <c r="I2609" t="s">
        <v>27</v>
      </c>
      <c r="J2609" t="s">
        <v>257</v>
      </c>
      <c r="K2609" t="str">
        <f>"38084"</f>
        <v>38084</v>
      </c>
    </row>
    <row r="2610" spans="1:11" x14ac:dyDescent="0.25">
      <c r="A2610">
        <v>2022</v>
      </c>
      <c r="B2610" t="s">
        <v>4392</v>
      </c>
      <c r="C2610" t="s">
        <v>4393</v>
      </c>
      <c r="D2610" t="s">
        <v>3969</v>
      </c>
      <c r="E2610" t="s">
        <v>600</v>
      </c>
      <c r="F2610" t="str">
        <f>"41042"</f>
        <v>41042</v>
      </c>
      <c r="G2610" t="str">
        <f>"545042"</f>
        <v>545042</v>
      </c>
      <c r="H2610" s="2">
        <f>550</f>
        <v>550</v>
      </c>
      <c r="I2610" t="s">
        <v>27</v>
      </c>
      <c r="J2610" t="s">
        <v>257</v>
      </c>
      <c r="K2610" t="str">
        <f>"36560"</f>
        <v>36560</v>
      </c>
    </row>
    <row r="2611" spans="1:11" x14ac:dyDescent="0.25">
      <c r="A2611">
        <v>2022</v>
      </c>
      <c r="B2611" t="s">
        <v>4406</v>
      </c>
      <c r="C2611" t="s">
        <v>4412</v>
      </c>
      <c r="D2611" t="s">
        <v>4408</v>
      </c>
      <c r="E2611" t="s">
        <v>4409</v>
      </c>
      <c r="F2611" t="str">
        <f>"73008"</f>
        <v>73008</v>
      </c>
      <c r="G2611" t="str">
        <f>"545044"</f>
        <v>545044</v>
      </c>
      <c r="H2611" s="2">
        <f>5</f>
        <v>5</v>
      </c>
      <c r="I2611" t="s">
        <v>27</v>
      </c>
      <c r="J2611" t="s">
        <v>28</v>
      </c>
      <c r="K2611" t="str">
        <f>"519496"</f>
        <v>519496</v>
      </c>
    </row>
    <row r="2612" spans="1:11" x14ac:dyDescent="0.25">
      <c r="A2612">
        <v>2022</v>
      </c>
      <c r="B2612" t="s">
        <v>4406</v>
      </c>
      <c r="C2612" t="s">
        <v>4412</v>
      </c>
      <c r="D2612" t="s">
        <v>4408</v>
      </c>
      <c r="E2612" t="s">
        <v>4409</v>
      </c>
      <c r="F2612" t="str">
        <f>"73008"</f>
        <v>73008</v>
      </c>
      <c r="G2612" t="str">
        <f>"545044"</f>
        <v>545044</v>
      </c>
      <c r="H2612" s="2">
        <f>5</f>
        <v>5</v>
      </c>
      <c r="I2612" t="s">
        <v>27</v>
      </c>
      <c r="J2612" t="s">
        <v>28</v>
      </c>
      <c r="K2612" t="str">
        <f>"520279"</f>
        <v>520279</v>
      </c>
    </row>
    <row r="2613" spans="1:11" x14ac:dyDescent="0.25">
      <c r="A2613">
        <v>2022</v>
      </c>
      <c r="B2613" t="s">
        <v>4406</v>
      </c>
      <c r="C2613" t="s">
        <v>4412</v>
      </c>
      <c r="D2613" t="s">
        <v>4408</v>
      </c>
      <c r="E2613" t="s">
        <v>4409</v>
      </c>
      <c r="F2613" t="str">
        <f>"73008"</f>
        <v>73008</v>
      </c>
      <c r="G2613" t="str">
        <f>"545044"</f>
        <v>545044</v>
      </c>
      <c r="H2613" s="2">
        <f>10</f>
        <v>10</v>
      </c>
      <c r="I2613" t="s">
        <v>27</v>
      </c>
      <c r="J2613" t="s">
        <v>28</v>
      </c>
      <c r="K2613" t="str">
        <f>"518698"</f>
        <v>518698</v>
      </c>
    </row>
    <row r="2614" spans="1:11" x14ac:dyDescent="0.25">
      <c r="A2614">
        <v>2022</v>
      </c>
      <c r="B2614" t="s">
        <v>4425</v>
      </c>
      <c r="C2614" t="s">
        <v>4426</v>
      </c>
      <c r="D2614" t="s">
        <v>50</v>
      </c>
      <c r="E2614" t="s">
        <v>20</v>
      </c>
      <c r="F2614" t="str">
        <f>"43560-7202"</f>
        <v>43560-7202</v>
      </c>
      <c r="G2614" t="str">
        <f>"545101"</f>
        <v>545101</v>
      </c>
      <c r="H2614" s="2">
        <f>20</f>
        <v>20</v>
      </c>
      <c r="I2614" t="s">
        <v>27</v>
      </c>
      <c r="J2614" t="s">
        <v>51</v>
      </c>
      <c r="K2614" t="str">
        <f>"116178"</f>
        <v>116178</v>
      </c>
    </row>
    <row r="2615" spans="1:11" x14ac:dyDescent="0.25">
      <c r="A2615">
        <v>2022</v>
      </c>
      <c r="B2615" t="s">
        <v>4444</v>
      </c>
      <c r="C2615" t="s">
        <v>4445</v>
      </c>
      <c r="D2615" t="s">
        <v>19</v>
      </c>
      <c r="E2615" t="s">
        <v>20</v>
      </c>
      <c r="F2615" t="str">
        <f>"43613-3313"</f>
        <v>43613-3313</v>
      </c>
      <c r="G2615" t="str">
        <f>"545101"</f>
        <v>545101</v>
      </c>
      <c r="H2615" s="2">
        <f>50</f>
        <v>50</v>
      </c>
      <c r="I2615" t="s">
        <v>27</v>
      </c>
      <c r="J2615" t="s">
        <v>51</v>
      </c>
      <c r="K2615" t="str">
        <f>"116650"</f>
        <v>116650</v>
      </c>
    </row>
    <row r="2616" spans="1:11" x14ac:dyDescent="0.25">
      <c r="A2616">
        <v>2022</v>
      </c>
      <c r="B2616" t="s">
        <v>4446</v>
      </c>
      <c r="C2616" t="s">
        <v>4447</v>
      </c>
      <c r="D2616" t="s">
        <v>105</v>
      </c>
      <c r="E2616" t="s">
        <v>20</v>
      </c>
      <c r="F2616" t="str">
        <f>"43528"</f>
        <v>43528</v>
      </c>
      <c r="G2616" t="str">
        <f>"Je031622"</f>
        <v>Je031622</v>
      </c>
      <c r="H2616" s="2">
        <f>45.67</f>
        <v>45.67</v>
      </c>
      <c r="I2616" t="s">
        <v>15</v>
      </c>
      <c r="J2616" t="s">
        <v>117</v>
      </c>
      <c r="K2616" t="str">
        <f>"60043000"</f>
        <v>60043000</v>
      </c>
    </row>
    <row r="2617" spans="1:11" x14ac:dyDescent="0.25">
      <c r="A2617">
        <v>2022</v>
      </c>
      <c r="B2617" t="s">
        <v>4451</v>
      </c>
      <c r="C2617" t="s">
        <v>4452</v>
      </c>
      <c r="D2617" t="s">
        <v>19</v>
      </c>
      <c r="E2617" t="s">
        <v>20</v>
      </c>
      <c r="F2617" t="str">
        <f>"43608"</f>
        <v>43608</v>
      </c>
      <c r="G2617" t="str">
        <f>"545043"</f>
        <v>545043</v>
      </c>
      <c r="H2617" s="2">
        <f>6.3</f>
        <v>6.3</v>
      </c>
      <c r="I2617" t="s">
        <v>27</v>
      </c>
      <c r="J2617" t="s">
        <v>77</v>
      </c>
      <c r="K2617" t="str">
        <f>"333123"</f>
        <v>333123</v>
      </c>
    </row>
    <row r="2618" spans="1:11" x14ac:dyDescent="0.25">
      <c r="A2618">
        <v>2022</v>
      </c>
      <c r="B2618" t="s">
        <v>4471</v>
      </c>
      <c r="C2618" t="s">
        <v>4472</v>
      </c>
      <c r="D2618" t="s">
        <v>105</v>
      </c>
      <c r="E2618" t="s">
        <v>20</v>
      </c>
      <c r="F2618" t="str">
        <f>"43528"</f>
        <v>43528</v>
      </c>
      <c r="G2618" t="str">
        <f>"Je031622"</f>
        <v>Je031622</v>
      </c>
      <c r="H2618" s="2">
        <f>214.22</f>
        <v>214.22</v>
      </c>
      <c r="I2618" t="s">
        <v>15</v>
      </c>
      <c r="J2618" t="s">
        <v>117</v>
      </c>
      <c r="K2618" t="str">
        <f>"60043001"</f>
        <v>60043001</v>
      </c>
    </row>
    <row r="2619" spans="1:11" x14ac:dyDescent="0.25">
      <c r="A2619">
        <v>2022</v>
      </c>
      <c r="B2619" t="s">
        <v>4506</v>
      </c>
      <c r="C2619" t="s">
        <v>4509</v>
      </c>
      <c r="D2619" t="s">
        <v>4508</v>
      </c>
      <c r="E2619" t="s">
        <v>20</v>
      </c>
      <c r="F2619" t="str">
        <f>"43469"</f>
        <v>43469</v>
      </c>
      <c r="G2619" t="str">
        <f>"545044"</f>
        <v>545044</v>
      </c>
      <c r="H2619" s="2">
        <f>4.02</f>
        <v>4.0199999999999996</v>
      </c>
      <c r="I2619" t="s">
        <v>27</v>
      </c>
      <c r="J2619" t="s">
        <v>28</v>
      </c>
      <c r="K2619" t="str">
        <f>"518964"</f>
        <v>518964</v>
      </c>
    </row>
    <row r="2620" spans="1:11" x14ac:dyDescent="0.25">
      <c r="A2620">
        <v>2022</v>
      </c>
      <c r="B2620" t="s">
        <v>4506</v>
      </c>
      <c r="C2620" t="s">
        <v>4509</v>
      </c>
      <c r="D2620" t="s">
        <v>4508</v>
      </c>
      <c r="E2620" t="s">
        <v>20</v>
      </c>
      <c r="F2620" t="str">
        <f>"43469"</f>
        <v>43469</v>
      </c>
      <c r="G2620" t="str">
        <f>"545044"</f>
        <v>545044</v>
      </c>
      <c r="H2620" s="2">
        <f>20</f>
        <v>20</v>
      </c>
      <c r="I2620" t="s">
        <v>27</v>
      </c>
      <c r="J2620" t="s">
        <v>28</v>
      </c>
      <c r="K2620" t="str">
        <f>"518413"</f>
        <v>518413</v>
      </c>
    </row>
    <row r="2621" spans="1:11" x14ac:dyDescent="0.25">
      <c r="A2621">
        <v>2022</v>
      </c>
      <c r="B2621" t="s">
        <v>4522</v>
      </c>
      <c r="C2621" t="s">
        <v>4523</v>
      </c>
      <c r="D2621" t="s">
        <v>19</v>
      </c>
      <c r="E2621" t="s">
        <v>20</v>
      </c>
      <c r="F2621" t="str">
        <f>"43613"</f>
        <v>43613</v>
      </c>
      <c r="G2621" t="str">
        <f>"Je11032022"</f>
        <v>Je11032022</v>
      </c>
      <c r="H2621" s="2">
        <f>191.02</f>
        <v>191.02</v>
      </c>
      <c r="I2621" t="s">
        <v>15</v>
      </c>
      <c r="J2621" t="s">
        <v>234</v>
      </c>
      <c r="K2621" t="str">
        <f>"60058689"</f>
        <v>60058689</v>
      </c>
    </row>
    <row r="2622" spans="1:11" x14ac:dyDescent="0.25">
      <c r="A2622">
        <v>2022</v>
      </c>
      <c r="B2622" t="s">
        <v>4528</v>
      </c>
      <c r="C2622" t="s">
        <v>4529</v>
      </c>
      <c r="D2622" t="s">
        <v>125</v>
      </c>
      <c r="E2622" t="s">
        <v>20</v>
      </c>
      <c r="F2622" t="str">
        <f>"43537"</f>
        <v>43537</v>
      </c>
      <c r="G2622" t="str">
        <f>"545044"</f>
        <v>545044</v>
      </c>
      <c r="H2622" s="2">
        <f>20</f>
        <v>20</v>
      </c>
      <c r="I2622" t="s">
        <v>27</v>
      </c>
      <c r="J2622" t="s">
        <v>28</v>
      </c>
      <c r="K2622" t="str">
        <f>"519952"</f>
        <v>519952</v>
      </c>
    </row>
    <row r="2623" spans="1:11" x14ac:dyDescent="0.25">
      <c r="A2623">
        <v>2022</v>
      </c>
      <c r="B2623" t="s">
        <v>4528</v>
      </c>
      <c r="C2623" t="s">
        <v>4529</v>
      </c>
      <c r="D2623" t="s">
        <v>125</v>
      </c>
      <c r="E2623" t="s">
        <v>20</v>
      </c>
      <c r="F2623" t="str">
        <f>"43537"</f>
        <v>43537</v>
      </c>
      <c r="G2623" t="str">
        <f>"545044"</f>
        <v>545044</v>
      </c>
      <c r="H2623" s="2">
        <f>20</f>
        <v>20</v>
      </c>
      <c r="I2623" t="s">
        <v>27</v>
      </c>
      <c r="J2623" t="s">
        <v>28</v>
      </c>
      <c r="K2623" t="str">
        <f>"520062"</f>
        <v>520062</v>
      </c>
    </row>
    <row r="2624" spans="1:11" x14ac:dyDescent="0.25">
      <c r="A2624">
        <v>2022</v>
      </c>
      <c r="B2624" t="s">
        <v>4532</v>
      </c>
      <c r="C2624" t="s">
        <v>4533</v>
      </c>
      <c r="D2624" t="s">
        <v>19</v>
      </c>
      <c r="E2624" t="s">
        <v>20</v>
      </c>
      <c r="F2624" t="str">
        <f>"43610"</f>
        <v>43610</v>
      </c>
      <c r="G2624" t="str">
        <f>"Je11032022"</f>
        <v>Je11032022</v>
      </c>
      <c r="H2624" s="2">
        <f>25</f>
        <v>25</v>
      </c>
      <c r="I2624" t="s">
        <v>15</v>
      </c>
      <c r="J2624" t="s">
        <v>234</v>
      </c>
      <c r="K2624" t="str">
        <f>"60053800"</f>
        <v>60053800</v>
      </c>
    </row>
    <row r="2625" spans="1:11" x14ac:dyDescent="0.25">
      <c r="A2625">
        <v>2022</v>
      </c>
      <c r="B2625" t="s">
        <v>4549</v>
      </c>
      <c r="C2625" t="s">
        <v>4550</v>
      </c>
      <c r="D2625" t="s">
        <v>19</v>
      </c>
      <c r="E2625" t="s">
        <v>20</v>
      </c>
      <c r="F2625" t="str">
        <f>"43609"</f>
        <v>43609</v>
      </c>
      <c r="G2625" t="str">
        <f>"Je11032022"</f>
        <v>Je11032022</v>
      </c>
      <c r="H2625" s="2">
        <f>23.47</f>
        <v>23.47</v>
      </c>
      <c r="I2625" t="s">
        <v>15</v>
      </c>
      <c r="J2625" t="s">
        <v>234</v>
      </c>
      <c r="K2625" t="str">
        <f>"60056325"</f>
        <v>60056325</v>
      </c>
    </row>
    <row r="2626" spans="1:11" x14ac:dyDescent="0.25">
      <c r="A2626">
        <v>2022</v>
      </c>
      <c r="B2626" t="s">
        <v>4549</v>
      </c>
      <c r="C2626" t="s">
        <v>4550</v>
      </c>
      <c r="D2626" t="s">
        <v>19</v>
      </c>
      <c r="E2626" t="s">
        <v>20</v>
      </c>
      <c r="F2626" t="str">
        <f>"43609"</f>
        <v>43609</v>
      </c>
      <c r="G2626" t="str">
        <f>"Je11032022"</f>
        <v>Je11032022</v>
      </c>
      <c r="H2626" s="2">
        <f>27</f>
        <v>27</v>
      </c>
      <c r="I2626" t="s">
        <v>15</v>
      </c>
      <c r="J2626" t="s">
        <v>234</v>
      </c>
      <c r="K2626" t="str">
        <f>"60056326"</f>
        <v>60056326</v>
      </c>
    </row>
    <row r="2627" spans="1:11" x14ac:dyDescent="0.25">
      <c r="A2627">
        <v>2022</v>
      </c>
      <c r="B2627" t="s">
        <v>4551</v>
      </c>
      <c r="C2627" t="s">
        <v>4552</v>
      </c>
      <c r="D2627" t="s">
        <v>19</v>
      </c>
      <c r="E2627" t="s">
        <v>20</v>
      </c>
      <c r="F2627" t="str">
        <f>"43606"</f>
        <v>43606</v>
      </c>
      <c r="G2627" t="str">
        <f>"545042"</f>
        <v>545042</v>
      </c>
      <c r="H2627" s="2">
        <f>5</f>
        <v>5</v>
      </c>
      <c r="I2627" t="s">
        <v>27</v>
      </c>
      <c r="J2627" t="s">
        <v>257</v>
      </c>
      <c r="K2627" t="str">
        <f>"36746"</f>
        <v>36746</v>
      </c>
    </row>
    <row r="2628" spans="1:11" x14ac:dyDescent="0.25">
      <c r="A2628">
        <v>2022</v>
      </c>
      <c r="B2628" t="s">
        <v>4561</v>
      </c>
      <c r="C2628" t="s">
        <v>4562</v>
      </c>
      <c r="D2628" t="s">
        <v>19</v>
      </c>
      <c r="E2628" t="s">
        <v>20</v>
      </c>
      <c r="F2628" t="str">
        <f>"43613"</f>
        <v>43613</v>
      </c>
      <c r="G2628" t="str">
        <f>"545044"</f>
        <v>545044</v>
      </c>
      <c r="H2628" s="2">
        <f>0.87</f>
        <v>0.87</v>
      </c>
      <c r="I2628" t="s">
        <v>27</v>
      </c>
      <c r="J2628" t="s">
        <v>28</v>
      </c>
      <c r="K2628" t="str">
        <f>"520546"</f>
        <v>520546</v>
      </c>
    </row>
    <row r="2629" spans="1:11" x14ac:dyDescent="0.25">
      <c r="A2629">
        <v>2022</v>
      </c>
      <c r="B2629" t="s">
        <v>4563</v>
      </c>
      <c r="C2629" t="s">
        <v>4564</v>
      </c>
      <c r="D2629" t="s">
        <v>19</v>
      </c>
      <c r="E2629" t="s">
        <v>20</v>
      </c>
      <c r="F2629" t="str">
        <f>"43608"</f>
        <v>43608</v>
      </c>
      <c r="G2629" t="str">
        <f>"545044"</f>
        <v>545044</v>
      </c>
      <c r="H2629" s="2">
        <f>200</f>
        <v>200</v>
      </c>
      <c r="I2629" t="s">
        <v>27</v>
      </c>
      <c r="J2629" t="s">
        <v>28</v>
      </c>
      <c r="K2629" t="str">
        <f>"518717"</f>
        <v>518717</v>
      </c>
    </row>
    <row r="2630" spans="1:11" x14ac:dyDescent="0.25">
      <c r="A2630">
        <v>2022</v>
      </c>
      <c r="B2630" t="s">
        <v>4571</v>
      </c>
      <c r="C2630" t="s">
        <v>2456</v>
      </c>
      <c r="D2630" t="s">
        <v>164</v>
      </c>
      <c r="E2630" t="s">
        <v>20</v>
      </c>
      <c r="F2630" t="str">
        <f>"43558"</f>
        <v>43558</v>
      </c>
      <c r="G2630" t="str">
        <f>"Je070522"</f>
        <v>Je070522</v>
      </c>
      <c r="H2630" s="2">
        <f>2552.2</f>
        <v>2552.1999999999998</v>
      </c>
      <c r="I2630" t="s">
        <v>15</v>
      </c>
      <c r="J2630" t="s">
        <v>207</v>
      </c>
      <c r="K2630" t="str">
        <f>"60050192"</f>
        <v>60050192</v>
      </c>
    </row>
    <row r="2631" spans="1:11" x14ac:dyDescent="0.25">
      <c r="A2631">
        <v>2022</v>
      </c>
      <c r="B2631" t="s">
        <v>4580</v>
      </c>
      <c r="C2631" t="s">
        <v>4581</v>
      </c>
      <c r="D2631" t="s">
        <v>19</v>
      </c>
      <c r="E2631" t="s">
        <v>20</v>
      </c>
      <c r="F2631" t="str">
        <f>"43612"</f>
        <v>43612</v>
      </c>
      <c r="G2631" t="str">
        <f>"Je010722"</f>
        <v>Je010722</v>
      </c>
      <c r="H2631" s="2">
        <f>303.64</f>
        <v>303.64</v>
      </c>
      <c r="I2631" t="s">
        <v>15</v>
      </c>
      <c r="J2631" t="s">
        <v>90</v>
      </c>
      <c r="K2631" t="str">
        <f>"60025802"</f>
        <v>60025802</v>
      </c>
    </row>
    <row r="2632" spans="1:11" x14ac:dyDescent="0.25">
      <c r="A2632">
        <v>2022</v>
      </c>
      <c r="B2632" t="s">
        <v>4582</v>
      </c>
      <c r="C2632" t="s">
        <v>4583</v>
      </c>
      <c r="D2632" t="s">
        <v>19</v>
      </c>
      <c r="E2632" t="s">
        <v>20</v>
      </c>
      <c r="F2632" t="str">
        <f>"43605-2749"</f>
        <v>43605-2749</v>
      </c>
      <c r="G2632" t="str">
        <f>"545101"</f>
        <v>545101</v>
      </c>
      <c r="H2632" s="2">
        <f>10</f>
        <v>10</v>
      </c>
      <c r="I2632" t="s">
        <v>27</v>
      </c>
      <c r="J2632" t="s">
        <v>51</v>
      </c>
      <c r="K2632" t="str">
        <f>"116605"</f>
        <v>116605</v>
      </c>
    </row>
    <row r="2633" spans="1:11" x14ac:dyDescent="0.25">
      <c r="A2633">
        <v>2022</v>
      </c>
      <c r="B2633" t="s">
        <v>4584</v>
      </c>
      <c r="C2633" t="s">
        <v>4585</v>
      </c>
      <c r="D2633" t="s">
        <v>45</v>
      </c>
      <c r="E2633" t="s">
        <v>20</v>
      </c>
      <c r="F2633" t="str">
        <f>"43542-9791"</f>
        <v>43542-9791</v>
      </c>
      <c r="G2633" t="str">
        <f>"545101"</f>
        <v>545101</v>
      </c>
      <c r="H2633" s="2">
        <f>20</f>
        <v>20</v>
      </c>
      <c r="I2633" t="s">
        <v>27</v>
      </c>
      <c r="J2633" t="s">
        <v>51</v>
      </c>
      <c r="K2633" t="str">
        <f>"116517"</f>
        <v>116517</v>
      </c>
    </row>
    <row r="2634" spans="1:11" x14ac:dyDescent="0.25">
      <c r="A2634">
        <v>2022</v>
      </c>
      <c r="B2634" t="s">
        <v>4594</v>
      </c>
      <c r="C2634" t="s">
        <v>4595</v>
      </c>
      <c r="D2634" t="s">
        <v>19</v>
      </c>
      <c r="E2634" t="s">
        <v>20</v>
      </c>
      <c r="F2634" t="str">
        <f t="shared" ref="F2634:F2640" si="84">"43613"</f>
        <v>43613</v>
      </c>
      <c r="G2634" t="str">
        <f>"Je11032022"</f>
        <v>Je11032022</v>
      </c>
      <c r="H2634" s="2">
        <f>153.78</f>
        <v>153.78</v>
      </c>
      <c r="I2634" t="s">
        <v>15</v>
      </c>
      <c r="J2634" t="s">
        <v>234</v>
      </c>
      <c r="K2634" t="str">
        <f>"60058426"</f>
        <v>60058426</v>
      </c>
    </row>
    <row r="2635" spans="1:11" x14ac:dyDescent="0.25">
      <c r="A2635">
        <v>2022</v>
      </c>
      <c r="B2635" t="s">
        <v>4605</v>
      </c>
      <c r="C2635" t="s">
        <v>4606</v>
      </c>
      <c r="D2635" t="s">
        <v>19</v>
      </c>
      <c r="E2635" t="s">
        <v>20</v>
      </c>
      <c r="F2635" t="str">
        <f t="shared" si="84"/>
        <v>43613</v>
      </c>
      <c r="G2635" t="str">
        <f t="shared" ref="G2635:G2640" si="85">"545044"</f>
        <v>545044</v>
      </c>
      <c r="H2635" s="2">
        <f>2.73</f>
        <v>2.73</v>
      </c>
      <c r="I2635" t="s">
        <v>27</v>
      </c>
      <c r="J2635" t="s">
        <v>28</v>
      </c>
      <c r="K2635" t="str">
        <f>"518606"</f>
        <v>518606</v>
      </c>
    </row>
    <row r="2636" spans="1:11" x14ac:dyDescent="0.25">
      <c r="A2636">
        <v>2022</v>
      </c>
      <c r="B2636" t="s">
        <v>4605</v>
      </c>
      <c r="C2636" t="s">
        <v>4606</v>
      </c>
      <c r="D2636" t="s">
        <v>19</v>
      </c>
      <c r="E2636" t="s">
        <v>20</v>
      </c>
      <c r="F2636" t="str">
        <f t="shared" si="84"/>
        <v>43613</v>
      </c>
      <c r="G2636" t="str">
        <f t="shared" si="85"/>
        <v>545044</v>
      </c>
      <c r="H2636" s="2">
        <f>1.82</f>
        <v>1.82</v>
      </c>
      <c r="I2636" t="s">
        <v>27</v>
      </c>
      <c r="J2636" t="s">
        <v>28</v>
      </c>
      <c r="K2636" t="str">
        <f>"518861"</f>
        <v>518861</v>
      </c>
    </row>
    <row r="2637" spans="1:11" x14ac:dyDescent="0.25">
      <c r="A2637">
        <v>2022</v>
      </c>
      <c r="B2637" t="s">
        <v>4605</v>
      </c>
      <c r="C2637" t="s">
        <v>4606</v>
      </c>
      <c r="D2637" t="s">
        <v>19</v>
      </c>
      <c r="E2637" t="s">
        <v>20</v>
      </c>
      <c r="F2637" t="str">
        <f t="shared" si="84"/>
        <v>43613</v>
      </c>
      <c r="G2637" t="str">
        <f t="shared" si="85"/>
        <v>545044</v>
      </c>
      <c r="H2637" s="2">
        <f>1.82</f>
        <v>1.82</v>
      </c>
      <c r="I2637" t="s">
        <v>27</v>
      </c>
      <c r="J2637" t="s">
        <v>28</v>
      </c>
      <c r="K2637" t="str">
        <f>"518379"</f>
        <v>518379</v>
      </c>
    </row>
    <row r="2638" spans="1:11" x14ac:dyDescent="0.25">
      <c r="A2638">
        <v>2022</v>
      </c>
      <c r="B2638" t="s">
        <v>4605</v>
      </c>
      <c r="C2638" t="s">
        <v>4606</v>
      </c>
      <c r="D2638" t="s">
        <v>19</v>
      </c>
      <c r="E2638" t="s">
        <v>20</v>
      </c>
      <c r="F2638" t="str">
        <f t="shared" si="84"/>
        <v>43613</v>
      </c>
      <c r="G2638" t="str">
        <f t="shared" si="85"/>
        <v>545044</v>
      </c>
      <c r="H2638" s="2">
        <f>4.55</f>
        <v>4.55</v>
      </c>
      <c r="I2638" t="s">
        <v>27</v>
      </c>
      <c r="J2638" t="s">
        <v>28</v>
      </c>
      <c r="K2638" t="str">
        <f>"520457"</f>
        <v>520457</v>
      </c>
    </row>
    <row r="2639" spans="1:11" x14ac:dyDescent="0.25">
      <c r="A2639">
        <v>2022</v>
      </c>
      <c r="B2639" t="s">
        <v>4605</v>
      </c>
      <c r="C2639" t="s">
        <v>4606</v>
      </c>
      <c r="D2639" t="s">
        <v>19</v>
      </c>
      <c r="E2639" t="s">
        <v>20</v>
      </c>
      <c r="F2639" t="str">
        <f t="shared" si="84"/>
        <v>43613</v>
      </c>
      <c r="G2639" t="str">
        <f t="shared" si="85"/>
        <v>545044</v>
      </c>
      <c r="H2639" s="2">
        <f>4.55</f>
        <v>4.55</v>
      </c>
      <c r="I2639" t="s">
        <v>27</v>
      </c>
      <c r="J2639" t="s">
        <v>28</v>
      </c>
      <c r="K2639" t="str">
        <f>"519850"</f>
        <v>519850</v>
      </c>
    </row>
    <row r="2640" spans="1:11" x14ac:dyDescent="0.25">
      <c r="A2640">
        <v>2022</v>
      </c>
      <c r="B2640" t="s">
        <v>4605</v>
      </c>
      <c r="C2640" t="s">
        <v>4606</v>
      </c>
      <c r="D2640" t="s">
        <v>19</v>
      </c>
      <c r="E2640" t="s">
        <v>20</v>
      </c>
      <c r="F2640" t="str">
        <f t="shared" si="84"/>
        <v>43613</v>
      </c>
      <c r="G2640" t="str">
        <f t="shared" si="85"/>
        <v>545044</v>
      </c>
      <c r="H2640" s="2">
        <f>5</f>
        <v>5</v>
      </c>
      <c r="I2640" t="s">
        <v>27</v>
      </c>
      <c r="J2640" t="s">
        <v>28</v>
      </c>
      <c r="K2640" t="str">
        <f>"519672"</f>
        <v>519672</v>
      </c>
    </row>
    <row r="2641" spans="1:11" x14ac:dyDescent="0.25">
      <c r="A2641">
        <v>2022</v>
      </c>
      <c r="B2641" t="s">
        <v>4607</v>
      </c>
      <c r="C2641" t="s">
        <v>4608</v>
      </c>
      <c r="D2641" t="s">
        <v>19</v>
      </c>
      <c r="E2641" t="s">
        <v>20</v>
      </c>
      <c r="F2641" t="str">
        <f>"43612"</f>
        <v>43612</v>
      </c>
      <c r="G2641" t="str">
        <f>"545075"</f>
        <v>545075</v>
      </c>
      <c r="H2641" s="2">
        <f>184.16</f>
        <v>184.16</v>
      </c>
      <c r="I2641" t="s">
        <v>27</v>
      </c>
      <c r="J2641" t="s">
        <v>31</v>
      </c>
      <c r="K2641" t="str">
        <f>"44009015"</f>
        <v>44009015</v>
      </c>
    </row>
    <row r="2642" spans="1:11" x14ac:dyDescent="0.25">
      <c r="A2642">
        <v>2022</v>
      </c>
      <c r="B2642" t="s">
        <v>4607</v>
      </c>
      <c r="C2642" t="s">
        <v>4608</v>
      </c>
      <c r="D2642" t="s">
        <v>19</v>
      </c>
      <c r="E2642" t="s">
        <v>20</v>
      </c>
      <c r="F2642" t="str">
        <f>"43612"</f>
        <v>43612</v>
      </c>
      <c r="G2642" t="str">
        <f>"545075"</f>
        <v>545075</v>
      </c>
      <c r="H2642" s="2">
        <f>215.87</f>
        <v>215.87</v>
      </c>
      <c r="I2642" t="s">
        <v>27</v>
      </c>
      <c r="J2642" t="s">
        <v>31</v>
      </c>
      <c r="K2642" t="str">
        <f>"44008953"</f>
        <v>44008953</v>
      </c>
    </row>
    <row r="2643" spans="1:11" x14ac:dyDescent="0.25">
      <c r="A2643">
        <v>2022</v>
      </c>
      <c r="B2643" t="s">
        <v>4621</v>
      </c>
      <c r="C2643" t="s">
        <v>4622</v>
      </c>
      <c r="D2643" t="s">
        <v>105</v>
      </c>
      <c r="E2643" t="s">
        <v>20</v>
      </c>
      <c r="F2643" t="str">
        <f>"43528"</f>
        <v>43528</v>
      </c>
      <c r="G2643" t="str">
        <f>"Je010722"</f>
        <v>Je010722</v>
      </c>
      <c r="H2643" s="2">
        <f>210</f>
        <v>210</v>
      </c>
      <c r="I2643" t="s">
        <v>15</v>
      </c>
      <c r="J2643" t="s">
        <v>90</v>
      </c>
      <c r="K2643" t="str">
        <f>"60032835"</f>
        <v>60032835</v>
      </c>
    </row>
    <row r="2644" spans="1:11" x14ac:dyDescent="0.25">
      <c r="A2644">
        <v>2022</v>
      </c>
      <c r="B2644" t="s">
        <v>4627</v>
      </c>
      <c r="C2644" t="s">
        <v>4628</v>
      </c>
      <c r="D2644" t="s">
        <v>19</v>
      </c>
      <c r="E2644" t="s">
        <v>20</v>
      </c>
      <c r="F2644" t="str">
        <f>"43614-3626"</f>
        <v>43614-3626</v>
      </c>
      <c r="G2644" t="str">
        <f>"545101"</f>
        <v>545101</v>
      </c>
      <c r="H2644" s="2">
        <f>20</f>
        <v>20</v>
      </c>
      <c r="I2644" t="s">
        <v>27</v>
      </c>
      <c r="J2644" t="s">
        <v>51</v>
      </c>
      <c r="K2644" t="str">
        <f>"116952"</f>
        <v>116952</v>
      </c>
    </row>
    <row r="2645" spans="1:11" x14ac:dyDescent="0.25">
      <c r="A2645">
        <v>2022</v>
      </c>
      <c r="B2645" t="s">
        <v>4685</v>
      </c>
      <c r="C2645" t="s">
        <v>4686</v>
      </c>
      <c r="D2645" t="s">
        <v>4687</v>
      </c>
      <c r="E2645" t="s">
        <v>4688</v>
      </c>
      <c r="F2645" t="str">
        <f>"05478"</f>
        <v>05478</v>
      </c>
      <c r="G2645" t="str">
        <f>"545075"</f>
        <v>545075</v>
      </c>
      <c r="H2645" s="2">
        <f>15.41</f>
        <v>15.41</v>
      </c>
      <c r="I2645" t="s">
        <v>27</v>
      </c>
      <c r="J2645" t="s">
        <v>31</v>
      </c>
      <c r="K2645" t="str">
        <f>"22022611"</f>
        <v>22022611</v>
      </c>
    </row>
    <row r="2646" spans="1:11" x14ac:dyDescent="0.25">
      <c r="A2646">
        <v>2022</v>
      </c>
      <c r="B2646" t="s">
        <v>4695</v>
      </c>
      <c r="C2646" t="s">
        <v>4696</v>
      </c>
      <c r="D2646" t="s">
        <v>45</v>
      </c>
      <c r="E2646" t="s">
        <v>20</v>
      </c>
      <c r="F2646" t="str">
        <f>"43542-8605"</f>
        <v>43542-8605</v>
      </c>
      <c r="G2646" t="str">
        <f>"545101"</f>
        <v>545101</v>
      </c>
      <c r="H2646" s="2">
        <f>30</f>
        <v>30</v>
      </c>
      <c r="I2646" t="s">
        <v>27</v>
      </c>
      <c r="J2646" t="s">
        <v>51</v>
      </c>
      <c r="K2646" t="str">
        <f>"118333"</f>
        <v>118333</v>
      </c>
    </row>
    <row r="2647" spans="1:11" x14ac:dyDescent="0.25">
      <c r="A2647">
        <v>2022</v>
      </c>
      <c r="B2647" t="s">
        <v>4695</v>
      </c>
      <c r="C2647" t="s">
        <v>4696</v>
      </c>
      <c r="D2647" t="s">
        <v>45</v>
      </c>
      <c r="E2647" t="s">
        <v>20</v>
      </c>
      <c r="F2647" t="str">
        <f>"43542-8605"</f>
        <v>43542-8605</v>
      </c>
      <c r="G2647" t="str">
        <f>"545101"</f>
        <v>545101</v>
      </c>
      <c r="H2647" s="2">
        <f>50</f>
        <v>50</v>
      </c>
      <c r="I2647" t="s">
        <v>27</v>
      </c>
      <c r="J2647" t="s">
        <v>51</v>
      </c>
      <c r="K2647" t="str">
        <f>"118324"</f>
        <v>118324</v>
      </c>
    </row>
    <row r="2648" spans="1:11" x14ac:dyDescent="0.25">
      <c r="A2648">
        <v>2022</v>
      </c>
      <c r="B2648" t="s">
        <v>4734</v>
      </c>
      <c r="C2648" t="s">
        <v>4735</v>
      </c>
      <c r="D2648" t="s">
        <v>19</v>
      </c>
      <c r="E2648" t="s">
        <v>20</v>
      </c>
      <c r="F2648" t="str">
        <f>"43613"</f>
        <v>43613</v>
      </c>
      <c r="G2648" t="str">
        <f>"Je031622"</f>
        <v>Je031622</v>
      </c>
      <c r="H2648" s="2">
        <f>50</f>
        <v>50</v>
      </c>
      <c r="I2648" t="s">
        <v>15</v>
      </c>
      <c r="J2648" t="s">
        <v>117</v>
      </c>
      <c r="K2648" t="str">
        <f>"60038915"</f>
        <v>60038915</v>
      </c>
    </row>
    <row r="2649" spans="1:11" x14ac:dyDescent="0.25">
      <c r="A2649">
        <v>2022</v>
      </c>
      <c r="B2649" t="s">
        <v>4743</v>
      </c>
      <c r="C2649" t="s">
        <v>4744</v>
      </c>
      <c r="D2649" t="s">
        <v>19</v>
      </c>
      <c r="E2649" t="s">
        <v>20</v>
      </c>
      <c r="F2649" t="str">
        <f>"43606"</f>
        <v>43606</v>
      </c>
      <c r="G2649" t="str">
        <f>"Je010722"</f>
        <v>Je010722</v>
      </c>
      <c r="H2649" s="2">
        <f>15</f>
        <v>15</v>
      </c>
      <c r="I2649" t="s">
        <v>15</v>
      </c>
      <c r="J2649" t="s">
        <v>90</v>
      </c>
      <c r="K2649" t="str">
        <f>"60032873"</f>
        <v>60032873</v>
      </c>
    </row>
    <row r="2650" spans="1:11" x14ac:dyDescent="0.25">
      <c r="A2650">
        <v>2022</v>
      </c>
      <c r="B2650" t="s">
        <v>4752</v>
      </c>
      <c r="C2650" t="s">
        <v>4753</v>
      </c>
      <c r="D2650" t="s">
        <v>19</v>
      </c>
      <c r="E2650" t="s">
        <v>20</v>
      </c>
      <c r="F2650" t="str">
        <f>"43612"</f>
        <v>43612</v>
      </c>
      <c r="G2650" t="str">
        <f>"545044"</f>
        <v>545044</v>
      </c>
      <c r="H2650" s="2">
        <f>30</f>
        <v>30</v>
      </c>
      <c r="I2650" t="s">
        <v>27</v>
      </c>
      <c r="J2650" t="s">
        <v>28</v>
      </c>
      <c r="K2650" t="str">
        <f>"518488"</f>
        <v>518488</v>
      </c>
    </row>
    <row r="2651" spans="1:11" x14ac:dyDescent="0.25">
      <c r="A2651">
        <v>2022</v>
      </c>
      <c r="B2651" t="s">
        <v>4776</v>
      </c>
      <c r="C2651" t="s">
        <v>4777</v>
      </c>
      <c r="D2651" t="s">
        <v>19</v>
      </c>
      <c r="E2651" t="s">
        <v>20</v>
      </c>
      <c r="F2651" t="str">
        <f>"43607"</f>
        <v>43607</v>
      </c>
      <c r="G2651" t="str">
        <f>"545044"</f>
        <v>545044</v>
      </c>
      <c r="H2651" s="2">
        <f>87</f>
        <v>87</v>
      </c>
      <c r="I2651" t="s">
        <v>27</v>
      </c>
      <c r="J2651" t="s">
        <v>28</v>
      </c>
      <c r="K2651" t="str">
        <f>"519556"</f>
        <v>519556</v>
      </c>
    </row>
    <row r="2652" spans="1:11" x14ac:dyDescent="0.25">
      <c r="A2652">
        <v>2022</v>
      </c>
      <c r="B2652" t="s">
        <v>4778</v>
      </c>
      <c r="C2652" t="s">
        <v>4779</v>
      </c>
      <c r="D2652" t="s">
        <v>111</v>
      </c>
      <c r="E2652" t="s">
        <v>20</v>
      </c>
      <c r="F2652" t="str">
        <f>"43219"</f>
        <v>43219</v>
      </c>
      <c r="G2652" t="str">
        <f>"Je031622"</f>
        <v>Je031622</v>
      </c>
      <c r="H2652" s="2">
        <f>636.48</f>
        <v>636.48</v>
      </c>
      <c r="I2652" t="s">
        <v>15</v>
      </c>
      <c r="J2652" t="s">
        <v>117</v>
      </c>
      <c r="K2652" t="str">
        <f>"60040892"</f>
        <v>60040892</v>
      </c>
    </row>
    <row r="2653" spans="1:11" x14ac:dyDescent="0.25">
      <c r="A2653">
        <v>2022</v>
      </c>
      <c r="B2653" t="s">
        <v>4797</v>
      </c>
      <c r="C2653" t="s">
        <v>4798</v>
      </c>
      <c r="D2653" t="s">
        <v>19</v>
      </c>
      <c r="E2653" t="s">
        <v>20</v>
      </c>
      <c r="F2653" t="str">
        <f>"43611"</f>
        <v>43611</v>
      </c>
      <c r="G2653" t="str">
        <f>"545043"</f>
        <v>545043</v>
      </c>
      <c r="H2653" s="2">
        <f>5.72</f>
        <v>5.72</v>
      </c>
      <c r="I2653" t="s">
        <v>27</v>
      </c>
      <c r="J2653" t="s">
        <v>77</v>
      </c>
      <c r="K2653" t="str">
        <f>"332657"</f>
        <v>332657</v>
      </c>
    </row>
    <row r="2654" spans="1:11" x14ac:dyDescent="0.25">
      <c r="A2654">
        <v>2022</v>
      </c>
      <c r="B2654" t="s">
        <v>4799</v>
      </c>
      <c r="C2654" t="s">
        <v>4800</v>
      </c>
      <c r="D2654" t="s">
        <v>19</v>
      </c>
      <c r="E2654" t="s">
        <v>20</v>
      </c>
      <c r="F2654" t="str">
        <f>"43605"</f>
        <v>43605</v>
      </c>
      <c r="G2654" t="str">
        <f>"Je031622"</f>
        <v>Je031622</v>
      </c>
      <c r="H2654" s="2">
        <f>30.17</f>
        <v>30.17</v>
      </c>
      <c r="I2654" t="s">
        <v>15</v>
      </c>
      <c r="J2654" t="s">
        <v>117</v>
      </c>
      <c r="K2654" t="str">
        <f>"60041855"</f>
        <v>60041855</v>
      </c>
    </row>
    <row r="2655" spans="1:11" x14ac:dyDescent="0.25">
      <c r="A2655">
        <v>2022</v>
      </c>
      <c r="B2655" t="s">
        <v>4818</v>
      </c>
      <c r="C2655" t="s">
        <v>4819</v>
      </c>
      <c r="D2655" t="s">
        <v>19</v>
      </c>
      <c r="E2655" t="s">
        <v>20</v>
      </c>
      <c r="F2655" t="str">
        <f>"43614"</f>
        <v>43614</v>
      </c>
      <c r="G2655" t="str">
        <f>"Je010722"</f>
        <v>Je010722</v>
      </c>
      <c r="H2655" s="2">
        <f>30.17</f>
        <v>30.17</v>
      </c>
      <c r="I2655" t="s">
        <v>15</v>
      </c>
      <c r="J2655" t="s">
        <v>90</v>
      </c>
      <c r="K2655" t="str">
        <f>"60034483"</f>
        <v>60034483</v>
      </c>
    </row>
    <row r="2656" spans="1:11" x14ac:dyDescent="0.25">
      <c r="A2656">
        <v>2022</v>
      </c>
      <c r="B2656" t="s">
        <v>4846</v>
      </c>
      <c r="C2656" t="s">
        <v>4847</v>
      </c>
      <c r="D2656" t="s">
        <v>13</v>
      </c>
      <c r="E2656" t="s">
        <v>14</v>
      </c>
      <c r="F2656" t="str">
        <f>"49267"</f>
        <v>49267</v>
      </c>
      <c r="G2656" t="str">
        <f>"Je010722"</f>
        <v>Je010722</v>
      </c>
      <c r="H2656" s="2">
        <f>60.34</f>
        <v>60.34</v>
      </c>
      <c r="I2656" t="s">
        <v>15</v>
      </c>
      <c r="J2656" t="s">
        <v>90</v>
      </c>
      <c r="K2656" t="str">
        <f>"60029155"</f>
        <v>60029155</v>
      </c>
    </row>
    <row r="2657" spans="1:11" x14ac:dyDescent="0.25">
      <c r="A2657">
        <v>2022</v>
      </c>
      <c r="B2657" t="s">
        <v>4852</v>
      </c>
      <c r="C2657" t="s">
        <v>4853</v>
      </c>
      <c r="D2657" t="s">
        <v>50</v>
      </c>
      <c r="E2657" t="s">
        <v>20</v>
      </c>
      <c r="F2657" t="str">
        <f>"43560"</f>
        <v>43560</v>
      </c>
      <c r="G2657" t="str">
        <f t="shared" ref="G2657:G2669" si="86">"545044"</f>
        <v>545044</v>
      </c>
      <c r="H2657" s="2">
        <f>2</f>
        <v>2</v>
      </c>
      <c r="I2657" t="s">
        <v>27</v>
      </c>
      <c r="J2657" t="s">
        <v>28</v>
      </c>
      <c r="K2657" t="str">
        <f>"520442"</f>
        <v>520442</v>
      </c>
    </row>
    <row r="2658" spans="1:11" x14ac:dyDescent="0.25">
      <c r="A2658">
        <v>2022</v>
      </c>
      <c r="B2658" t="s">
        <v>4852</v>
      </c>
      <c r="C2658" t="s">
        <v>4853</v>
      </c>
      <c r="D2658" t="s">
        <v>50</v>
      </c>
      <c r="E2658" t="s">
        <v>20</v>
      </c>
      <c r="F2658" t="str">
        <f>"43560"</f>
        <v>43560</v>
      </c>
      <c r="G2658" t="str">
        <f t="shared" si="86"/>
        <v>545044</v>
      </c>
      <c r="H2658" s="2">
        <f>2</f>
        <v>2</v>
      </c>
      <c r="I2658" t="s">
        <v>27</v>
      </c>
      <c r="J2658" t="s">
        <v>28</v>
      </c>
      <c r="K2658" t="str">
        <f>"520284"</f>
        <v>520284</v>
      </c>
    </row>
    <row r="2659" spans="1:11" x14ac:dyDescent="0.25">
      <c r="A2659">
        <v>2022</v>
      </c>
      <c r="B2659" t="s">
        <v>4852</v>
      </c>
      <c r="C2659" t="s">
        <v>4853</v>
      </c>
      <c r="D2659" t="s">
        <v>50</v>
      </c>
      <c r="E2659" t="s">
        <v>20</v>
      </c>
      <c r="F2659" t="str">
        <f>"43560"</f>
        <v>43560</v>
      </c>
      <c r="G2659" t="str">
        <f t="shared" si="86"/>
        <v>545044</v>
      </c>
      <c r="H2659" s="2">
        <f>1.5</f>
        <v>1.5</v>
      </c>
      <c r="I2659" t="s">
        <v>27</v>
      </c>
      <c r="J2659" t="s">
        <v>28</v>
      </c>
      <c r="K2659" t="str">
        <f>"519741"</f>
        <v>519741</v>
      </c>
    </row>
    <row r="2660" spans="1:11" x14ac:dyDescent="0.25">
      <c r="A2660">
        <v>2022</v>
      </c>
      <c r="B2660" t="s">
        <v>4852</v>
      </c>
      <c r="C2660" t="s">
        <v>4853</v>
      </c>
      <c r="D2660" t="s">
        <v>50</v>
      </c>
      <c r="E2660" t="s">
        <v>20</v>
      </c>
      <c r="F2660" t="str">
        <f>"43560"</f>
        <v>43560</v>
      </c>
      <c r="G2660" t="str">
        <f t="shared" si="86"/>
        <v>545044</v>
      </c>
      <c r="H2660" s="2">
        <f>2.5</f>
        <v>2.5</v>
      </c>
      <c r="I2660" t="s">
        <v>27</v>
      </c>
      <c r="J2660" t="s">
        <v>28</v>
      </c>
      <c r="K2660" t="str">
        <f>"518594"</f>
        <v>518594</v>
      </c>
    </row>
    <row r="2661" spans="1:11" x14ac:dyDescent="0.25">
      <c r="A2661">
        <v>2022</v>
      </c>
      <c r="B2661" t="s">
        <v>4884</v>
      </c>
      <c r="C2661" t="s">
        <v>4885</v>
      </c>
      <c r="D2661" t="s">
        <v>19</v>
      </c>
      <c r="E2661" t="s">
        <v>20</v>
      </c>
      <c r="F2661" t="str">
        <f>"43615"</f>
        <v>43615</v>
      </c>
      <c r="G2661" t="str">
        <f t="shared" si="86"/>
        <v>545044</v>
      </c>
      <c r="H2661" s="2">
        <f>100</f>
        <v>100</v>
      </c>
      <c r="I2661" t="s">
        <v>27</v>
      </c>
      <c r="J2661" t="s">
        <v>28</v>
      </c>
      <c r="K2661" t="str">
        <f>"520289"</f>
        <v>520289</v>
      </c>
    </row>
    <row r="2662" spans="1:11" x14ac:dyDescent="0.25">
      <c r="A2662">
        <v>2022</v>
      </c>
      <c r="B2662" t="s">
        <v>4886</v>
      </c>
      <c r="C2662" t="s">
        <v>4887</v>
      </c>
      <c r="D2662" t="s">
        <v>125</v>
      </c>
      <c r="E2662" t="s">
        <v>20</v>
      </c>
      <c r="F2662" t="str">
        <f>"43537"</f>
        <v>43537</v>
      </c>
      <c r="G2662" t="str">
        <f t="shared" si="86"/>
        <v>545044</v>
      </c>
      <c r="H2662" s="2">
        <f>10</f>
        <v>10</v>
      </c>
      <c r="I2662" t="s">
        <v>27</v>
      </c>
      <c r="J2662" t="s">
        <v>28</v>
      </c>
      <c r="K2662" t="str">
        <f>"520113"</f>
        <v>520113</v>
      </c>
    </row>
    <row r="2663" spans="1:11" x14ac:dyDescent="0.25">
      <c r="A2663">
        <v>2022</v>
      </c>
      <c r="B2663" t="s">
        <v>4886</v>
      </c>
      <c r="C2663" t="s">
        <v>4887</v>
      </c>
      <c r="D2663" t="s">
        <v>125</v>
      </c>
      <c r="E2663" t="s">
        <v>20</v>
      </c>
      <c r="F2663" t="str">
        <f>"43537"</f>
        <v>43537</v>
      </c>
      <c r="G2663" t="str">
        <f t="shared" si="86"/>
        <v>545044</v>
      </c>
      <c r="H2663" s="2">
        <f>20</f>
        <v>20</v>
      </c>
      <c r="I2663" t="s">
        <v>27</v>
      </c>
      <c r="J2663" t="s">
        <v>28</v>
      </c>
      <c r="K2663" t="str">
        <f>"519930"</f>
        <v>519930</v>
      </c>
    </row>
    <row r="2664" spans="1:11" x14ac:dyDescent="0.25">
      <c r="A2664">
        <v>2022</v>
      </c>
      <c r="B2664" t="s">
        <v>4886</v>
      </c>
      <c r="C2664" t="s">
        <v>4887</v>
      </c>
      <c r="D2664" t="s">
        <v>125</v>
      </c>
      <c r="E2664" t="s">
        <v>20</v>
      </c>
      <c r="F2664" t="str">
        <f>"43537"</f>
        <v>43537</v>
      </c>
      <c r="G2664" t="str">
        <f t="shared" si="86"/>
        <v>545044</v>
      </c>
      <c r="H2664" s="2">
        <f>15</f>
        <v>15</v>
      </c>
      <c r="I2664" t="s">
        <v>27</v>
      </c>
      <c r="J2664" t="s">
        <v>28</v>
      </c>
      <c r="K2664" t="str">
        <f>"520450"</f>
        <v>520450</v>
      </c>
    </row>
    <row r="2665" spans="1:11" x14ac:dyDescent="0.25">
      <c r="A2665">
        <v>2022</v>
      </c>
      <c r="B2665" t="s">
        <v>4886</v>
      </c>
      <c r="C2665" t="s">
        <v>4887</v>
      </c>
      <c r="D2665" t="s">
        <v>125</v>
      </c>
      <c r="E2665" t="s">
        <v>20</v>
      </c>
      <c r="F2665" t="str">
        <f>"43537"</f>
        <v>43537</v>
      </c>
      <c r="G2665" t="str">
        <f t="shared" si="86"/>
        <v>545044</v>
      </c>
      <c r="H2665" s="2">
        <f>10</f>
        <v>10</v>
      </c>
      <c r="I2665" t="s">
        <v>27</v>
      </c>
      <c r="J2665" t="s">
        <v>28</v>
      </c>
      <c r="K2665" t="str">
        <f>"519746"</f>
        <v>519746</v>
      </c>
    </row>
    <row r="2666" spans="1:11" x14ac:dyDescent="0.25">
      <c r="A2666">
        <v>2022</v>
      </c>
      <c r="B2666" t="s">
        <v>4886</v>
      </c>
      <c r="C2666" t="s">
        <v>4887</v>
      </c>
      <c r="D2666" t="s">
        <v>125</v>
      </c>
      <c r="E2666" t="s">
        <v>20</v>
      </c>
      <c r="F2666" t="str">
        <f>"43537"</f>
        <v>43537</v>
      </c>
      <c r="G2666" t="str">
        <f t="shared" si="86"/>
        <v>545044</v>
      </c>
      <c r="H2666" s="2">
        <f>20</f>
        <v>20</v>
      </c>
      <c r="I2666" t="s">
        <v>27</v>
      </c>
      <c r="J2666" t="s">
        <v>28</v>
      </c>
      <c r="K2666" t="str">
        <f>"519573"</f>
        <v>519573</v>
      </c>
    </row>
    <row r="2667" spans="1:11" x14ac:dyDescent="0.25">
      <c r="A2667">
        <v>2022</v>
      </c>
      <c r="B2667" t="s">
        <v>4903</v>
      </c>
      <c r="C2667" t="s">
        <v>4904</v>
      </c>
      <c r="D2667" t="s">
        <v>19</v>
      </c>
      <c r="E2667" t="s">
        <v>20</v>
      </c>
      <c r="F2667" t="str">
        <f>"43605"</f>
        <v>43605</v>
      </c>
      <c r="G2667" t="str">
        <f t="shared" si="86"/>
        <v>545044</v>
      </c>
      <c r="H2667" s="2">
        <f>15</f>
        <v>15</v>
      </c>
      <c r="I2667" t="s">
        <v>27</v>
      </c>
      <c r="J2667" t="s">
        <v>28</v>
      </c>
      <c r="K2667" t="str">
        <f>"518822"</f>
        <v>518822</v>
      </c>
    </row>
    <row r="2668" spans="1:11" x14ac:dyDescent="0.25">
      <c r="A2668">
        <v>2022</v>
      </c>
      <c r="B2668" t="s">
        <v>4903</v>
      </c>
      <c r="C2668" t="s">
        <v>4905</v>
      </c>
      <c r="D2668" t="s">
        <v>19</v>
      </c>
      <c r="E2668" t="s">
        <v>20</v>
      </c>
      <c r="F2668" t="str">
        <f>"43615"</f>
        <v>43615</v>
      </c>
      <c r="G2668" t="str">
        <f t="shared" si="86"/>
        <v>545044</v>
      </c>
      <c r="H2668" s="2">
        <f>15</f>
        <v>15</v>
      </c>
      <c r="I2668" t="s">
        <v>27</v>
      </c>
      <c r="J2668" t="s">
        <v>28</v>
      </c>
      <c r="K2668" t="str">
        <f>"518503"</f>
        <v>518503</v>
      </c>
    </row>
    <row r="2669" spans="1:11" x14ac:dyDescent="0.25">
      <c r="A2669">
        <v>2022</v>
      </c>
      <c r="B2669" t="s">
        <v>4908</v>
      </c>
      <c r="C2669" t="s">
        <v>4909</v>
      </c>
      <c r="D2669" t="s">
        <v>19</v>
      </c>
      <c r="E2669" t="s">
        <v>20</v>
      </c>
      <c r="F2669" t="str">
        <f>"43614"</f>
        <v>43614</v>
      </c>
      <c r="G2669" t="str">
        <f t="shared" si="86"/>
        <v>545044</v>
      </c>
      <c r="H2669" s="2">
        <f>7</f>
        <v>7</v>
      </c>
      <c r="I2669" t="s">
        <v>27</v>
      </c>
      <c r="J2669" t="s">
        <v>28</v>
      </c>
      <c r="K2669" t="str">
        <f>"519038"</f>
        <v>519038</v>
      </c>
    </row>
    <row r="2670" spans="1:11" x14ac:dyDescent="0.25">
      <c r="A2670">
        <v>2022</v>
      </c>
      <c r="B2670" t="s">
        <v>4921</v>
      </c>
      <c r="C2670" t="s">
        <v>4922</v>
      </c>
      <c r="D2670" t="s">
        <v>4923</v>
      </c>
      <c r="E2670" t="s">
        <v>1341</v>
      </c>
      <c r="F2670" t="str">
        <f>"77379"</f>
        <v>77379</v>
      </c>
      <c r="G2670" t="str">
        <f>"Je010722"</f>
        <v>Je010722</v>
      </c>
      <c r="H2670" s="2">
        <f>87.14</f>
        <v>87.14</v>
      </c>
      <c r="I2670" t="s">
        <v>15</v>
      </c>
      <c r="J2670" t="s">
        <v>90</v>
      </c>
      <c r="K2670" t="str">
        <f>"60025275"</f>
        <v>60025275</v>
      </c>
    </row>
    <row r="2671" spans="1:11" x14ac:dyDescent="0.25">
      <c r="A2671">
        <v>2022</v>
      </c>
      <c r="B2671" t="s">
        <v>4961</v>
      </c>
      <c r="C2671" t="s">
        <v>4962</v>
      </c>
      <c r="D2671" t="s">
        <v>58</v>
      </c>
      <c r="E2671" t="s">
        <v>20</v>
      </c>
      <c r="F2671" t="str">
        <f>"43616"</f>
        <v>43616</v>
      </c>
      <c r="G2671" t="str">
        <f>"545044"</f>
        <v>545044</v>
      </c>
      <c r="H2671" s="2">
        <f>13.33</f>
        <v>13.33</v>
      </c>
      <c r="I2671" t="s">
        <v>27</v>
      </c>
      <c r="J2671" t="s">
        <v>28</v>
      </c>
      <c r="K2671" t="str">
        <f>"518666"</f>
        <v>518666</v>
      </c>
    </row>
    <row r="2672" spans="1:11" x14ac:dyDescent="0.25">
      <c r="A2672">
        <v>2022</v>
      </c>
      <c r="B2672" t="s">
        <v>4971</v>
      </c>
      <c r="C2672" t="s">
        <v>4972</v>
      </c>
      <c r="D2672" t="s">
        <v>19</v>
      </c>
      <c r="E2672" t="s">
        <v>20</v>
      </c>
      <c r="F2672" t="str">
        <f>"43623-1317"</f>
        <v>43623-1317</v>
      </c>
      <c r="G2672" t="str">
        <f>"545101"</f>
        <v>545101</v>
      </c>
      <c r="H2672" s="2">
        <f>20</f>
        <v>20</v>
      </c>
      <c r="I2672" t="s">
        <v>27</v>
      </c>
      <c r="J2672" t="s">
        <v>51</v>
      </c>
      <c r="K2672" t="str">
        <f>"116072"</f>
        <v>116072</v>
      </c>
    </row>
    <row r="2673" spans="1:11" x14ac:dyDescent="0.25">
      <c r="A2673">
        <v>2022</v>
      </c>
      <c r="B2673" t="s">
        <v>4985</v>
      </c>
      <c r="C2673" t="s">
        <v>4986</v>
      </c>
      <c r="D2673" t="s">
        <v>19</v>
      </c>
      <c r="E2673" t="s">
        <v>20</v>
      </c>
      <c r="F2673" t="str">
        <f>"43607"</f>
        <v>43607</v>
      </c>
      <c r="G2673" t="str">
        <f>"Je010722"</f>
        <v>Je010722</v>
      </c>
      <c r="H2673" s="2">
        <f>15</f>
        <v>15</v>
      </c>
      <c r="I2673" t="s">
        <v>15</v>
      </c>
      <c r="J2673" t="s">
        <v>90</v>
      </c>
      <c r="K2673" t="str">
        <f>"60032932"</f>
        <v>60032932</v>
      </c>
    </row>
    <row r="2674" spans="1:11" x14ac:dyDescent="0.25">
      <c r="A2674">
        <v>2022</v>
      </c>
      <c r="B2674" t="s">
        <v>5020</v>
      </c>
      <c r="C2674" t="s">
        <v>5021</v>
      </c>
      <c r="D2674" t="s">
        <v>19</v>
      </c>
      <c r="E2674" t="s">
        <v>20</v>
      </c>
      <c r="F2674" t="str">
        <f>"43612"</f>
        <v>43612</v>
      </c>
      <c r="G2674" t="str">
        <f>"Je010722"</f>
        <v>Je010722</v>
      </c>
      <c r="H2674" s="2">
        <f>15</f>
        <v>15</v>
      </c>
      <c r="I2674" t="s">
        <v>15</v>
      </c>
      <c r="J2674" t="s">
        <v>90</v>
      </c>
      <c r="K2674" t="str">
        <f>"60032947"</f>
        <v>60032947</v>
      </c>
    </row>
    <row r="2675" spans="1:11" x14ac:dyDescent="0.25">
      <c r="A2675">
        <v>2022</v>
      </c>
      <c r="B2675" t="s">
        <v>5028</v>
      </c>
      <c r="C2675" t="s">
        <v>5029</v>
      </c>
      <c r="D2675" t="s">
        <v>19</v>
      </c>
      <c r="E2675" t="s">
        <v>20</v>
      </c>
      <c r="F2675" t="str">
        <f>"43608"</f>
        <v>43608</v>
      </c>
      <c r="G2675" t="str">
        <f>"Je010722"</f>
        <v>Je010722</v>
      </c>
      <c r="H2675" s="2">
        <f>15</f>
        <v>15</v>
      </c>
      <c r="I2675" t="s">
        <v>15</v>
      </c>
      <c r="J2675" t="s">
        <v>90</v>
      </c>
      <c r="K2675" t="str">
        <f>"60032950"</f>
        <v>60032950</v>
      </c>
    </row>
    <row r="2676" spans="1:11" x14ac:dyDescent="0.25">
      <c r="A2676">
        <v>2022</v>
      </c>
      <c r="B2676" t="s">
        <v>5032</v>
      </c>
      <c r="C2676" t="s">
        <v>5033</v>
      </c>
      <c r="D2676" t="s">
        <v>19</v>
      </c>
      <c r="E2676" t="s">
        <v>20</v>
      </c>
      <c r="F2676" t="str">
        <f>"43610"</f>
        <v>43610</v>
      </c>
      <c r="G2676" t="str">
        <f>"Je010722"</f>
        <v>Je010722</v>
      </c>
      <c r="H2676" s="2">
        <f>10</f>
        <v>10</v>
      </c>
      <c r="I2676" t="s">
        <v>15</v>
      </c>
      <c r="J2676" t="s">
        <v>90</v>
      </c>
      <c r="K2676" t="str">
        <f>"60032952"</f>
        <v>60032952</v>
      </c>
    </row>
    <row r="2677" spans="1:11" x14ac:dyDescent="0.25">
      <c r="A2677">
        <v>2022</v>
      </c>
      <c r="B2677" t="s">
        <v>5062</v>
      </c>
      <c r="C2677" t="s">
        <v>5063</v>
      </c>
      <c r="D2677" t="s">
        <v>19</v>
      </c>
      <c r="E2677" t="s">
        <v>20</v>
      </c>
      <c r="F2677" t="str">
        <f>"43617-1258"</f>
        <v>43617-1258</v>
      </c>
      <c r="G2677" t="str">
        <f>"545101"</f>
        <v>545101</v>
      </c>
      <c r="H2677" s="2">
        <f>10</f>
        <v>10</v>
      </c>
      <c r="I2677" t="s">
        <v>27</v>
      </c>
      <c r="J2677" t="s">
        <v>51</v>
      </c>
      <c r="K2677" t="str">
        <f>"116303"</f>
        <v>116303</v>
      </c>
    </row>
    <row r="2678" spans="1:11" x14ac:dyDescent="0.25">
      <c r="A2678">
        <v>2022</v>
      </c>
      <c r="B2678" t="s">
        <v>5070</v>
      </c>
      <c r="C2678" t="s">
        <v>5071</v>
      </c>
      <c r="D2678" t="s">
        <v>536</v>
      </c>
      <c r="E2678" t="s">
        <v>14</v>
      </c>
      <c r="F2678" t="str">
        <f>"48161"</f>
        <v>48161</v>
      </c>
      <c r="G2678" t="str">
        <f>"545043"</f>
        <v>545043</v>
      </c>
      <c r="H2678" s="2">
        <f>60.9</f>
        <v>60.9</v>
      </c>
      <c r="I2678" t="s">
        <v>27</v>
      </c>
      <c r="J2678" t="s">
        <v>77</v>
      </c>
      <c r="K2678" t="str">
        <f>"332757"</f>
        <v>332757</v>
      </c>
    </row>
    <row r="2679" spans="1:11" x14ac:dyDescent="0.25">
      <c r="A2679">
        <v>2022</v>
      </c>
      <c r="B2679" t="s">
        <v>5074</v>
      </c>
      <c r="C2679" t="s">
        <v>5075</v>
      </c>
      <c r="D2679" t="s">
        <v>19</v>
      </c>
      <c r="E2679" t="s">
        <v>20</v>
      </c>
      <c r="F2679" t="str">
        <f>"43606-2443"</f>
        <v>43606-2443</v>
      </c>
      <c r="G2679" t="str">
        <f>"545101"</f>
        <v>545101</v>
      </c>
      <c r="H2679" s="2">
        <f>10</f>
        <v>10</v>
      </c>
      <c r="I2679" t="s">
        <v>27</v>
      </c>
      <c r="J2679" t="s">
        <v>51</v>
      </c>
      <c r="K2679" t="str">
        <f>"116774"</f>
        <v>116774</v>
      </c>
    </row>
    <row r="2680" spans="1:11" x14ac:dyDescent="0.25">
      <c r="A2680">
        <v>2022</v>
      </c>
      <c r="B2680" t="s">
        <v>5076</v>
      </c>
      <c r="C2680" t="s">
        <v>5077</v>
      </c>
      <c r="D2680" t="s">
        <v>19</v>
      </c>
      <c r="E2680" t="s">
        <v>20</v>
      </c>
      <c r="F2680" t="str">
        <f>"43608"</f>
        <v>43608</v>
      </c>
      <c r="G2680" t="str">
        <f>"Je11032022"</f>
        <v>Je11032022</v>
      </c>
      <c r="H2680" s="2">
        <f>110</f>
        <v>110</v>
      </c>
      <c r="I2680" t="s">
        <v>15</v>
      </c>
      <c r="J2680" t="s">
        <v>234</v>
      </c>
      <c r="K2680" t="str">
        <f>"60057325"</f>
        <v>60057325</v>
      </c>
    </row>
    <row r="2681" spans="1:11" x14ac:dyDescent="0.25">
      <c r="A2681">
        <v>2022</v>
      </c>
      <c r="B2681" t="s">
        <v>5091</v>
      </c>
      <c r="C2681" t="s">
        <v>5092</v>
      </c>
      <c r="D2681" t="s">
        <v>19</v>
      </c>
      <c r="E2681" t="s">
        <v>20</v>
      </c>
      <c r="F2681" t="str">
        <f>"43608-1162"</f>
        <v>43608-1162</v>
      </c>
      <c r="G2681" t="str">
        <f>"545101"</f>
        <v>545101</v>
      </c>
      <c r="H2681" s="2">
        <f>10</f>
        <v>10</v>
      </c>
      <c r="I2681" t="s">
        <v>27</v>
      </c>
      <c r="J2681" t="s">
        <v>51</v>
      </c>
      <c r="K2681" t="str">
        <f>"116965"</f>
        <v>116965</v>
      </c>
    </row>
    <row r="2682" spans="1:11" x14ac:dyDescent="0.25">
      <c r="A2682">
        <v>2022</v>
      </c>
      <c r="B2682" t="s">
        <v>5097</v>
      </c>
      <c r="C2682" t="s">
        <v>5098</v>
      </c>
      <c r="D2682" t="s">
        <v>105</v>
      </c>
      <c r="E2682" t="s">
        <v>20</v>
      </c>
      <c r="F2682" t="str">
        <f>"43528"</f>
        <v>43528</v>
      </c>
      <c r="G2682" t="str">
        <f>"545042"</f>
        <v>545042</v>
      </c>
      <c r="H2682" s="2">
        <f>9</f>
        <v>9</v>
      </c>
      <c r="I2682" t="s">
        <v>27</v>
      </c>
      <c r="J2682" t="s">
        <v>257</v>
      </c>
      <c r="K2682" t="str">
        <f>"38102"</f>
        <v>38102</v>
      </c>
    </row>
    <row r="2683" spans="1:11" x14ac:dyDescent="0.25">
      <c r="A2683">
        <v>2022</v>
      </c>
      <c r="B2683" t="s">
        <v>5113</v>
      </c>
      <c r="C2683" t="s">
        <v>5114</v>
      </c>
      <c r="D2683" t="s">
        <v>19</v>
      </c>
      <c r="E2683" t="s">
        <v>20</v>
      </c>
      <c r="F2683" t="str">
        <f>"43613"</f>
        <v>43613</v>
      </c>
      <c r="G2683" t="str">
        <f>"Je031622"</f>
        <v>Je031622</v>
      </c>
      <c r="H2683" s="2">
        <f>211.2</f>
        <v>211.2</v>
      </c>
      <c r="I2683" t="s">
        <v>15</v>
      </c>
      <c r="J2683" t="s">
        <v>117</v>
      </c>
      <c r="K2683" t="str">
        <f>"60043002"</f>
        <v>60043002</v>
      </c>
    </row>
    <row r="2684" spans="1:11" x14ac:dyDescent="0.25">
      <c r="A2684">
        <v>2022</v>
      </c>
      <c r="B2684" t="s">
        <v>5117</v>
      </c>
      <c r="C2684" t="s">
        <v>1051</v>
      </c>
      <c r="D2684" t="s">
        <v>19</v>
      </c>
      <c r="E2684" t="s">
        <v>20</v>
      </c>
      <c r="F2684" t="str">
        <f>"43613"</f>
        <v>43613</v>
      </c>
      <c r="G2684" t="str">
        <f>"545075"</f>
        <v>545075</v>
      </c>
      <c r="H2684" s="2">
        <f>135.81</f>
        <v>135.81</v>
      </c>
      <c r="I2684" t="s">
        <v>27</v>
      </c>
      <c r="J2684" t="s">
        <v>31</v>
      </c>
      <c r="K2684" t="str">
        <f>"22022721"</f>
        <v>22022721</v>
      </c>
    </row>
    <row r="2685" spans="1:11" x14ac:dyDescent="0.25">
      <c r="A2685">
        <v>2022</v>
      </c>
      <c r="B2685" t="s">
        <v>5117</v>
      </c>
      <c r="C2685" t="s">
        <v>1051</v>
      </c>
      <c r="D2685" t="s">
        <v>19</v>
      </c>
      <c r="E2685" t="s">
        <v>20</v>
      </c>
      <c r="F2685" t="str">
        <f>"43613"</f>
        <v>43613</v>
      </c>
      <c r="G2685" t="str">
        <f>"545075"</f>
        <v>545075</v>
      </c>
      <c r="H2685" s="2">
        <f>4.18</f>
        <v>4.18</v>
      </c>
      <c r="I2685" t="s">
        <v>27</v>
      </c>
      <c r="J2685" t="s">
        <v>31</v>
      </c>
      <c r="K2685" t="str">
        <f>"11003766"</f>
        <v>11003766</v>
      </c>
    </row>
    <row r="2686" spans="1:11" x14ac:dyDescent="0.25">
      <c r="A2686">
        <v>2022</v>
      </c>
      <c r="B2686" t="s">
        <v>5117</v>
      </c>
      <c r="C2686" t="s">
        <v>1051</v>
      </c>
      <c r="D2686" t="s">
        <v>19</v>
      </c>
      <c r="E2686" t="s">
        <v>20</v>
      </c>
      <c r="F2686" t="str">
        <f>"43613"</f>
        <v>43613</v>
      </c>
      <c r="G2686" t="str">
        <f>"545075"</f>
        <v>545075</v>
      </c>
      <c r="H2686" s="2">
        <f>259</f>
        <v>259</v>
      </c>
      <c r="I2686" t="s">
        <v>27</v>
      </c>
      <c r="J2686" t="s">
        <v>31</v>
      </c>
      <c r="K2686" t="str">
        <f>"11004010"</f>
        <v>11004010</v>
      </c>
    </row>
    <row r="2687" spans="1:11" x14ac:dyDescent="0.25">
      <c r="A2687">
        <v>2022</v>
      </c>
      <c r="B2687" t="s">
        <v>5118</v>
      </c>
      <c r="C2687" t="s">
        <v>5119</v>
      </c>
      <c r="D2687" t="s">
        <v>19</v>
      </c>
      <c r="E2687" t="s">
        <v>20</v>
      </c>
      <c r="F2687" t="str">
        <f>"43604"</f>
        <v>43604</v>
      </c>
      <c r="G2687" t="str">
        <f>"545042"</f>
        <v>545042</v>
      </c>
      <c r="H2687" s="2">
        <f>25.32</f>
        <v>25.32</v>
      </c>
      <c r="I2687" t="s">
        <v>27</v>
      </c>
      <c r="J2687" t="s">
        <v>257</v>
      </c>
      <c r="K2687" t="str">
        <f>"38091"</f>
        <v>38091</v>
      </c>
    </row>
    <row r="2688" spans="1:11" x14ac:dyDescent="0.25">
      <c r="A2688">
        <v>2022</v>
      </c>
      <c r="B2688" t="s">
        <v>5135</v>
      </c>
      <c r="C2688" t="s">
        <v>5136</v>
      </c>
      <c r="D2688" t="s">
        <v>19</v>
      </c>
      <c r="E2688" t="s">
        <v>20</v>
      </c>
      <c r="F2688" t="str">
        <f>"43613"</f>
        <v>43613</v>
      </c>
      <c r="G2688" t="str">
        <f>"Je010722"</f>
        <v>Je010722</v>
      </c>
      <c r="H2688" s="2">
        <f>60.34</f>
        <v>60.34</v>
      </c>
      <c r="I2688" t="s">
        <v>15</v>
      </c>
      <c r="J2688" t="s">
        <v>90</v>
      </c>
      <c r="K2688" t="str">
        <f>"60029165"</f>
        <v>60029165</v>
      </c>
    </row>
    <row r="2689" spans="1:11" x14ac:dyDescent="0.25">
      <c r="A2689">
        <v>2022</v>
      </c>
      <c r="B2689" t="s">
        <v>5143</v>
      </c>
      <c r="C2689" t="s">
        <v>5144</v>
      </c>
      <c r="D2689" t="s">
        <v>19</v>
      </c>
      <c r="E2689" t="s">
        <v>20</v>
      </c>
      <c r="F2689" t="str">
        <f>"43614"</f>
        <v>43614</v>
      </c>
      <c r="G2689" t="str">
        <f>"Je070522"</f>
        <v>Je070522</v>
      </c>
      <c r="H2689" s="2">
        <f>190.39</f>
        <v>190.39</v>
      </c>
      <c r="I2689" t="s">
        <v>15</v>
      </c>
      <c r="J2689" t="s">
        <v>207</v>
      </c>
      <c r="K2689" t="str">
        <f>"60045883"</f>
        <v>60045883</v>
      </c>
    </row>
    <row r="2690" spans="1:11" x14ac:dyDescent="0.25">
      <c r="A2690">
        <v>2022</v>
      </c>
      <c r="B2690" t="s">
        <v>5161</v>
      </c>
      <c r="C2690" t="s">
        <v>5162</v>
      </c>
      <c r="D2690" t="s">
        <v>19</v>
      </c>
      <c r="E2690" t="s">
        <v>20</v>
      </c>
      <c r="F2690" t="str">
        <f>"43615-4382"</f>
        <v>43615-4382</v>
      </c>
      <c r="G2690" t="str">
        <f>"545101"</f>
        <v>545101</v>
      </c>
      <c r="H2690" s="2">
        <f>10</f>
        <v>10</v>
      </c>
      <c r="I2690" t="s">
        <v>27</v>
      </c>
      <c r="J2690" t="s">
        <v>51</v>
      </c>
      <c r="K2690" t="str">
        <f>"116994"</f>
        <v>116994</v>
      </c>
    </row>
    <row r="2691" spans="1:11" x14ac:dyDescent="0.25">
      <c r="A2691">
        <v>2022</v>
      </c>
      <c r="B2691" t="s">
        <v>5169</v>
      </c>
      <c r="C2691" t="s">
        <v>5170</v>
      </c>
      <c r="D2691" t="s">
        <v>19</v>
      </c>
      <c r="E2691" t="s">
        <v>20</v>
      </c>
      <c r="F2691" t="str">
        <f>"43609"</f>
        <v>43609</v>
      </c>
      <c r="G2691" t="str">
        <f>"545075"</f>
        <v>545075</v>
      </c>
      <c r="H2691" s="2">
        <f>9.48</f>
        <v>9.48</v>
      </c>
      <c r="I2691" t="s">
        <v>27</v>
      </c>
      <c r="J2691" t="s">
        <v>31</v>
      </c>
      <c r="K2691" t="str">
        <f>"44008930"</f>
        <v>44008930</v>
      </c>
    </row>
    <row r="2692" spans="1:11" x14ac:dyDescent="0.25">
      <c r="A2692">
        <v>2022</v>
      </c>
      <c r="B2692" t="s">
        <v>5183</v>
      </c>
      <c r="C2692" t="s">
        <v>5184</v>
      </c>
      <c r="D2692" t="s">
        <v>50</v>
      </c>
      <c r="E2692" t="s">
        <v>20</v>
      </c>
      <c r="F2692" t="str">
        <f>"43560-3214"</f>
        <v>43560-3214</v>
      </c>
      <c r="G2692" t="str">
        <f>"545101"</f>
        <v>545101</v>
      </c>
      <c r="H2692" s="2">
        <f>10</f>
        <v>10</v>
      </c>
      <c r="I2692" t="s">
        <v>27</v>
      </c>
      <c r="J2692" t="s">
        <v>51</v>
      </c>
      <c r="K2692" t="str">
        <f>"116459"</f>
        <v>116459</v>
      </c>
    </row>
    <row r="2693" spans="1:11" x14ac:dyDescent="0.25">
      <c r="A2693">
        <v>2022</v>
      </c>
      <c r="B2693" t="s">
        <v>5191</v>
      </c>
      <c r="C2693" t="s">
        <v>5192</v>
      </c>
      <c r="D2693" t="s">
        <v>19</v>
      </c>
      <c r="E2693" t="s">
        <v>20</v>
      </c>
      <c r="F2693" t="str">
        <f>"43615"</f>
        <v>43615</v>
      </c>
      <c r="G2693" t="str">
        <f>"Je031622"</f>
        <v>Je031622</v>
      </c>
      <c r="H2693" s="2">
        <f>49.08</f>
        <v>49.08</v>
      </c>
      <c r="I2693" t="s">
        <v>15</v>
      </c>
      <c r="J2693" t="s">
        <v>117</v>
      </c>
      <c r="K2693" t="str">
        <f>"60036952"</f>
        <v>60036952</v>
      </c>
    </row>
    <row r="2694" spans="1:11" x14ac:dyDescent="0.25">
      <c r="A2694">
        <v>2022</v>
      </c>
      <c r="B2694" t="s">
        <v>5199</v>
      </c>
      <c r="C2694" t="s">
        <v>5200</v>
      </c>
      <c r="D2694" t="s">
        <v>125</v>
      </c>
      <c r="E2694" t="s">
        <v>20</v>
      </c>
      <c r="F2694" t="str">
        <f>"43537-3041"</f>
        <v>43537-3041</v>
      </c>
      <c r="G2694" t="str">
        <f>"545101"</f>
        <v>545101</v>
      </c>
      <c r="H2694" s="2">
        <f>10</f>
        <v>10</v>
      </c>
      <c r="I2694" t="s">
        <v>27</v>
      </c>
      <c r="J2694" t="s">
        <v>51</v>
      </c>
      <c r="K2694" t="str">
        <f>"118140"</f>
        <v>118140</v>
      </c>
    </row>
    <row r="2695" spans="1:11" x14ac:dyDescent="0.25">
      <c r="A2695">
        <v>2022</v>
      </c>
      <c r="B2695" t="s">
        <v>5209</v>
      </c>
      <c r="C2695" t="s">
        <v>5210</v>
      </c>
      <c r="D2695" t="s">
        <v>1506</v>
      </c>
      <c r="E2695" t="s">
        <v>14</v>
      </c>
      <c r="F2695" t="str">
        <f>"48075"</f>
        <v>48075</v>
      </c>
      <c r="G2695" t="str">
        <f>"545042"</f>
        <v>545042</v>
      </c>
      <c r="H2695" s="2">
        <f>20</f>
        <v>20</v>
      </c>
      <c r="I2695" t="s">
        <v>27</v>
      </c>
      <c r="J2695" t="s">
        <v>257</v>
      </c>
      <c r="K2695" t="str">
        <f>"36637"</f>
        <v>36637</v>
      </c>
    </row>
    <row r="2696" spans="1:11" x14ac:dyDescent="0.25">
      <c r="A2696">
        <v>2022</v>
      </c>
      <c r="B2696" t="s">
        <v>5233</v>
      </c>
      <c r="C2696" t="s">
        <v>5234</v>
      </c>
      <c r="D2696" t="s">
        <v>19</v>
      </c>
      <c r="E2696" t="s">
        <v>20</v>
      </c>
      <c r="F2696" t="str">
        <f>"43611"</f>
        <v>43611</v>
      </c>
      <c r="G2696" t="str">
        <f>"Je031622"</f>
        <v>Je031622</v>
      </c>
      <c r="H2696" s="2">
        <f>298.36</f>
        <v>298.36</v>
      </c>
      <c r="I2696" t="s">
        <v>15</v>
      </c>
      <c r="J2696" t="s">
        <v>117</v>
      </c>
      <c r="K2696" t="str">
        <f>"60043003"</f>
        <v>60043003</v>
      </c>
    </row>
    <row r="2697" spans="1:11" x14ac:dyDescent="0.25">
      <c r="A2697">
        <v>2022</v>
      </c>
      <c r="B2697" t="s">
        <v>5235</v>
      </c>
      <c r="C2697" t="s">
        <v>5236</v>
      </c>
      <c r="D2697" t="s">
        <v>19</v>
      </c>
      <c r="E2697" t="s">
        <v>20</v>
      </c>
      <c r="F2697" t="str">
        <f>"43614"</f>
        <v>43614</v>
      </c>
      <c r="G2697" t="str">
        <f>"Je11032022"</f>
        <v>Je11032022</v>
      </c>
      <c r="H2697" s="2">
        <f>25</f>
        <v>25</v>
      </c>
      <c r="I2697" t="s">
        <v>15</v>
      </c>
      <c r="J2697" t="s">
        <v>234</v>
      </c>
      <c r="K2697" t="str">
        <f>"60053806"</f>
        <v>60053806</v>
      </c>
    </row>
    <row r="2698" spans="1:11" x14ac:dyDescent="0.25">
      <c r="A2698">
        <v>2022</v>
      </c>
      <c r="B2698" t="s">
        <v>5243</v>
      </c>
      <c r="C2698" t="s">
        <v>5244</v>
      </c>
      <c r="D2698" t="s">
        <v>19</v>
      </c>
      <c r="E2698" t="s">
        <v>20</v>
      </c>
      <c r="F2698" t="str">
        <f>"43611"</f>
        <v>43611</v>
      </c>
      <c r="G2698" t="str">
        <f>"545043"</f>
        <v>545043</v>
      </c>
      <c r="H2698" s="2">
        <f>8.3</f>
        <v>8.3000000000000007</v>
      </c>
      <c r="I2698" t="s">
        <v>27</v>
      </c>
      <c r="J2698" t="s">
        <v>77</v>
      </c>
      <c r="K2698" t="str">
        <f>"333149"</f>
        <v>333149</v>
      </c>
    </row>
    <row r="2699" spans="1:11" x14ac:dyDescent="0.25">
      <c r="A2699">
        <v>2022</v>
      </c>
      <c r="B2699" t="s">
        <v>5274</v>
      </c>
      <c r="C2699" t="s">
        <v>5275</v>
      </c>
      <c r="D2699" t="s">
        <v>364</v>
      </c>
      <c r="E2699" t="s">
        <v>14</v>
      </c>
      <c r="F2699" t="str">
        <f>"48227"</f>
        <v>48227</v>
      </c>
      <c r="G2699" t="str">
        <f>"562222"</f>
        <v>562222</v>
      </c>
      <c r="H2699" s="2">
        <f>1</f>
        <v>1</v>
      </c>
      <c r="I2699" t="s">
        <v>519</v>
      </c>
      <c r="J2699" t="s">
        <v>811</v>
      </c>
      <c r="K2699" t="str">
        <f>"11225"</f>
        <v>11225</v>
      </c>
    </row>
    <row r="2700" spans="1:11" x14ac:dyDescent="0.25">
      <c r="A2700">
        <v>2022</v>
      </c>
      <c r="B2700" t="s">
        <v>5285</v>
      </c>
      <c r="C2700" t="s">
        <v>5287</v>
      </c>
      <c r="D2700" t="s">
        <v>19</v>
      </c>
      <c r="E2700" t="s">
        <v>20</v>
      </c>
      <c r="F2700" t="str">
        <f>"43606"</f>
        <v>43606</v>
      </c>
      <c r="G2700" t="str">
        <f>"545043"</f>
        <v>545043</v>
      </c>
      <c r="H2700" s="2">
        <f>7.4</f>
        <v>7.4</v>
      </c>
      <c r="I2700" t="s">
        <v>27</v>
      </c>
      <c r="J2700" t="s">
        <v>77</v>
      </c>
      <c r="K2700" t="str">
        <f>"333281"</f>
        <v>333281</v>
      </c>
    </row>
    <row r="2701" spans="1:11" x14ac:dyDescent="0.25">
      <c r="A2701">
        <v>2022</v>
      </c>
      <c r="B2701" t="s">
        <v>5294</v>
      </c>
      <c r="C2701" t="s">
        <v>5295</v>
      </c>
      <c r="D2701" t="s">
        <v>19</v>
      </c>
      <c r="E2701" t="s">
        <v>20</v>
      </c>
      <c r="F2701" t="str">
        <f>"43623-1150"</f>
        <v>43623-1150</v>
      </c>
      <c r="G2701" t="str">
        <f>"545101"</f>
        <v>545101</v>
      </c>
      <c r="H2701" s="2">
        <f>10</f>
        <v>10</v>
      </c>
      <c r="I2701" t="s">
        <v>27</v>
      </c>
      <c r="J2701" t="s">
        <v>51</v>
      </c>
      <c r="K2701" t="str">
        <f>"116117"</f>
        <v>116117</v>
      </c>
    </row>
    <row r="2702" spans="1:11" x14ac:dyDescent="0.25">
      <c r="A2702">
        <v>2022</v>
      </c>
      <c r="B2702" t="s">
        <v>5339</v>
      </c>
      <c r="C2702" t="s">
        <v>5340</v>
      </c>
      <c r="D2702" t="s">
        <v>19</v>
      </c>
      <c r="E2702" t="s">
        <v>20</v>
      </c>
      <c r="F2702" t="str">
        <f>"43615-2700"</f>
        <v>43615-2700</v>
      </c>
      <c r="G2702" t="str">
        <f>"545101"</f>
        <v>545101</v>
      </c>
      <c r="H2702" s="2">
        <f>7.5</f>
        <v>7.5</v>
      </c>
      <c r="I2702" t="s">
        <v>27</v>
      </c>
      <c r="J2702" t="s">
        <v>51</v>
      </c>
      <c r="K2702" t="str">
        <f>"116223"</f>
        <v>116223</v>
      </c>
    </row>
    <row r="2703" spans="1:11" x14ac:dyDescent="0.25">
      <c r="A2703">
        <v>2022</v>
      </c>
      <c r="B2703" t="s">
        <v>5345</v>
      </c>
      <c r="C2703" t="s">
        <v>5346</v>
      </c>
      <c r="D2703" t="s">
        <v>19</v>
      </c>
      <c r="E2703" t="s">
        <v>20</v>
      </c>
      <c r="F2703" t="str">
        <f>"43615-4676"</f>
        <v>43615-4676</v>
      </c>
      <c r="G2703" t="str">
        <f>"545101"</f>
        <v>545101</v>
      </c>
      <c r="H2703" s="2">
        <f>10</f>
        <v>10</v>
      </c>
      <c r="I2703" t="s">
        <v>27</v>
      </c>
      <c r="J2703" t="s">
        <v>51</v>
      </c>
      <c r="K2703" t="str">
        <f>"117975"</f>
        <v>117975</v>
      </c>
    </row>
    <row r="2704" spans="1:11" x14ac:dyDescent="0.25">
      <c r="A2704">
        <v>2022</v>
      </c>
      <c r="B2704" t="s">
        <v>5357</v>
      </c>
      <c r="C2704" t="s">
        <v>5358</v>
      </c>
      <c r="D2704" t="s">
        <v>19</v>
      </c>
      <c r="E2704" t="s">
        <v>20</v>
      </c>
      <c r="F2704" t="str">
        <f>"43606-2410"</f>
        <v>43606-2410</v>
      </c>
      <c r="G2704" t="str">
        <f>"545101"</f>
        <v>545101</v>
      </c>
      <c r="H2704" s="2">
        <f>10</f>
        <v>10</v>
      </c>
      <c r="I2704" t="s">
        <v>27</v>
      </c>
      <c r="J2704" t="s">
        <v>51</v>
      </c>
      <c r="K2704" t="str">
        <f>"116784"</f>
        <v>116784</v>
      </c>
    </row>
    <row r="2705" spans="1:11" x14ac:dyDescent="0.25">
      <c r="A2705">
        <v>2022</v>
      </c>
      <c r="B2705" t="s">
        <v>5363</v>
      </c>
      <c r="C2705" t="s">
        <v>5364</v>
      </c>
      <c r="D2705" t="s">
        <v>19</v>
      </c>
      <c r="E2705" t="s">
        <v>20</v>
      </c>
      <c r="F2705" t="str">
        <f>"43609"</f>
        <v>43609</v>
      </c>
      <c r="G2705" t="str">
        <f>"Je031622"</f>
        <v>Je031622</v>
      </c>
      <c r="H2705" s="2">
        <f>114.36</f>
        <v>114.36</v>
      </c>
      <c r="I2705" t="s">
        <v>15</v>
      </c>
      <c r="J2705" t="s">
        <v>117</v>
      </c>
      <c r="K2705" t="str">
        <f>"60043004"</f>
        <v>60043004</v>
      </c>
    </row>
    <row r="2706" spans="1:11" x14ac:dyDescent="0.25">
      <c r="A2706">
        <v>2022</v>
      </c>
      <c r="B2706" t="s">
        <v>5363</v>
      </c>
      <c r="C2706" t="s">
        <v>5364</v>
      </c>
      <c r="D2706" t="s">
        <v>19</v>
      </c>
      <c r="E2706" t="s">
        <v>20</v>
      </c>
      <c r="F2706" t="str">
        <f>"43609"</f>
        <v>43609</v>
      </c>
      <c r="G2706" t="str">
        <f>"Je031622"</f>
        <v>Je031622</v>
      </c>
      <c r="H2706" s="2">
        <f>312.56</f>
        <v>312.56</v>
      </c>
      <c r="I2706" t="s">
        <v>15</v>
      </c>
      <c r="J2706" t="s">
        <v>117</v>
      </c>
      <c r="K2706" t="str">
        <f>"60043005"</f>
        <v>60043005</v>
      </c>
    </row>
    <row r="2707" spans="1:11" x14ac:dyDescent="0.25">
      <c r="A2707">
        <v>2022</v>
      </c>
      <c r="B2707" t="s">
        <v>5365</v>
      </c>
      <c r="C2707" t="s">
        <v>5366</v>
      </c>
      <c r="D2707" t="s">
        <v>19</v>
      </c>
      <c r="E2707" t="s">
        <v>20</v>
      </c>
      <c r="F2707" t="str">
        <f>"43615-9045"</f>
        <v>43615-9045</v>
      </c>
      <c r="G2707" t="str">
        <f>"545101"</f>
        <v>545101</v>
      </c>
      <c r="H2707" s="2">
        <f>20</f>
        <v>20</v>
      </c>
      <c r="I2707" t="s">
        <v>27</v>
      </c>
      <c r="J2707" t="s">
        <v>51</v>
      </c>
      <c r="K2707" t="str">
        <f>"116454"</f>
        <v>116454</v>
      </c>
    </row>
    <row r="2708" spans="1:11" x14ac:dyDescent="0.25">
      <c r="A2708">
        <v>2022</v>
      </c>
      <c r="B2708" t="s">
        <v>5367</v>
      </c>
      <c r="C2708" t="s">
        <v>5368</v>
      </c>
      <c r="D2708" t="s">
        <v>19</v>
      </c>
      <c r="E2708" t="s">
        <v>20</v>
      </c>
      <c r="F2708" t="str">
        <f>"43615-2531"</f>
        <v>43615-2531</v>
      </c>
      <c r="G2708" t="str">
        <f>"545101"</f>
        <v>545101</v>
      </c>
      <c r="H2708" s="2">
        <f>20</f>
        <v>20</v>
      </c>
      <c r="I2708" t="s">
        <v>27</v>
      </c>
      <c r="J2708" t="s">
        <v>51</v>
      </c>
      <c r="K2708" t="str">
        <f>"116490"</f>
        <v>116490</v>
      </c>
    </row>
    <row r="2709" spans="1:11" x14ac:dyDescent="0.25">
      <c r="A2709">
        <v>2022</v>
      </c>
      <c r="B2709" t="s">
        <v>5375</v>
      </c>
      <c r="C2709" t="s">
        <v>5376</v>
      </c>
      <c r="D2709" t="s">
        <v>383</v>
      </c>
      <c r="E2709" t="s">
        <v>20</v>
      </c>
      <c r="F2709" t="str">
        <f>"44313"</f>
        <v>44313</v>
      </c>
      <c r="G2709" t="str">
        <f>"562222"</f>
        <v>562222</v>
      </c>
      <c r="H2709" s="2">
        <f>550</f>
        <v>550</v>
      </c>
      <c r="I2709" t="s">
        <v>519</v>
      </c>
      <c r="J2709" t="s">
        <v>811</v>
      </c>
      <c r="K2709" t="str">
        <f>"11201"</f>
        <v>11201</v>
      </c>
    </row>
    <row r="2710" spans="1:11" x14ac:dyDescent="0.25">
      <c r="A2710">
        <v>2022</v>
      </c>
      <c r="B2710" t="s">
        <v>5407</v>
      </c>
      <c r="C2710" t="s">
        <v>5408</v>
      </c>
      <c r="D2710" t="s">
        <v>125</v>
      </c>
      <c r="E2710" t="s">
        <v>20</v>
      </c>
      <c r="F2710" t="str">
        <f>"43537"</f>
        <v>43537</v>
      </c>
      <c r="G2710" t="str">
        <f>"545101"</f>
        <v>545101</v>
      </c>
      <c r="H2710" s="2">
        <f>70</f>
        <v>70</v>
      </c>
      <c r="I2710" t="s">
        <v>27</v>
      </c>
      <c r="J2710" t="s">
        <v>51</v>
      </c>
      <c r="K2710" t="str">
        <f>"117174"</f>
        <v>117174</v>
      </c>
    </row>
    <row r="2711" spans="1:11" x14ac:dyDescent="0.25">
      <c r="A2711">
        <v>2022</v>
      </c>
      <c r="B2711" t="s">
        <v>5421</v>
      </c>
      <c r="C2711" t="s">
        <v>5422</v>
      </c>
      <c r="D2711" t="s">
        <v>19</v>
      </c>
      <c r="E2711" t="s">
        <v>20</v>
      </c>
      <c r="F2711" t="str">
        <f>"43612-1327"</f>
        <v>43612-1327</v>
      </c>
      <c r="G2711" t="str">
        <f>"545101"</f>
        <v>545101</v>
      </c>
      <c r="H2711" s="2">
        <f>20</f>
        <v>20</v>
      </c>
      <c r="I2711" t="s">
        <v>27</v>
      </c>
      <c r="J2711" t="s">
        <v>51</v>
      </c>
      <c r="K2711" t="str">
        <f>"116639"</f>
        <v>116639</v>
      </c>
    </row>
    <row r="2712" spans="1:11" x14ac:dyDescent="0.25">
      <c r="A2712">
        <v>2022</v>
      </c>
      <c r="B2712" t="s">
        <v>5448</v>
      </c>
      <c r="C2712" t="s">
        <v>5449</v>
      </c>
      <c r="D2712" t="s">
        <v>19</v>
      </c>
      <c r="E2712" t="s">
        <v>20</v>
      </c>
      <c r="F2712" t="str">
        <f>"43612-4513"</f>
        <v>43612-4513</v>
      </c>
      <c r="G2712" t="str">
        <f>"545101"</f>
        <v>545101</v>
      </c>
      <c r="H2712" s="2">
        <f>30</f>
        <v>30</v>
      </c>
      <c r="I2712" t="s">
        <v>27</v>
      </c>
      <c r="J2712" t="s">
        <v>51</v>
      </c>
      <c r="K2712" t="str">
        <f>"116901"</f>
        <v>116901</v>
      </c>
    </row>
    <row r="2713" spans="1:11" x14ac:dyDescent="0.25">
      <c r="A2713">
        <v>2022</v>
      </c>
      <c r="B2713" t="s">
        <v>5463</v>
      </c>
      <c r="C2713" t="s">
        <v>5464</v>
      </c>
      <c r="D2713" t="s">
        <v>5465</v>
      </c>
      <c r="E2713" t="s">
        <v>1341</v>
      </c>
      <c r="F2713" t="str">
        <f>"75024"</f>
        <v>75024</v>
      </c>
      <c r="G2713" t="str">
        <f>"545044"</f>
        <v>545044</v>
      </c>
      <c r="H2713" s="2">
        <f>35.05</f>
        <v>35.049999999999997</v>
      </c>
      <c r="I2713" t="s">
        <v>27</v>
      </c>
      <c r="J2713" t="s">
        <v>28</v>
      </c>
      <c r="K2713" t="str">
        <f>"519021"</f>
        <v>519021</v>
      </c>
    </row>
    <row r="2714" spans="1:11" x14ac:dyDescent="0.25">
      <c r="A2714">
        <v>2022</v>
      </c>
      <c r="B2714" t="s">
        <v>5463</v>
      </c>
      <c r="C2714" t="s">
        <v>5464</v>
      </c>
      <c r="D2714" t="s">
        <v>5465</v>
      </c>
      <c r="E2714" t="s">
        <v>1341</v>
      </c>
      <c r="F2714" t="str">
        <f>"75024"</f>
        <v>75024</v>
      </c>
      <c r="G2714" t="str">
        <f>"545044"</f>
        <v>545044</v>
      </c>
      <c r="H2714" s="2">
        <f>140</f>
        <v>140</v>
      </c>
      <c r="I2714" t="s">
        <v>27</v>
      </c>
      <c r="J2714" t="s">
        <v>28</v>
      </c>
      <c r="K2714" t="str">
        <f>"519883"</f>
        <v>519883</v>
      </c>
    </row>
    <row r="2715" spans="1:11" x14ac:dyDescent="0.25">
      <c r="A2715">
        <v>2022</v>
      </c>
      <c r="B2715" t="s">
        <v>5488</v>
      </c>
      <c r="C2715" t="s">
        <v>5489</v>
      </c>
      <c r="D2715" t="s">
        <v>105</v>
      </c>
      <c r="E2715" t="s">
        <v>20</v>
      </c>
      <c r="F2715" t="str">
        <f>"43528"</f>
        <v>43528</v>
      </c>
      <c r="G2715" t="str">
        <f>"Je11032022"</f>
        <v>Je11032022</v>
      </c>
      <c r="H2715" s="2">
        <f>25</f>
        <v>25</v>
      </c>
      <c r="I2715" t="s">
        <v>15</v>
      </c>
      <c r="J2715" t="s">
        <v>234</v>
      </c>
      <c r="K2715" t="str">
        <f>"60053808"</f>
        <v>60053808</v>
      </c>
    </row>
    <row r="2716" spans="1:11" x14ac:dyDescent="0.25">
      <c r="A2716">
        <v>2022</v>
      </c>
      <c r="B2716" t="s">
        <v>5494</v>
      </c>
      <c r="C2716" t="s">
        <v>895</v>
      </c>
      <c r="F2716" t="str">
        <f>""</f>
        <v/>
      </c>
      <c r="G2716" t="str">
        <f>"Pio467417"</f>
        <v>Pio467417</v>
      </c>
      <c r="H2716" s="2">
        <f>3698.34</f>
        <v>3698.34</v>
      </c>
      <c r="I2716" t="s">
        <v>148</v>
      </c>
      <c r="J2716" t="s">
        <v>5495</v>
      </c>
      <c r="K2716" t="str">
        <f>"25416"</f>
        <v>25416</v>
      </c>
    </row>
    <row r="2717" spans="1:11" x14ac:dyDescent="0.25">
      <c r="A2717">
        <v>2022</v>
      </c>
      <c r="B2717" t="s">
        <v>5523</v>
      </c>
      <c r="C2717" t="s">
        <v>5524</v>
      </c>
      <c r="D2717" t="s">
        <v>316</v>
      </c>
      <c r="E2717" t="s">
        <v>20</v>
      </c>
      <c r="F2717" t="str">
        <f>"45805"</f>
        <v>45805</v>
      </c>
      <c r="G2717" t="str">
        <f>"545042"</f>
        <v>545042</v>
      </c>
      <c r="H2717" s="2">
        <f>5</f>
        <v>5</v>
      </c>
      <c r="I2717" t="s">
        <v>27</v>
      </c>
      <c r="J2717" t="s">
        <v>257</v>
      </c>
      <c r="K2717" t="str">
        <f>"38109"</f>
        <v>38109</v>
      </c>
    </row>
    <row r="2718" spans="1:11" x14ac:dyDescent="0.25">
      <c r="A2718">
        <v>2022</v>
      </c>
      <c r="B2718" t="s">
        <v>5529</v>
      </c>
      <c r="C2718" t="s">
        <v>5530</v>
      </c>
      <c r="D2718" t="s">
        <v>19</v>
      </c>
      <c r="E2718" t="s">
        <v>20</v>
      </c>
      <c r="F2718" t="str">
        <f>"43615-6443"</f>
        <v>43615-6443</v>
      </c>
      <c r="G2718" t="str">
        <f>"545101"</f>
        <v>545101</v>
      </c>
      <c r="H2718" s="2">
        <f>40</f>
        <v>40</v>
      </c>
      <c r="I2718" t="s">
        <v>27</v>
      </c>
      <c r="J2718" t="s">
        <v>51</v>
      </c>
      <c r="K2718" t="str">
        <f>"117518"</f>
        <v>117518</v>
      </c>
    </row>
    <row r="2719" spans="1:11" x14ac:dyDescent="0.25">
      <c r="A2719">
        <v>2022</v>
      </c>
      <c r="B2719" t="s">
        <v>5533</v>
      </c>
      <c r="C2719" t="s">
        <v>5534</v>
      </c>
      <c r="D2719" t="s">
        <v>58</v>
      </c>
      <c r="E2719" t="s">
        <v>20</v>
      </c>
      <c r="F2719" t="str">
        <f>"43616"</f>
        <v>43616</v>
      </c>
      <c r="G2719" t="str">
        <f>"Je031622"</f>
        <v>Je031622</v>
      </c>
      <c r="H2719" s="2">
        <f>273.55</f>
        <v>273.55</v>
      </c>
      <c r="I2719" t="s">
        <v>15</v>
      </c>
      <c r="J2719" t="s">
        <v>117</v>
      </c>
      <c r="K2719" t="str">
        <f>"60043007"</f>
        <v>60043007</v>
      </c>
    </row>
    <row r="2720" spans="1:11" x14ac:dyDescent="0.25">
      <c r="A2720">
        <v>2022</v>
      </c>
      <c r="B2720" t="s">
        <v>5547</v>
      </c>
      <c r="C2720" t="s">
        <v>5548</v>
      </c>
      <c r="D2720" t="s">
        <v>19</v>
      </c>
      <c r="E2720" t="s">
        <v>20</v>
      </c>
      <c r="F2720" t="str">
        <f>"43615-5709"</f>
        <v>43615-5709</v>
      </c>
      <c r="G2720" t="str">
        <f>"545101"</f>
        <v>545101</v>
      </c>
      <c r="H2720" s="2">
        <f>10</f>
        <v>10</v>
      </c>
      <c r="I2720" t="s">
        <v>27</v>
      </c>
      <c r="J2720" t="s">
        <v>51</v>
      </c>
      <c r="K2720" t="str">
        <f>"116595"</f>
        <v>116595</v>
      </c>
    </row>
    <row r="2721" spans="1:11" x14ac:dyDescent="0.25">
      <c r="A2721">
        <v>2022</v>
      </c>
      <c r="B2721" t="s">
        <v>5551</v>
      </c>
      <c r="C2721" t="s">
        <v>5552</v>
      </c>
      <c r="D2721" t="s">
        <v>64</v>
      </c>
      <c r="E2721" t="s">
        <v>20</v>
      </c>
      <c r="F2721" t="str">
        <f>"43566-1125"</f>
        <v>43566-1125</v>
      </c>
      <c r="G2721" t="str">
        <f>"545101"</f>
        <v>545101</v>
      </c>
      <c r="H2721" s="2">
        <f>10</f>
        <v>10</v>
      </c>
      <c r="I2721" t="s">
        <v>27</v>
      </c>
      <c r="J2721" t="s">
        <v>51</v>
      </c>
      <c r="K2721" t="str">
        <f>"116796"</f>
        <v>116796</v>
      </c>
    </row>
    <row r="2722" spans="1:11" x14ac:dyDescent="0.25">
      <c r="A2722">
        <v>2022</v>
      </c>
      <c r="B2722" t="s">
        <v>5565</v>
      </c>
      <c r="C2722" t="s">
        <v>5566</v>
      </c>
      <c r="D2722" t="s">
        <v>58</v>
      </c>
      <c r="E2722" t="s">
        <v>20</v>
      </c>
      <c r="F2722" t="str">
        <f>"43616"</f>
        <v>43616</v>
      </c>
      <c r="G2722" t="str">
        <f>"545043"</f>
        <v>545043</v>
      </c>
      <c r="H2722" s="2">
        <f>1.95</f>
        <v>1.95</v>
      </c>
      <c r="I2722" t="s">
        <v>27</v>
      </c>
      <c r="J2722" t="s">
        <v>77</v>
      </c>
      <c r="K2722" t="str">
        <f>"333678"</f>
        <v>333678</v>
      </c>
    </row>
    <row r="2723" spans="1:11" x14ac:dyDescent="0.25">
      <c r="A2723">
        <v>2022</v>
      </c>
      <c r="B2723" t="s">
        <v>5577</v>
      </c>
      <c r="C2723" t="s">
        <v>5578</v>
      </c>
      <c r="D2723" t="s">
        <v>19</v>
      </c>
      <c r="E2723" t="s">
        <v>20</v>
      </c>
      <c r="F2723" t="str">
        <f>"43611-1035"</f>
        <v>43611-1035</v>
      </c>
      <c r="G2723" t="str">
        <f t="shared" ref="G2723:G2728" si="87">"545101"</f>
        <v>545101</v>
      </c>
      <c r="H2723" s="2">
        <f>20</f>
        <v>20</v>
      </c>
      <c r="I2723" t="s">
        <v>27</v>
      </c>
      <c r="J2723" t="s">
        <v>51</v>
      </c>
      <c r="K2723" t="str">
        <f>"116975"</f>
        <v>116975</v>
      </c>
    </row>
    <row r="2724" spans="1:11" x14ac:dyDescent="0.25">
      <c r="A2724">
        <v>2022</v>
      </c>
      <c r="B2724" t="s">
        <v>5579</v>
      </c>
      <c r="C2724" t="s">
        <v>5580</v>
      </c>
      <c r="D2724" t="s">
        <v>58</v>
      </c>
      <c r="E2724" t="s">
        <v>20</v>
      </c>
      <c r="F2724" t="str">
        <f>"43616-3482"</f>
        <v>43616-3482</v>
      </c>
      <c r="G2724" t="str">
        <f t="shared" si="87"/>
        <v>545101</v>
      </c>
      <c r="H2724" s="2">
        <f>20</f>
        <v>20</v>
      </c>
      <c r="I2724" t="s">
        <v>27</v>
      </c>
      <c r="J2724" t="s">
        <v>51</v>
      </c>
      <c r="K2724" t="str">
        <f>"116976"</f>
        <v>116976</v>
      </c>
    </row>
    <row r="2725" spans="1:11" x14ac:dyDescent="0.25">
      <c r="A2725">
        <v>2022</v>
      </c>
      <c r="B2725" t="s">
        <v>5583</v>
      </c>
      <c r="C2725" t="s">
        <v>5584</v>
      </c>
      <c r="D2725" t="s">
        <v>125</v>
      </c>
      <c r="E2725" t="s">
        <v>20</v>
      </c>
      <c r="F2725" t="str">
        <f>"43537-3220"</f>
        <v>43537-3220</v>
      </c>
      <c r="G2725" t="str">
        <f t="shared" si="87"/>
        <v>545101</v>
      </c>
      <c r="H2725" s="2">
        <f>10</f>
        <v>10</v>
      </c>
      <c r="I2725" t="s">
        <v>27</v>
      </c>
      <c r="J2725" t="s">
        <v>51</v>
      </c>
      <c r="K2725" t="str">
        <f>"116666"</f>
        <v>116666</v>
      </c>
    </row>
    <row r="2726" spans="1:11" x14ac:dyDescent="0.25">
      <c r="A2726">
        <v>2022</v>
      </c>
      <c r="B2726" t="s">
        <v>5641</v>
      </c>
      <c r="C2726" t="s">
        <v>5642</v>
      </c>
      <c r="D2726" t="s">
        <v>125</v>
      </c>
      <c r="E2726" t="s">
        <v>20</v>
      </c>
      <c r="F2726" t="str">
        <f>"43537-1449"</f>
        <v>43537-1449</v>
      </c>
      <c r="G2726" t="str">
        <f t="shared" si="87"/>
        <v>545101</v>
      </c>
      <c r="H2726" s="2">
        <f>60</f>
        <v>60</v>
      </c>
      <c r="I2726" t="s">
        <v>27</v>
      </c>
      <c r="J2726" t="s">
        <v>51</v>
      </c>
      <c r="K2726" t="str">
        <f>"116266"</f>
        <v>116266</v>
      </c>
    </row>
    <row r="2727" spans="1:11" x14ac:dyDescent="0.25">
      <c r="A2727">
        <v>2022</v>
      </c>
      <c r="B2727" t="s">
        <v>5649</v>
      </c>
      <c r="C2727" t="s">
        <v>5650</v>
      </c>
      <c r="D2727" t="s">
        <v>19</v>
      </c>
      <c r="E2727" t="s">
        <v>20</v>
      </c>
      <c r="F2727" t="str">
        <f>"43606-3645"</f>
        <v>43606-3645</v>
      </c>
      <c r="G2727" t="str">
        <f t="shared" si="87"/>
        <v>545101</v>
      </c>
      <c r="H2727" s="2">
        <f>20</f>
        <v>20</v>
      </c>
      <c r="I2727" t="s">
        <v>27</v>
      </c>
      <c r="J2727" t="s">
        <v>51</v>
      </c>
      <c r="K2727" t="str">
        <f>"116129"</f>
        <v>116129</v>
      </c>
    </row>
    <row r="2728" spans="1:11" x14ac:dyDescent="0.25">
      <c r="A2728">
        <v>2022</v>
      </c>
      <c r="B2728" t="s">
        <v>5655</v>
      </c>
      <c r="C2728" t="s">
        <v>5656</v>
      </c>
      <c r="D2728" t="s">
        <v>19</v>
      </c>
      <c r="E2728" t="s">
        <v>20</v>
      </c>
      <c r="F2728" t="str">
        <f>"43611-1216"</f>
        <v>43611-1216</v>
      </c>
      <c r="G2728" t="str">
        <f t="shared" si="87"/>
        <v>545101</v>
      </c>
      <c r="H2728" s="2">
        <f>30</f>
        <v>30</v>
      </c>
      <c r="I2728" t="s">
        <v>27</v>
      </c>
      <c r="J2728" t="s">
        <v>51</v>
      </c>
      <c r="K2728" t="str">
        <f>"117135"</f>
        <v>117135</v>
      </c>
    </row>
    <row r="2729" spans="1:11" x14ac:dyDescent="0.25">
      <c r="A2729">
        <v>2022</v>
      </c>
      <c r="B2729" t="s">
        <v>5663</v>
      </c>
      <c r="C2729" t="s">
        <v>5666</v>
      </c>
      <c r="D2729" t="s">
        <v>5667</v>
      </c>
      <c r="E2729" t="s">
        <v>20</v>
      </c>
      <c r="F2729" t="str">
        <f>"45429"</f>
        <v>45429</v>
      </c>
      <c r="G2729" t="str">
        <f>"Je031622"</f>
        <v>Je031622</v>
      </c>
      <c r="H2729" s="2">
        <f>15.08</f>
        <v>15.08</v>
      </c>
      <c r="I2729" t="s">
        <v>15</v>
      </c>
      <c r="J2729" t="s">
        <v>117</v>
      </c>
      <c r="K2729" t="str">
        <f>"60041907"</f>
        <v>60041907</v>
      </c>
    </row>
    <row r="2730" spans="1:11" x14ac:dyDescent="0.25">
      <c r="A2730">
        <v>2022</v>
      </c>
      <c r="B2730" t="s">
        <v>5663</v>
      </c>
      <c r="C2730" t="s">
        <v>5666</v>
      </c>
      <c r="D2730" t="s">
        <v>5667</v>
      </c>
      <c r="E2730" t="s">
        <v>20</v>
      </c>
      <c r="F2730" t="str">
        <f>"45429"</f>
        <v>45429</v>
      </c>
      <c r="G2730" t="str">
        <f>"Je031622"</f>
        <v>Je031622</v>
      </c>
      <c r="H2730" s="2">
        <f>15.08</f>
        <v>15.08</v>
      </c>
      <c r="I2730" t="s">
        <v>15</v>
      </c>
      <c r="J2730" t="s">
        <v>117</v>
      </c>
      <c r="K2730" t="str">
        <f>"60039555"</f>
        <v>60039555</v>
      </c>
    </row>
    <row r="2731" spans="1:11" x14ac:dyDescent="0.25">
      <c r="A2731">
        <v>2022</v>
      </c>
      <c r="B2731" t="s">
        <v>5663</v>
      </c>
      <c r="C2731" t="s">
        <v>5666</v>
      </c>
      <c r="D2731" t="s">
        <v>5667</v>
      </c>
      <c r="E2731" t="s">
        <v>20</v>
      </c>
      <c r="F2731" t="str">
        <f>"45429"</f>
        <v>45429</v>
      </c>
      <c r="G2731" t="str">
        <f>"Je010722"</f>
        <v>Je010722</v>
      </c>
      <c r="H2731" s="2">
        <f>15.08</f>
        <v>15.08</v>
      </c>
      <c r="I2731" t="s">
        <v>15</v>
      </c>
      <c r="J2731" t="s">
        <v>90</v>
      </c>
      <c r="K2731" t="str">
        <f>"60026448"</f>
        <v>60026448</v>
      </c>
    </row>
    <row r="2732" spans="1:11" x14ac:dyDescent="0.25">
      <c r="A2732">
        <v>2022</v>
      </c>
      <c r="B2732" t="s">
        <v>5663</v>
      </c>
      <c r="C2732" t="s">
        <v>5666</v>
      </c>
      <c r="D2732" t="s">
        <v>5667</v>
      </c>
      <c r="E2732" t="s">
        <v>20</v>
      </c>
      <c r="F2732" t="str">
        <f>"45429"</f>
        <v>45429</v>
      </c>
      <c r="G2732" t="str">
        <f>"Je010722"</f>
        <v>Je010722</v>
      </c>
      <c r="H2732" s="2">
        <f>15.08</f>
        <v>15.08</v>
      </c>
      <c r="I2732" t="s">
        <v>15</v>
      </c>
      <c r="J2732" t="s">
        <v>90</v>
      </c>
      <c r="K2732" t="str">
        <f>"60034536"</f>
        <v>60034536</v>
      </c>
    </row>
    <row r="2733" spans="1:11" x14ac:dyDescent="0.25">
      <c r="A2733">
        <v>2022</v>
      </c>
      <c r="B2733" t="s">
        <v>5686</v>
      </c>
      <c r="C2733" t="s">
        <v>5687</v>
      </c>
      <c r="D2733" t="s">
        <v>19</v>
      </c>
      <c r="E2733" t="s">
        <v>20</v>
      </c>
      <c r="F2733" t="str">
        <f>"43614"</f>
        <v>43614</v>
      </c>
      <c r="G2733" t="str">
        <f>"545043"</f>
        <v>545043</v>
      </c>
      <c r="H2733" s="2">
        <f>26.7</f>
        <v>26.7</v>
      </c>
      <c r="I2733" t="s">
        <v>27</v>
      </c>
      <c r="J2733" t="s">
        <v>77</v>
      </c>
      <c r="K2733" t="str">
        <f>"333699"</f>
        <v>333699</v>
      </c>
    </row>
    <row r="2734" spans="1:11" x14ac:dyDescent="0.25">
      <c r="A2734">
        <v>2022</v>
      </c>
      <c r="B2734" t="s">
        <v>5712</v>
      </c>
      <c r="C2734" t="s">
        <v>5713</v>
      </c>
      <c r="D2734" t="s">
        <v>19</v>
      </c>
      <c r="E2734" t="s">
        <v>20</v>
      </c>
      <c r="F2734" t="str">
        <f>"43615"</f>
        <v>43615</v>
      </c>
      <c r="G2734" t="str">
        <f>"562222"</f>
        <v>562222</v>
      </c>
      <c r="H2734" s="2">
        <f>16</f>
        <v>16</v>
      </c>
      <c r="I2734" t="s">
        <v>519</v>
      </c>
      <c r="J2734" t="s">
        <v>811</v>
      </c>
      <c r="K2734" t="str">
        <f>"11218"</f>
        <v>11218</v>
      </c>
    </row>
    <row r="2735" spans="1:11" x14ac:dyDescent="0.25">
      <c r="A2735">
        <v>2022</v>
      </c>
      <c r="B2735" t="s">
        <v>5714</v>
      </c>
      <c r="C2735" t="s">
        <v>5715</v>
      </c>
      <c r="D2735" t="s">
        <v>19</v>
      </c>
      <c r="E2735" t="s">
        <v>20</v>
      </c>
      <c r="F2735" t="str">
        <f>"43607-2536"</f>
        <v>43607-2536</v>
      </c>
      <c r="G2735" t="str">
        <f>"545101"</f>
        <v>545101</v>
      </c>
      <c r="H2735" s="2">
        <f>10</f>
        <v>10</v>
      </c>
      <c r="I2735" t="s">
        <v>27</v>
      </c>
      <c r="J2735" t="s">
        <v>51</v>
      </c>
      <c r="K2735" t="str">
        <f>"117079"</f>
        <v>117079</v>
      </c>
    </row>
    <row r="2736" spans="1:11" x14ac:dyDescent="0.25">
      <c r="A2736">
        <v>2022</v>
      </c>
      <c r="B2736" t="s">
        <v>5720</v>
      </c>
      <c r="C2736" t="s">
        <v>5721</v>
      </c>
      <c r="D2736" t="s">
        <v>19</v>
      </c>
      <c r="E2736" t="s">
        <v>20</v>
      </c>
      <c r="F2736" t="str">
        <f>"43606-2826"</f>
        <v>43606-2826</v>
      </c>
      <c r="G2736" t="str">
        <f>"545101"</f>
        <v>545101</v>
      </c>
      <c r="H2736" s="2">
        <f>10</f>
        <v>10</v>
      </c>
      <c r="I2736" t="s">
        <v>27</v>
      </c>
      <c r="J2736" t="s">
        <v>51</v>
      </c>
      <c r="K2736" t="str">
        <f>"116781"</f>
        <v>116781</v>
      </c>
    </row>
    <row r="2737" spans="1:11" x14ac:dyDescent="0.25">
      <c r="A2737">
        <v>2022</v>
      </c>
      <c r="B2737" t="s">
        <v>5736</v>
      </c>
      <c r="C2737" t="s">
        <v>5737</v>
      </c>
      <c r="D2737" t="s">
        <v>19</v>
      </c>
      <c r="E2737" t="s">
        <v>20</v>
      </c>
      <c r="F2737" t="str">
        <f>"43607"</f>
        <v>43607</v>
      </c>
      <c r="G2737" t="str">
        <f>"Je070522"</f>
        <v>Je070522</v>
      </c>
      <c r="H2737" s="2">
        <f>34.28</f>
        <v>34.28</v>
      </c>
      <c r="I2737" t="s">
        <v>15</v>
      </c>
      <c r="J2737" t="s">
        <v>207</v>
      </c>
      <c r="K2737" t="str">
        <f>"60045533"</f>
        <v>60045533</v>
      </c>
    </row>
    <row r="2738" spans="1:11" x14ac:dyDescent="0.25">
      <c r="A2738">
        <v>2022</v>
      </c>
      <c r="B2738" t="s">
        <v>5743</v>
      </c>
      <c r="C2738" t="s">
        <v>5744</v>
      </c>
      <c r="D2738" t="s">
        <v>19</v>
      </c>
      <c r="E2738" t="s">
        <v>20</v>
      </c>
      <c r="F2738" t="str">
        <f>"43615"</f>
        <v>43615</v>
      </c>
      <c r="G2738" t="str">
        <f>"Je010722"</f>
        <v>Je010722</v>
      </c>
      <c r="H2738" s="2">
        <f>40</f>
        <v>40</v>
      </c>
      <c r="I2738" t="s">
        <v>15</v>
      </c>
      <c r="J2738" t="s">
        <v>90</v>
      </c>
      <c r="K2738" t="str">
        <f>"60029207"</f>
        <v>60029207</v>
      </c>
    </row>
    <row r="2739" spans="1:11" x14ac:dyDescent="0.25">
      <c r="A2739">
        <v>2022</v>
      </c>
      <c r="B2739" t="s">
        <v>5747</v>
      </c>
      <c r="C2739" t="s">
        <v>5748</v>
      </c>
      <c r="D2739" t="s">
        <v>19</v>
      </c>
      <c r="E2739" t="s">
        <v>20</v>
      </c>
      <c r="F2739" t="str">
        <f>"43613"</f>
        <v>43613</v>
      </c>
      <c r="G2739" t="str">
        <f>"Je11032022"</f>
        <v>Je11032022</v>
      </c>
      <c r="H2739" s="2">
        <f>25</f>
        <v>25</v>
      </c>
      <c r="I2739" t="s">
        <v>15</v>
      </c>
      <c r="J2739" t="s">
        <v>234</v>
      </c>
      <c r="K2739" t="str">
        <f>"60053812"</f>
        <v>60053812</v>
      </c>
    </row>
    <row r="2740" spans="1:11" x14ac:dyDescent="0.25">
      <c r="A2740">
        <v>2022</v>
      </c>
      <c r="B2740" t="s">
        <v>5757</v>
      </c>
      <c r="C2740" t="s">
        <v>5758</v>
      </c>
      <c r="D2740" t="s">
        <v>19</v>
      </c>
      <c r="E2740" t="s">
        <v>20</v>
      </c>
      <c r="F2740" t="str">
        <f>"43609-1717"</f>
        <v>43609-1717</v>
      </c>
      <c r="G2740" t="str">
        <f>"545101"</f>
        <v>545101</v>
      </c>
      <c r="H2740" s="2">
        <f>10</f>
        <v>10</v>
      </c>
      <c r="I2740" t="s">
        <v>27</v>
      </c>
      <c r="J2740" t="s">
        <v>51</v>
      </c>
      <c r="K2740" t="str">
        <f>"116761"</f>
        <v>116761</v>
      </c>
    </row>
    <row r="2741" spans="1:11" x14ac:dyDescent="0.25">
      <c r="A2741">
        <v>2022</v>
      </c>
      <c r="B2741" t="s">
        <v>5763</v>
      </c>
      <c r="C2741" t="s">
        <v>5764</v>
      </c>
      <c r="D2741" t="s">
        <v>19</v>
      </c>
      <c r="E2741" t="s">
        <v>20</v>
      </c>
      <c r="F2741" t="str">
        <f>"43606-1951"</f>
        <v>43606-1951</v>
      </c>
      <c r="G2741" t="str">
        <f>"545101"</f>
        <v>545101</v>
      </c>
      <c r="H2741" s="2">
        <f>10</f>
        <v>10</v>
      </c>
      <c r="I2741" t="s">
        <v>27</v>
      </c>
      <c r="J2741" t="s">
        <v>51</v>
      </c>
      <c r="K2741" t="str">
        <f>"116721"</f>
        <v>116721</v>
      </c>
    </row>
    <row r="2742" spans="1:11" x14ac:dyDescent="0.25">
      <c r="A2742">
        <v>2022</v>
      </c>
      <c r="B2742" t="s">
        <v>5767</v>
      </c>
      <c r="C2742" t="s">
        <v>5768</v>
      </c>
      <c r="D2742" t="s">
        <v>19</v>
      </c>
      <c r="E2742" t="s">
        <v>20</v>
      </c>
      <c r="F2742" t="str">
        <f>"43614-4527"</f>
        <v>43614-4527</v>
      </c>
      <c r="G2742" t="str">
        <f>"545101"</f>
        <v>545101</v>
      </c>
      <c r="H2742" s="2">
        <f>10</f>
        <v>10</v>
      </c>
      <c r="I2742" t="s">
        <v>27</v>
      </c>
      <c r="J2742" t="s">
        <v>51</v>
      </c>
      <c r="K2742" t="str">
        <f>"116970"</f>
        <v>116970</v>
      </c>
    </row>
    <row r="2743" spans="1:11" x14ac:dyDescent="0.25">
      <c r="A2743">
        <v>2022</v>
      </c>
      <c r="B2743" t="s">
        <v>5777</v>
      </c>
      <c r="C2743" t="s">
        <v>5778</v>
      </c>
      <c r="D2743" t="s">
        <v>58</v>
      </c>
      <c r="E2743" t="s">
        <v>20</v>
      </c>
      <c r="F2743" t="str">
        <f>"43616-2973"</f>
        <v>43616-2973</v>
      </c>
      <c r="G2743" t="str">
        <f>"545101"</f>
        <v>545101</v>
      </c>
      <c r="H2743" s="2">
        <f>20</f>
        <v>20</v>
      </c>
      <c r="I2743" t="s">
        <v>27</v>
      </c>
      <c r="J2743" t="s">
        <v>51</v>
      </c>
      <c r="K2743" t="str">
        <f>"116203"</f>
        <v>116203</v>
      </c>
    </row>
    <row r="2744" spans="1:11" x14ac:dyDescent="0.25">
      <c r="A2744">
        <v>2022</v>
      </c>
      <c r="B2744" t="s">
        <v>5815</v>
      </c>
      <c r="C2744" t="s">
        <v>5816</v>
      </c>
      <c r="D2744" t="s">
        <v>125</v>
      </c>
      <c r="E2744" t="s">
        <v>20</v>
      </c>
      <c r="F2744" t="str">
        <f>"43537"</f>
        <v>43537</v>
      </c>
      <c r="G2744" t="str">
        <f>"Je010722"</f>
        <v>Je010722</v>
      </c>
      <c r="H2744" s="2">
        <f>3641.77</f>
        <v>3641.77</v>
      </c>
      <c r="I2744" t="s">
        <v>15</v>
      </c>
      <c r="J2744" t="s">
        <v>90</v>
      </c>
      <c r="K2744" t="str">
        <f>"60025939"</f>
        <v>60025939</v>
      </c>
    </row>
    <row r="2745" spans="1:11" x14ac:dyDescent="0.25">
      <c r="A2745">
        <v>2022</v>
      </c>
      <c r="B2745" t="s">
        <v>5834</v>
      </c>
      <c r="C2745" t="s">
        <v>5835</v>
      </c>
      <c r="D2745" t="s">
        <v>19</v>
      </c>
      <c r="E2745" t="s">
        <v>20</v>
      </c>
      <c r="F2745" t="str">
        <f>"43609"</f>
        <v>43609</v>
      </c>
      <c r="G2745" t="str">
        <f>"562222"</f>
        <v>562222</v>
      </c>
      <c r="H2745" s="2">
        <f>10</f>
        <v>10</v>
      </c>
      <c r="I2745" t="s">
        <v>519</v>
      </c>
      <c r="J2745" t="s">
        <v>811</v>
      </c>
      <c r="K2745" t="str">
        <f>"11259"</f>
        <v>11259</v>
      </c>
    </row>
    <row r="2746" spans="1:11" x14ac:dyDescent="0.25">
      <c r="A2746">
        <v>2022</v>
      </c>
      <c r="B2746" t="s">
        <v>5850</v>
      </c>
      <c r="C2746" t="s">
        <v>5851</v>
      </c>
      <c r="D2746" t="s">
        <v>58</v>
      </c>
      <c r="E2746" t="s">
        <v>20</v>
      </c>
      <c r="F2746" t="str">
        <f>"43616-2703"</f>
        <v>43616-2703</v>
      </c>
      <c r="G2746" t="str">
        <f>"545101"</f>
        <v>545101</v>
      </c>
      <c r="H2746" s="2">
        <f>80</f>
        <v>80</v>
      </c>
      <c r="I2746" t="s">
        <v>27</v>
      </c>
      <c r="J2746" t="s">
        <v>51</v>
      </c>
      <c r="K2746" t="str">
        <f>"117888"</f>
        <v>117888</v>
      </c>
    </row>
    <row r="2747" spans="1:11" x14ac:dyDescent="0.25">
      <c r="A2747">
        <v>2022</v>
      </c>
      <c r="B2747" t="s">
        <v>5852</v>
      </c>
      <c r="C2747" t="s">
        <v>5853</v>
      </c>
      <c r="D2747" t="s">
        <v>164</v>
      </c>
      <c r="E2747" t="s">
        <v>20</v>
      </c>
      <c r="F2747" t="str">
        <f>"43558"</f>
        <v>43558</v>
      </c>
      <c r="G2747" t="str">
        <f>"Je010722"</f>
        <v>Je010722</v>
      </c>
      <c r="H2747" s="2">
        <f>270.77</f>
        <v>270.77</v>
      </c>
      <c r="I2747" t="s">
        <v>15</v>
      </c>
      <c r="J2747" t="s">
        <v>90</v>
      </c>
      <c r="K2747" t="str">
        <f>"60029221"</f>
        <v>60029221</v>
      </c>
    </row>
    <row r="2748" spans="1:11" x14ac:dyDescent="0.25">
      <c r="A2748">
        <v>2022</v>
      </c>
      <c r="B2748" t="s">
        <v>5856</v>
      </c>
      <c r="C2748" t="s">
        <v>5857</v>
      </c>
      <c r="D2748" t="s">
        <v>125</v>
      </c>
      <c r="E2748" t="s">
        <v>20</v>
      </c>
      <c r="F2748" t="str">
        <f>"43537-2220"</f>
        <v>43537-2220</v>
      </c>
      <c r="G2748" t="str">
        <f>"545101"</f>
        <v>545101</v>
      </c>
      <c r="H2748" s="2">
        <f>40</f>
        <v>40</v>
      </c>
      <c r="I2748" t="s">
        <v>27</v>
      </c>
      <c r="J2748" t="s">
        <v>51</v>
      </c>
      <c r="K2748" t="str">
        <f>"117388"</f>
        <v>117388</v>
      </c>
    </row>
    <row r="2749" spans="1:11" x14ac:dyDescent="0.25">
      <c r="A2749">
        <v>2022</v>
      </c>
      <c r="B2749" t="s">
        <v>5861</v>
      </c>
      <c r="C2749" t="s">
        <v>5862</v>
      </c>
      <c r="D2749" t="s">
        <v>19</v>
      </c>
      <c r="E2749" t="s">
        <v>20</v>
      </c>
      <c r="F2749" t="str">
        <f>"43612-3142"</f>
        <v>43612-3142</v>
      </c>
      <c r="G2749" t="str">
        <f>"545101"</f>
        <v>545101</v>
      </c>
      <c r="H2749" s="2">
        <f>40</f>
        <v>40</v>
      </c>
      <c r="I2749" t="s">
        <v>27</v>
      </c>
      <c r="J2749" t="s">
        <v>51</v>
      </c>
      <c r="K2749" t="str">
        <f>"117081"</f>
        <v>117081</v>
      </c>
    </row>
    <row r="2750" spans="1:11" x14ac:dyDescent="0.25">
      <c r="A2750">
        <v>2022</v>
      </c>
      <c r="B2750" t="s">
        <v>5897</v>
      </c>
      <c r="C2750" t="s">
        <v>5898</v>
      </c>
      <c r="D2750" t="s">
        <v>19</v>
      </c>
      <c r="E2750" t="s">
        <v>20</v>
      </c>
      <c r="F2750" t="str">
        <f>"43615"</f>
        <v>43615</v>
      </c>
      <c r="G2750" t="str">
        <f>"Je11032022"</f>
        <v>Je11032022</v>
      </c>
      <c r="H2750" s="2">
        <f>25</f>
        <v>25</v>
      </c>
      <c r="I2750" t="s">
        <v>15</v>
      </c>
      <c r="J2750" t="s">
        <v>234</v>
      </c>
      <c r="K2750" t="str">
        <f>"60053818"</f>
        <v>60053818</v>
      </c>
    </row>
    <row r="2751" spans="1:11" x14ac:dyDescent="0.25">
      <c r="A2751">
        <v>2022</v>
      </c>
      <c r="B2751" t="s">
        <v>5905</v>
      </c>
      <c r="C2751" t="s">
        <v>5906</v>
      </c>
      <c r="D2751" t="s">
        <v>19</v>
      </c>
      <c r="E2751" t="s">
        <v>20</v>
      </c>
      <c r="F2751" t="str">
        <f>"43612-2549"</f>
        <v>43612-2549</v>
      </c>
      <c r="G2751" t="str">
        <f>"545101"</f>
        <v>545101</v>
      </c>
      <c r="H2751" s="2">
        <f>20</f>
        <v>20</v>
      </c>
      <c r="I2751" t="s">
        <v>27</v>
      </c>
      <c r="J2751" t="s">
        <v>51</v>
      </c>
      <c r="K2751" t="str">
        <f>"118191"</f>
        <v>118191</v>
      </c>
    </row>
    <row r="2752" spans="1:11" x14ac:dyDescent="0.25">
      <c r="A2752">
        <v>2022</v>
      </c>
      <c r="B2752" t="s">
        <v>5921</v>
      </c>
      <c r="C2752" t="s">
        <v>5922</v>
      </c>
      <c r="D2752" t="s">
        <v>19</v>
      </c>
      <c r="E2752" t="s">
        <v>20</v>
      </c>
      <c r="F2752" t="str">
        <f>"43610"</f>
        <v>43610</v>
      </c>
      <c r="G2752" t="str">
        <f>"Je031622"</f>
        <v>Je031622</v>
      </c>
      <c r="H2752" s="2">
        <f>314.05</f>
        <v>314.05</v>
      </c>
      <c r="I2752" t="s">
        <v>15</v>
      </c>
      <c r="J2752" t="s">
        <v>117</v>
      </c>
      <c r="K2752" t="str">
        <f>"60043008"</f>
        <v>60043008</v>
      </c>
    </row>
    <row r="2753" spans="1:11" x14ac:dyDescent="0.25">
      <c r="A2753">
        <v>2022</v>
      </c>
      <c r="B2753" t="s">
        <v>5926</v>
      </c>
      <c r="C2753" t="s">
        <v>5927</v>
      </c>
      <c r="D2753" t="s">
        <v>19</v>
      </c>
      <c r="E2753" t="s">
        <v>20</v>
      </c>
      <c r="F2753" t="str">
        <f>"43617"</f>
        <v>43617</v>
      </c>
      <c r="G2753" t="str">
        <f>"545042"</f>
        <v>545042</v>
      </c>
      <c r="H2753" s="2">
        <f>20</f>
        <v>20</v>
      </c>
      <c r="I2753" t="s">
        <v>27</v>
      </c>
      <c r="J2753" t="s">
        <v>257</v>
      </c>
      <c r="K2753" t="str">
        <f>"37994"</f>
        <v>37994</v>
      </c>
    </row>
    <row r="2754" spans="1:11" x14ac:dyDescent="0.25">
      <c r="A2754">
        <v>2022</v>
      </c>
      <c r="B2754" t="s">
        <v>5934</v>
      </c>
      <c r="C2754" t="s">
        <v>5935</v>
      </c>
      <c r="D2754" t="s">
        <v>125</v>
      </c>
      <c r="E2754" t="s">
        <v>20</v>
      </c>
      <c r="F2754" t="str">
        <f>"43537-3237"</f>
        <v>43537-3237</v>
      </c>
      <c r="G2754" t="str">
        <f>"545101"</f>
        <v>545101</v>
      </c>
      <c r="H2754" s="2">
        <f>10</f>
        <v>10</v>
      </c>
      <c r="I2754" t="s">
        <v>27</v>
      </c>
      <c r="J2754" t="s">
        <v>51</v>
      </c>
      <c r="K2754" t="str">
        <f>"116730"</f>
        <v>116730</v>
      </c>
    </row>
    <row r="2755" spans="1:11" x14ac:dyDescent="0.25">
      <c r="A2755">
        <v>2022</v>
      </c>
      <c r="B2755" t="s">
        <v>5951</v>
      </c>
      <c r="C2755" t="s">
        <v>5952</v>
      </c>
      <c r="D2755" t="s">
        <v>19</v>
      </c>
      <c r="E2755" t="s">
        <v>20</v>
      </c>
      <c r="F2755" t="str">
        <f>"43613"</f>
        <v>43613</v>
      </c>
      <c r="G2755" t="str">
        <f>"545101"</f>
        <v>545101</v>
      </c>
      <c r="H2755" s="2">
        <f>20</f>
        <v>20</v>
      </c>
      <c r="I2755" t="s">
        <v>27</v>
      </c>
      <c r="J2755" t="s">
        <v>51</v>
      </c>
      <c r="K2755" t="str">
        <f>"116895"</f>
        <v>116895</v>
      </c>
    </row>
    <row r="2756" spans="1:11" x14ac:dyDescent="0.25">
      <c r="A2756">
        <v>2022</v>
      </c>
      <c r="B2756" t="s">
        <v>5969</v>
      </c>
      <c r="C2756" t="s">
        <v>2825</v>
      </c>
      <c r="D2756" t="s">
        <v>19</v>
      </c>
      <c r="E2756" t="s">
        <v>20</v>
      </c>
      <c r="F2756" t="str">
        <f>"43604"</f>
        <v>43604</v>
      </c>
      <c r="G2756" t="str">
        <f>"545043"</f>
        <v>545043</v>
      </c>
      <c r="H2756" s="2">
        <f>2.85</f>
        <v>2.85</v>
      </c>
      <c r="I2756" t="s">
        <v>27</v>
      </c>
      <c r="J2756" t="s">
        <v>77</v>
      </c>
      <c r="K2756" t="str">
        <f>"333313"</f>
        <v>333313</v>
      </c>
    </row>
    <row r="2757" spans="1:11" x14ac:dyDescent="0.25">
      <c r="A2757">
        <v>2022</v>
      </c>
      <c r="B2757" t="s">
        <v>5983</v>
      </c>
      <c r="C2757" t="s">
        <v>5984</v>
      </c>
      <c r="D2757" t="s">
        <v>19</v>
      </c>
      <c r="E2757" t="s">
        <v>20</v>
      </c>
      <c r="F2757" t="str">
        <f>"43605"</f>
        <v>43605</v>
      </c>
      <c r="G2757" t="str">
        <f>"545044"</f>
        <v>545044</v>
      </c>
      <c r="H2757" s="2">
        <f>25</f>
        <v>25</v>
      </c>
      <c r="I2757" t="s">
        <v>27</v>
      </c>
      <c r="J2757" t="s">
        <v>28</v>
      </c>
      <c r="K2757" t="str">
        <f>"519715"</f>
        <v>519715</v>
      </c>
    </row>
    <row r="2758" spans="1:11" x14ac:dyDescent="0.25">
      <c r="A2758">
        <v>2022</v>
      </c>
      <c r="B2758" t="s">
        <v>6025</v>
      </c>
      <c r="C2758" t="s">
        <v>6026</v>
      </c>
      <c r="D2758" t="s">
        <v>125</v>
      </c>
      <c r="E2758" t="s">
        <v>20</v>
      </c>
      <c r="F2758" t="str">
        <f>"43537-3221"</f>
        <v>43537-3221</v>
      </c>
      <c r="G2758" t="str">
        <f>"545101"</f>
        <v>545101</v>
      </c>
      <c r="H2758" s="2">
        <f>10</f>
        <v>10</v>
      </c>
      <c r="I2758" t="s">
        <v>27</v>
      </c>
      <c r="J2758" t="s">
        <v>51</v>
      </c>
      <c r="K2758" t="str">
        <f>"117172"</f>
        <v>117172</v>
      </c>
    </row>
    <row r="2759" spans="1:11" x14ac:dyDescent="0.25">
      <c r="A2759">
        <v>2022</v>
      </c>
      <c r="B2759" t="s">
        <v>6033</v>
      </c>
      <c r="C2759" t="s">
        <v>6034</v>
      </c>
      <c r="D2759" t="s">
        <v>19</v>
      </c>
      <c r="E2759" t="s">
        <v>20</v>
      </c>
      <c r="F2759" t="str">
        <f>"43605"</f>
        <v>43605</v>
      </c>
      <c r="G2759" t="str">
        <f>"545043"</f>
        <v>545043</v>
      </c>
      <c r="H2759" s="2">
        <f>2</f>
        <v>2</v>
      </c>
      <c r="I2759" t="s">
        <v>27</v>
      </c>
      <c r="J2759" t="s">
        <v>77</v>
      </c>
      <c r="K2759" t="str">
        <f>"333330"</f>
        <v>333330</v>
      </c>
    </row>
    <row r="2760" spans="1:11" x14ac:dyDescent="0.25">
      <c r="A2760">
        <v>2022</v>
      </c>
      <c r="B2760" t="s">
        <v>6048</v>
      </c>
      <c r="C2760" t="s">
        <v>6049</v>
      </c>
      <c r="D2760" t="s">
        <v>323</v>
      </c>
      <c r="E2760" t="s">
        <v>20</v>
      </c>
      <c r="F2760" t="str">
        <f>"43571"</f>
        <v>43571</v>
      </c>
      <c r="G2760" t="str">
        <f>"Je031622"</f>
        <v>Je031622</v>
      </c>
      <c r="H2760" s="2">
        <f>34.7</f>
        <v>34.700000000000003</v>
      </c>
      <c r="I2760" t="s">
        <v>15</v>
      </c>
      <c r="J2760" t="s">
        <v>117</v>
      </c>
      <c r="K2760" t="str">
        <f>"60037015"</f>
        <v>60037015</v>
      </c>
    </row>
    <row r="2761" spans="1:11" x14ac:dyDescent="0.25">
      <c r="A2761">
        <v>2022</v>
      </c>
      <c r="B2761" t="s">
        <v>6058</v>
      </c>
      <c r="C2761" t="s">
        <v>6059</v>
      </c>
      <c r="D2761" t="s">
        <v>19</v>
      </c>
      <c r="E2761" t="s">
        <v>20</v>
      </c>
      <c r="F2761" t="str">
        <f>"43623-2720"</f>
        <v>43623-2720</v>
      </c>
      <c r="G2761" t="str">
        <f>"545101"</f>
        <v>545101</v>
      </c>
      <c r="H2761" s="2">
        <f>10</f>
        <v>10</v>
      </c>
      <c r="I2761" t="s">
        <v>27</v>
      </c>
      <c r="J2761" t="s">
        <v>51</v>
      </c>
      <c r="K2761" t="str">
        <f>"116729"</f>
        <v>116729</v>
      </c>
    </row>
    <row r="2762" spans="1:11" x14ac:dyDescent="0.25">
      <c r="A2762">
        <v>2022</v>
      </c>
      <c r="B2762" t="s">
        <v>6068</v>
      </c>
      <c r="C2762" t="s">
        <v>6069</v>
      </c>
      <c r="D2762" t="s">
        <v>19</v>
      </c>
      <c r="E2762" t="s">
        <v>20</v>
      </c>
      <c r="F2762" t="str">
        <f t="shared" ref="F2762:F2767" si="88">"43608"</f>
        <v>43608</v>
      </c>
      <c r="G2762" t="str">
        <f t="shared" ref="G2762:G2767" si="89">"545044"</f>
        <v>545044</v>
      </c>
      <c r="H2762" s="2">
        <f>4.55</f>
        <v>4.55</v>
      </c>
      <c r="I2762" t="s">
        <v>27</v>
      </c>
      <c r="J2762" t="s">
        <v>28</v>
      </c>
      <c r="K2762" t="str">
        <f>"519846"</f>
        <v>519846</v>
      </c>
    </row>
    <row r="2763" spans="1:11" x14ac:dyDescent="0.25">
      <c r="A2763">
        <v>2022</v>
      </c>
      <c r="B2763" t="s">
        <v>6068</v>
      </c>
      <c r="C2763" t="s">
        <v>6069</v>
      </c>
      <c r="D2763" t="s">
        <v>19</v>
      </c>
      <c r="E2763" t="s">
        <v>20</v>
      </c>
      <c r="F2763" t="str">
        <f t="shared" si="88"/>
        <v>43608</v>
      </c>
      <c r="G2763" t="str">
        <f t="shared" si="89"/>
        <v>545044</v>
      </c>
      <c r="H2763" s="2">
        <f>5</f>
        <v>5</v>
      </c>
      <c r="I2763" t="s">
        <v>27</v>
      </c>
      <c r="J2763" t="s">
        <v>28</v>
      </c>
      <c r="K2763" t="str">
        <f>"519668"</f>
        <v>519668</v>
      </c>
    </row>
    <row r="2764" spans="1:11" x14ac:dyDescent="0.25">
      <c r="A2764">
        <v>2022</v>
      </c>
      <c r="B2764" t="s">
        <v>6068</v>
      </c>
      <c r="C2764" t="s">
        <v>6069</v>
      </c>
      <c r="D2764" t="s">
        <v>19</v>
      </c>
      <c r="E2764" t="s">
        <v>20</v>
      </c>
      <c r="F2764" t="str">
        <f t="shared" si="88"/>
        <v>43608</v>
      </c>
      <c r="G2764" t="str">
        <f t="shared" si="89"/>
        <v>545044</v>
      </c>
      <c r="H2764" s="2">
        <f>4.55</f>
        <v>4.55</v>
      </c>
      <c r="I2764" t="s">
        <v>27</v>
      </c>
      <c r="J2764" t="s">
        <v>28</v>
      </c>
      <c r="K2764" t="str">
        <f>"520453"</f>
        <v>520453</v>
      </c>
    </row>
    <row r="2765" spans="1:11" x14ac:dyDescent="0.25">
      <c r="A2765">
        <v>2022</v>
      </c>
      <c r="B2765" t="s">
        <v>6068</v>
      </c>
      <c r="C2765" t="s">
        <v>6069</v>
      </c>
      <c r="D2765" t="s">
        <v>19</v>
      </c>
      <c r="E2765" t="s">
        <v>20</v>
      </c>
      <c r="F2765" t="str">
        <f t="shared" si="88"/>
        <v>43608</v>
      </c>
      <c r="G2765" t="str">
        <f t="shared" si="89"/>
        <v>545044</v>
      </c>
      <c r="H2765" s="2">
        <f>2.73</f>
        <v>2.73</v>
      </c>
      <c r="I2765" t="s">
        <v>27</v>
      </c>
      <c r="J2765" t="s">
        <v>28</v>
      </c>
      <c r="K2765" t="str">
        <f>"518602"</f>
        <v>518602</v>
      </c>
    </row>
    <row r="2766" spans="1:11" x14ac:dyDescent="0.25">
      <c r="A2766">
        <v>2022</v>
      </c>
      <c r="B2766" t="s">
        <v>6068</v>
      </c>
      <c r="C2766" t="s">
        <v>6069</v>
      </c>
      <c r="D2766" t="s">
        <v>19</v>
      </c>
      <c r="E2766" t="s">
        <v>20</v>
      </c>
      <c r="F2766" t="str">
        <f t="shared" si="88"/>
        <v>43608</v>
      </c>
      <c r="G2766" t="str">
        <f t="shared" si="89"/>
        <v>545044</v>
      </c>
      <c r="H2766" s="2">
        <f>1.82</f>
        <v>1.82</v>
      </c>
      <c r="I2766" t="s">
        <v>27</v>
      </c>
      <c r="J2766" t="s">
        <v>28</v>
      </c>
      <c r="K2766" t="str">
        <f>"518375"</f>
        <v>518375</v>
      </c>
    </row>
    <row r="2767" spans="1:11" x14ac:dyDescent="0.25">
      <c r="A2767">
        <v>2022</v>
      </c>
      <c r="B2767" t="s">
        <v>6068</v>
      </c>
      <c r="C2767" t="s">
        <v>6069</v>
      </c>
      <c r="D2767" t="s">
        <v>19</v>
      </c>
      <c r="E2767" t="s">
        <v>20</v>
      </c>
      <c r="F2767" t="str">
        <f t="shared" si="88"/>
        <v>43608</v>
      </c>
      <c r="G2767" t="str">
        <f t="shared" si="89"/>
        <v>545044</v>
      </c>
      <c r="H2767" s="2">
        <f>1.82</f>
        <v>1.82</v>
      </c>
      <c r="I2767" t="s">
        <v>27</v>
      </c>
      <c r="J2767" t="s">
        <v>28</v>
      </c>
      <c r="K2767" t="str">
        <f>"518857"</f>
        <v>518857</v>
      </c>
    </row>
    <row r="2768" spans="1:11" x14ac:dyDescent="0.25">
      <c r="A2768">
        <v>2022</v>
      </c>
      <c r="B2768" t="s">
        <v>6098</v>
      </c>
      <c r="C2768" t="s">
        <v>6099</v>
      </c>
      <c r="D2768" t="s">
        <v>19</v>
      </c>
      <c r="E2768" t="s">
        <v>20</v>
      </c>
      <c r="F2768" t="str">
        <f>"43612"</f>
        <v>43612</v>
      </c>
      <c r="G2768" t="str">
        <f>"Je11032022"</f>
        <v>Je11032022</v>
      </c>
      <c r="H2768" s="2">
        <f>25</f>
        <v>25</v>
      </c>
      <c r="I2768" t="s">
        <v>15</v>
      </c>
      <c r="J2768" t="s">
        <v>234</v>
      </c>
      <c r="K2768" t="str">
        <f>"60053820"</f>
        <v>60053820</v>
      </c>
    </row>
    <row r="2769" spans="1:11" x14ac:dyDescent="0.25">
      <c r="A2769">
        <v>2022</v>
      </c>
      <c r="B2769" t="s">
        <v>6100</v>
      </c>
      <c r="C2769" t="s">
        <v>6101</v>
      </c>
      <c r="D2769" t="s">
        <v>19</v>
      </c>
      <c r="E2769" t="s">
        <v>20</v>
      </c>
      <c r="F2769" t="str">
        <f>"43614-3253"</f>
        <v>43614-3253</v>
      </c>
      <c r="G2769" t="str">
        <f>"545101"</f>
        <v>545101</v>
      </c>
      <c r="H2769" s="2">
        <f>10</f>
        <v>10</v>
      </c>
      <c r="I2769" t="s">
        <v>27</v>
      </c>
      <c r="J2769" t="s">
        <v>51</v>
      </c>
      <c r="K2769" t="str">
        <f>"116658"</f>
        <v>116658</v>
      </c>
    </row>
    <row r="2770" spans="1:11" x14ac:dyDescent="0.25">
      <c r="A2770">
        <v>2022</v>
      </c>
      <c r="B2770" t="s">
        <v>6120</v>
      </c>
      <c r="C2770" t="s">
        <v>6121</v>
      </c>
      <c r="D2770" t="s">
        <v>19</v>
      </c>
      <c r="E2770" t="s">
        <v>20</v>
      </c>
      <c r="F2770" t="str">
        <f>"43609"</f>
        <v>43609</v>
      </c>
      <c r="G2770" t="str">
        <f>"Je010722"</f>
        <v>Je010722</v>
      </c>
      <c r="H2770" s="2">
        <f>27.92</f>
        <v>27.92</v>
      </c>
      <c r="I2770" t="s">
        <v>15</v>
      </c>
      <c r="J2770" t="s">
        <v>90</v>
      </c>
      <c r="K2770" t="str">
        <f>"60026968"</f>
        <v>60026968</v>
      </c>
    </row>
    <row r="2771" spans="1:11" x14ac:dyDescent="0.25">
      <c r="A2771">
        <v>2022</v>
      </c>
      <c r="B2771" t="s">
        <v>6130</v>
      </c>
      <c r="C2771" t="s">
        <v>6133</v>
      </c>
      <c r="D2771" t="s">
        <v>19</v>
      </c>
      <c r="E2771" t="s">
        <v>20</v>
      </c>
      <c r="F2771" t="str">
        <f>"43604"</f>
        <v>43604</v>
      </c>
      <c r="G2771" t="str">
        <f>"545043"</f>
        <v>545043</v>
      </c>
      <c r="H2771" s="2">
        <f>1.5</f>
        <v>1.5</v>
      </c>
      <c r="I2771" t="s">
        <v>27</v>
      </c>
      <c r="J2771" t="s">
        <v>77</v>
      </c>
      <c r="K2771" t="str">
        <f>"333655"</f>
        <v>333655</v>
      </c>
    </row>
    <row r="2772" spans="1:11" x14ac:dyDescent="0.25">
      <c r="A2772">
        <v>2022</v>
      </c>
      <c r="B2772" t="s">
        <v>6130</v>
      </c>
      <c r="C2772" t="s">
        <v>6133</v>
      </c>
      <c r="D2772" t="s">
        <v>19</v>
      </c>
      <c r="E2772" t="s">
        <v>20</v>
      </c>
      <c r="F2772" t="str">
        <f>"43604"</f>
        <v>43604</v>
      </c>
      <c r="G2772" t="str">
        <f>"545043"</f>
        <v>545043</v>
      </c>
      <c r="H2772" s="2">
        <f>3.75</f>
        <v>3.75</v>
      </c>
      <c r="I2772" t="s">
        <v>27</v>
      </c>
      <c r="J2772" t="s">
        <v>77</v>
      </c>
      <c r="K2772" t="str">
        <f>"332996"</f>
        <v>332996</v>
      </c>
    </row>
    <row r="2773" spans="1:11" x14ac:dyDescent="0.25">
      <c r="A2773">
        <v>2022</v>
      </c>
      <c r="B2773" t="s">
        <v>6130</v>
      </c>
      <c r="C2773" t="s">
        <v>6133</v>
      </c>
      <c r="D2773" t="s">
        <v>19</v>
      </c>
      <c r="E2773" t="s">
        <v>20</v>
      </c>
      <c r="F2773" t="str">
        <f>"43604"</f>
        <v>43604</v>
      </c>
      <c r="G2773" t="str">
        <f>"545043"</f>
        <v>545043</v>
      </c>
      <c r="H2773" s="2">
        <f>5.75</f>
        <v>5.75</v>
      </c>
      <c r="I2773" t="s">
        <v>27</v>
      </c>
      <c r="J2773" t="s">
        <v>77</v>
      </c>
      <c r="K2773" t="str">
        <f>"332981"</f>
        <v>332981</v>
      </c>
    </row>
    <row r="2774" spans="1:11" x14ac:dyDescent="0.25">
      <c r="A2774">
        <v>2022</v>
      </c>
      <c r="B2774" t="s">
        <v>6164</v>
      </c>
      <c r="C2774" t="s">
        <v>6165</v>
      </c>
      <c r="D2774" t="s">
        <v>19</v>
      </c>
      <c r="E2774" t="s">
        <v>20</v>
      </c>
      <c r="F2774" t="str">
        <f>"43604"</f>
        <v>43604</v>
      </c>
      <c r="G2774" t="str">
        <f>"545042"</f>
        <v>545042</v>
      </c>
      <c r="H2774" s="2">
        <f>4.05</f>
        <v>4.05</v>
      </c>
      <c r="I2774" t="s">
        <v>27</v>
      </c>
      <c r="J2774" t="s">
        <v>257</v>
      </c>
      <c r="K2774" t="str">
        <f>"37555"</f>
        <v>37555</v>
      </c>
    </row>
    <row r="2775" spans="1:11" x14ac:dyDescent="0.25">
      <c r="A2775">
        <v>2022</v>
      </c>
      <c r="B2775" t="s">
        <v>6187</v>
      </c>
      <c r="C2775" t="s">
        <v>6188</v>
      </c>
      <c r="D2775" t="s">
        <v>125</v>
      </c>
      <c r="E2775" t="s">
        <v>20</v>
      </c>
      <c r="F2775" t="str">
        <f>"43537-3017"</f>
        <v>43537-3017</v>
      </c>
      <c r="G2775" t="str">
        <f>"545101"</f>
        <v>545101</v>
      </c>
      <c r="H2775" s="2">
        <f>10</f>
        <v>10</v>
      </c>
      <c r="I2775" t="s">
        <v>27</v>
      </c>
      <c r="J2775" t="s">
        <v>51</v>
      </c>
      <c r="K2775" t="str">
        <f>"116824"</f>
        <v>116824</v>
      </c>
    </row>
    <row r="2776" spans="1:11" x14ac:dyDescent="0.25">
      <c r="A2776">
        <v>2022</v>
      </c>
      <c r="B2776" t="s">
        <v>6191</v>
      </c>
      <c r="C2776" t="s">
        <v>6192</v>
      </c>
      <c r="D2776" t="s">
        <v>19</v>
      </c>
      <c r="E2776" t="s">
        <v>20</v>
      </c>
      <c r="F2776" t="str">
        <f>"43615-2174"</f>
        <v>43615-2174</v>
      </c>
      <c r="G2776" t="str">
        <f>"545101"</f>
        <v>545101</v>
      </c>
      <c r="H2776" s="2">
        <f>10</f>
        <v>10</v>
      </c>
      <c r="I2776" t="s">
        <v>27</v>
      </c>
      <c r="J2776" t="s">
        <v>51</v>
      </c>
      <c r="K2776" t="str">
        <f>"117867"</f>
        <v>117867</v>
      </c>
    </row>
    <row r="2777" spans="1:11" x14ac:dyDescent="0.25">
      <c r="A2777">
        <v>2022</v>
      </c>
      <c r="B2777" t="s">
        <v>6228</v>
      </c>
      <c r="C2777" t="s">
        <v>6231</v>
      </c>
      <c r="D2777" t="s">
        <v>1729</v>
      </c>
      <c r="E2777" t="s">
        <v>20</v>
      </c>
      <c r="F2777" t="str">
        <f>"45459"</f>
        <v>45459</v>
      </c>
      <c r="G2777" t="str">
        <f>"545042"</f>
        <v>545042</v>
      </c>
      <c r="H2777" s="2">
        <f>200.85</f>
        <v>200.85</v>
      </c>
      <c r="I2777" t="s">
        <v>27</v>
      </c>
      <c r="J2777" t="s">
        <v>257</v>
      </c>
      <c r="K2777" t="str">
        <f>"38053"</f>
        <v>38053</v>
      </c>
    </row>
    <row r="2778" spans="1:11" x14ac:dyDescent="0.25">
      <c r="A2778">
        <v>2022</v>
      </c>
      <c r="B2778" t="s">
        <v>6228</v>
      </c>
      <c r="C2778" t="s">
        <v>6231</v>
      </c>
      <c r="D2778" t="s">
        <v>1729</v>
      </c>
      <c r="E2778" t="s">
        <v>20</v>
      </c>
      <c r="F2778" t="str">
        <f>"45459"</f>
        <v>45459</v>
      </c>
      <c r="G2778" t="str">
        <f>"545042"</f>
        <v>545042</v>
      </c>
      <c r="H2778" s="2">
        <f>203.5</f>
        <v>203.5</v>
      </c>
      <c r="I2778" t="s">
        <v>27</v>
      </c>
      <c r="J2778" t="s">
        <v>257</v>
      </c>
      <c r="K2778" t="str">
        <f>"37971"</f>
        <v>37971</v>
      </c>
    </row>
    <row r="2779" spans="1:11" x14ac:dyDescent="0.25">
      <c r="A2779">
        <v>2022</v>
      </c>
      <c r="B2779" t="s">
        <v>6263</v>
      </c>
      <c r="C2779" t="s">
        <v>6264</v>
      </c>
      <c r="D2779" t="s">
        <v>58</v>
      </c>
      <c r="E2779" t="s">
        <v>20</v>
      </c>
      <c r="F2779" t="str">
        <f>"43616"</f>
        <v>43616</v>
      </c>
      <c r="G2779" t="str">
        <f>"Je010722"</f>
        <v>Je010722</v>
      </c>
      <c r="H2779" s="2">
        <f>10</f>
        <v>10</v>
      </c>
      <c r="I2779" t="s">
        <v>15</v>
      </c>
      <c r="J2779" t="s">
        <v>90</v>
      </c>
      <c r="K2779" t="str">
        <f>"60035370"</f>
        <v>60035370</v>
      </c>
    </row>
    <row r="2780" spans="1:11" x14ac:dyDescent="0.25">
      <c r="A2780">
        <v>2022</v>
      </c>
      <c r="B2780" t="s">
        <v>6269</v>
      </c>
      <c r="C2780" t="s">
        <v>6270</v>
      </c>
      <c r="D2780" t="s">
        <v>19</v>
      </c>
      <c r="E2780" t="s">
        <v>20</v>
      </c>
      <c r="F2780" t="str">
        <f>"43617"</f>
        <v>43617</v>
      </c>
      <c r="G2780" t="str">
        <f>"Je010722"</f>
        <v>Je010722</v>
      </c>
      <c r="H2780" s="2">
        <f>10</f>
        <v>10</v>
      </c>
      <c r="I2780" t="s">
        <v>15</v>
      </c>
      <c r="J2780" t="s">
        <v>90</v>
      </c>
      <c r="K2780" t="str">
        <f>"60035371"</f>
        <v>60035371</v>
      </c>
    </row>
    <row r="2781" spans="1:11" x14ac:dyDescent="0.25">
      <c r="A2781">
        <v>2022</v>
      </c>
      <c r="B2781" t="s">
        <v>6291</v>
      </c>
      <c r="C2781" t="s">
        <v>6292</v>
      </c>
      <c r="D2781" t="s">
        <v>19</v>
      </c>
      <c r="E2781" t="s">
        <v>20</v>
      </c>
      <c r="F2781" t="str">
        <f>"43612-1504"</f>
        <v>43612-1504</v>
      </c>
      <c r="G2781" t="str">
        <f>"545101"</f>
        <v>545101</v>
      </c>
      <c r="H2781" s="2">
        <f>10</f>
        <v>10</v>
      </c>
      <c r="I2781" t="s">
        <v>27</v>
      </c>
      <c r="J2781" t="s">
        <v>51</v>
      </c>
      <c r="K2781" t="str">
        <f>"117462"</f>
        <v>117462</v>
      </c>
    </row>
    <row r="2782" spans="1:11" x14ac:dyDescent="0.25">
      <c r="A2782">
        <v>2022</v>
      </c>
      <c r="B2782" t="s">
        <v>6316</v>
      </c>
      <c r="C2782" t="s">
        <v>6317</v>
      </c>
      <c r="D2782" t="s">
        <v>497</v>
      </c>
      <c r="E2782" t="s">
        <v>20</v>
      </c>
      <c r="F2782" t="str">
        <f>"43606"</f>
        <v>43606</v>
      </c>
      <c r="G2782" t="str">
        <f>"545101"</f>
        <v>545101</v>
      </c>
      <c r="H2782" s="2">
        <f>40</f>
        <v>40</v>
      </c>
      <c r="I2782" t="s">
        <v>27</v>
      </c>
      <c r="J2782" t="s">
        <v>51</v>
      </c>
      <c r="K2782" t="str">
        <f>"117471"</f>
        <v>117471</v>
      </c>
    </row>
    <row r="2783" spans="1:11" x14ac:dyDescent="0.25">
      <c r="A2783">
        <v>2022</v>
      </c>
      <c r="B2783" t="s">
        <v>6322</v>
      </c>
      <c r="C2783" t="s">
        <v>6323</v>
      </c>
      <c r="D2783" t="s">
        <v>19</v>
      </c>
      <c r="E2783" t="s">
        <v>20</v>
      </c>
      <c r="F2783" t="str">
        <f>"43623"</f>
        <v>43623</v>
      </c>
      <c r="G2783" t="str">
        <f>"Je031622"</f>
        <v>Je031622</v>
      </c>
      <c r="H2783" s="2">
        <f>374.93</f>
        <v>374.93</v>
      </c>
      <c r="I2783" t="s">
        <v>15</v>
      </c>
      <c r="J2783" t="s">
        <v>117</v>
      </c>
      <c r="K2783" t="str">
        <f>"60043009"</f>
        <v>60043009</v>
      </c>
    </row>
    <row r="2784" spans="1:11" x14ac:dyDescent="0.25">
      <c r="A2784">
        <v>2022</v>
      </c>
      <c r="B2784" t="s">
        <v>6328</v>
      </c>
      <c r="C2784" t="s">
        <v>6329</v>
      </c>
      <c r="D2784" t="s">
        <v>19</v>
      </c>
      <c r="E2784" t="s">
        <v>20</v>
      </c>
      <c r="F2784" t="str">
        <f>"43613-1022"</f>
        <v>43613-1022</v>
      </c>
      <c r="G2784" t="str">
        <f>"545101"</f>
        <v>545101</v>
      </c>
      <c r="H2784" s="2">
        <f>20</f>
        <v>20</v>
      </c>
      <c r="I2784" t="s">
        <v>27</v>
      </c>
      <c r="J2784" t="s">
        <v>51</v>
      </c>
      <c r="K2784" t="str">
        <f>"117294"</f>
        <v>117294</v>
      </c>
    </row>
    <row r="2785" spans="1:11" x14ac:dyDescent="0.25">
      <c r="A2785">
        <v>2022</v>
      </c>
      <c r="B2785" t="s">
        <v>6328</v>
      </c>
      <c r="C2785" t="s">
        <v>6329</v>
      </c>
      <c r="D2785" t="s">
        <v>19</v>
      </c>
      <c r="E2785" t="s">
        <v>20</v>
      </c>
      <c r="F2785" t="str">
        <f>"43613-1022"</f>
        <v>43613-1022</v>
      </c>
      <c r="G2785" t="str">
        <f>"545101"</f>
        <v>545101</v>
      </c>
      <c r="H2785" s="2">
        <f>20</f>
        <v>20</v>
      </c>
      <c r="I2785" t="s">
        <v>27</v>
      </c>
      <c r="J2785" t="s">
        <v>51</v>
      </c>
      <c r="K2785" t="str">
        <f>"117303"</f>
        <v>117303</v>
      </c>
    </row>
    <row r="2786" spans="1:11" x14ac:dyDescent="0.25">
      <c r="A2786">
        <v>2022</v>
      </c>
      <c r="B2786" t="s">
        <v>6330</v>
      </c>
      <c r="C2786" t="s">
        <v>6331</v>
      </c>
      <c r="D2786" t="s">
        <v>19</v>
      </c>
      <c r="E2786" t="s">
        <v>20</v>
      </c>
      <c r="F2786" t="str">
        <f>"43605"</f>
        <v>43605</v>
      </c>
      <c r="G2786" t="str">
        <f>"Je11032022"</f>
        <v>Je11032022</v>
      </c>
      <c r="H2786" s="2">
        <f>50</f>
        <v>50</v>
      </c>
      <c r="I2786" t="s">
        <v>15</v>
      </c>
      <c r="J2786" t="s">
        <v>234</v>
      </c>
      <c r="K2786" t="str">
        <f>"60053824"</f>
        <v>60053824</v>
      </c>
    </row>
    <row r="2787" spans="1:11" x14ac:dyDescent="0.25">
      <c r="A2787">
        <v>2022</v>
      </c>
      <c r="B2787" t="s">
        <v>6332</v>
      </c>
      <c r="C2787" t="s">
        <v>6333</v>
      </c>
      <c r="D2787" t="s">
        <v>19</v>
      </c>
      <c r="E2787" t="s">
        <v>20</v>
      </c>
      <c r="F2787" t="str">
        <f>"43614"</f>
        <v>43614</v>
      </c>
      <c r="G2787" t="str">
        <f>"Je11032022"</f>
        <v>Je11032022</v>
      </c>
      <c r="H2787" s="2">
        <f>25</f>
        <v>25</v>
      </c>
      <c r="I2787" t="s">
        <v>15</v>
      </c>
      <c r="J2787" t="s">
        <v>234</v>
      </c>
      <c r="K2787" t="str">
        <f>"60053825"</f>
        <v>60053825</v>
      </c>
    </row>
    <row r="2788" spans="1:11" x14ac:dyDescent="0.25">
      <c r="A2788">
        <v>2022</v>
      </c>
      <c r="B2788" t="s">
        <v>6351</v>
      </c>
      <c r="C2788" t="s">
        <v>6352</v>
      </c>
      <c r="D2788" t="s">
        <v>6350</v>
      </c>
      <c r="E2788" t="s">
        <v>462</v>
      </c>
      <c r="F2788" t="str">
        <f>"33772"</f>
        <v>33772</v>
      </c>
      <c r="G2788" t="str">
        <f>"Je031622"</f>
        <v>Je031622</v>
      </c>
      <c r="H2788" s="2">
        <f>45.25</f>
        <v>45.25</v>
      </c>
      <c r="I2788" t="s">
        <v>15</v>
      </c>
      <c r="J2788" t="s">
        <v>117</v>
      </c>
      <c r="K2788" t="str">
        <f>"60037028"</f>
        <v>60037028</v>
      </c>
    </row>
    <row r="2789" spans="1:11" x14ac:dyDescent="0.25">
      <c r="A2789">
        <v>2022</v>
      </c>
      <c r="B2789" t="s">
        <v>6351</v>
      </c>
      <c r="C2789" t="s">
        <v>6355</v>
      </c>
      <c r="D2789" t="s">
        <v>6350</v>
      </c>
      <c r="E2789" t="s">
        <v>462</v>
      </c>
      <c r="F2789" t="str">
        <f>"33772"</f>
        <v>33772</v>
      </c>
      <c r="G2789" t="str">
        <f>"Je031622"</f>
        <v>Je031622</v>
      </c>
      <c r="H2789" s="2">
        <f>45.25</f>
        <v>45.25</v>
      </c>
      <c r="I2789" t="s">
        <v>15</v>
      </c>
      <c r="J2789" t="s">
        <v>117</v>
      </c>
      <c r="K2789" t="str">
        <f>"60039595"</f>
        <v>60039595</v>
      </c>
    </row>
    <row r="2790" spans="1:11" x14ac:dyDescent="0.25">
      <c r="A2790">
        <v>2022</v>
      </c>
      <c r="B2790" t="s">
        <v>6356</v>
      </c>
      <c r="C2790" t="s">
        <v>6357</v>
      </c>
      <c r="D2790" t="s">
        <v>19</v>
      </c>
      <c r="E2790" t="s">
        <v>20</v>
      </c>
      <c r="F2790" t="str">
        <f>"43604"</f>
        <v>43604</v>
      </c>
      <c r="G2790" t="str">
        <f>"Je031622"</f>
        <v>Je031622</v>
      </c>
      <c r="H2790" s="2">
        <f>143.31</f>
        <v>143.31</v>
      </c>
      <c r="I2790" t="s">
        <v>15</v>
      </c>
      <c r="J2790" t="s">
        <v>117</v>
      </c>
      <c r="K2790" t="str">
        <f>"60039596"</f>
        <v>60039596</v>
      </c>
    </row>
    <row r="2791" spans="1:11" x14ac:dyDescent="0.25">
      <c r="A2791">
        <v>2022</v>
      </c>
      <c r="B2791" t="s">
        <v>6373</v>
      </c>
      <c r="C2791" t="s">
        <v>6374</v>
      </c>
      <c r="D2791" t="s">
        <v>19</v>
      </c>
      <c r="E2791" t="s">
        <v>20</v>
      </c>
      <c r="F2791" t="str">
        <f>"43606"</f>
        <v>43606</v>
      </c>
      <c r="G2791" t="str">
        <f>"Je11032022"</f>
        <v>Je11032022</v>
      </c>
      <c r="H2791" s="2">
        <f>25</f>
        <v>25</v>
      </c>
      <c r="I2791" t="s">
        <v>15</v>
      </c>
      <c r="J2791" t="s">
        <v>234</v>
      </c>
      <c r="K2791" t="str">
        <f>"60053827"</f>
        <v>60053827</v>
      </c>
    </row>
    <row r="2792" spans="1:11" x14ac:dyDescent="0.25">
      <c r="A2792">
        <v>2022</v>
      </c>
      <c r="B2792" t="s">
        <v>6430</v>
      </c>
      <c r="C2792" t="s">
        <v>6431</v>
      </c>
      <c r="D2792" t="s">
        <v>19</v>
      </c>
      <c r="E2792" t="s">
        <v>20</v>
      </c>
      <c r="F2792" t="str">
        <f>"43614-1391"</f>
        <v>43614-1391</v>
      </c>
      <c r="G2792" t="str">
        <f>"545101"</f>
        <v>545101</v>
      </c>
      <c r="H2792" s="2">
        <f>10</f>
        <v>10</v>
      </c>
      <c r="I2792" t="s">
        <v>27</v>
      </c>
      <c r="J2792" t="s">
        <v>51</v>
      </c>
      <c r="K2792" t="str">
        <f>"117210"</f>
        <v>117210</v>
      </c>
    </row>
    <row r="2793" spans="1:11" x14ac:dyDescent="0.25">
      <c r="A2793">
        <v>2022</v>
      </c>
      <c r="B2793" t="s">
        <v>6457</v>
      </c>
      <c r="C2793" t="s">
        <v>6456</v>
      </c>
      <c r="D2793" t="s">
        <v>3853</v>
      </c>
      <c r="E2793" t="s">
        <v>20</v>
      </c>
      <c r="F2793" t="str">
        <f>"43447"</f>
        <v>43447</v>
      </c>
      <c r="G2793" t="str">
        <f>"Je010722"</f>
        <v>Je010722</v>
      </c>
      <c r="H2793" s="2">
        <f>45.25</f>
        <v>45.25</v>
      </c>
      <c r="I2793" t="s">
        <v>15</v>
      </c>
      <c r="J2793" t="s">
        <v>90</v>
      </c>
      <c r="K2793" t="str">
        <f>"60026496"</f>
        <v>60026496</v>
      </c>
    </row>
    <row r="2794" spans="1:11" x14ac:dyDescent="0.25">
      <c r="A2794">
        <v>2022</v>
      </c>
      <c r="B2794" t="s">
        <v>6457</v>
      </c>
      <c r="C2794" t="s">
        <v>6458</v>
      </c>
      <c r="D2794" t="s">
        <v>3853</v>
      </c>
      <c r="E2794" t="s">
        <v>20</v>
      </c>
      <c r="F2794" t="str">
        <f>"43447"</f>
        <v>43447</v>
      </c>
      <c r="G2794" t="str">
        <f>"Je010722"</f>
        <v>Je010722</v>
      </c>
      <c r="H2794" s="2">
        <f>45.25</f>
        <v>45.25</v>
      </c>
      <c r="I2794" t="s">
        <v>15</v>
      </c>
      <c r="J2794" t="s">
        <v>90</v>
      </c>
      <c r="K2794" t="str">
        <f>"60029253"</f>
        <v>60029253</v>
      </c>
    </row>
    <row r="2795" spans="1:11" x14ac:dyDescent="0.25">
      <c r="A2795">
        <v>2022</v>
      </c>
      <c r="B2795" t="s">
        <v>6459</v>
      </c>
      <c r="C2795" t="s">
        <v>6460</v>
      </c>
      <c r="D2795" t="s">
        <v>58</v>
      </c>
      <c r="E2795" t="s">
        <v>20</v>
      </c>
      <c r="F2795" t="str">
        <f>"43616-3637"</f>
        <v>43616-3637</v>
      </c>
      <c r="G2795" t="str">
        <f>"545101"</f>
        <v>545101</v>
      </c>
      <c r="H2795" s="2">
        <f>10</f>
        <v>10</v>
      </c>
      <c r="I2795" t="s">
        <v>27</v>
      </c>
      <c r="J2795" t="s">
        <v>51</v>
      </c>
      <c r="K2795" t="str">
        <f>"117069"</f>
        <v>117069</v>
      </c>
    </row>
    <row r="2796" spans="1:11" x14ac:dyDescent="0.25">
      <c r="A2796">
        <v>2022</v>
      </c>
      <c r="B2796" t="s">
        <v>6478</v>
      </c>
      <c r="C2796" t="s">
        <v>6479</v>
      </c>
      <c r="D2796" t="s">
        <v>6480</v>
      </c>
      <c r="E2796" t="s">
        <v>204</v>
      </c>
      <c r="F2796" t="str">
        <f>"30016"</f>
        <v>30016</v>
      </c>
      <c r="G2796" t="str">
        <f>"Je010722"</f>
        <v>Je010722</v>
      </c>
      <c r="H2796" s="2">
        <f>178.91</f>
        <v>178.91</v>
      </c>
      <c r="I2796" t="s">
        <v>15</v>
      </c>
      <c r="J2796" t="s">
        <v>90</v>
      </c>
      <c r="K2796" t="str">
        <f>"60034590"</f>
        <v>60034590</v>
      </c>
    </row>
    <row r="2797" spans="1:11" x14ac:dyDescent="0.25">
      <c r="A2797">
        <v>2022</v>
      </c>
      <c r="B2797" t="s">
        <v>6478</v>
      </c>
      <c r="C2797" t="s">
        <v>6479</v>
      </c>
      <c r="D2797" t="s">
        <v>6480</v>
      </c>
      <c r="E2797" t="s">
        <v>204</v>
      </c>
      <c r="F2797" t="str">
        <f>"30016"</f>
        <v>30016</v>
      </c>
      <c r="G2797" t="str">
        <f>"Je031622"</f>
        <v>Je031622</v>
      </c>
      <c r="H2797" s="2">
        <f>178.91</f>
        <v>178.91</v>
      </c>
      <c r="I2797" t="s">
        <v>15</v>
      </c>
      <c r="J2797" t="s">
        <v>117</v>
      </c>
      <c r="K2797" t="str">
        <f>"60041960"</f>
        <v>60041960</v>
      </c>
    </row>
    <row r="2798" spans="1:11" x14ac:dyDescent="0.25">
      <c r="A2798">
        <v>2022</v>
      </c>
      <c r="B2798" t="s">
        <v>6481</v>
      </c>
      <c r="C2798" t="s">
        <v>6482</v>
      </c>
      <c r="D2798" t="s">
        <v>19</v>
      </c>
      <c r="E2798" t="s">
        <v>20</v>
      </c>
      <c r="F2798" t="str">
        <f>"43605"</f>
        <v>43605</v>
      </c>
      <c r="G2798" t="str">
        <f>"Je010722"</f>
        <v>Je010722</v>
      </c>
      <c r="H2798" s="2">
        <f>22.63</f>
        <v>22.63</v>
      </c>
      <c r="I2798" t="s">
        <v>15</v>
      </c>
      <c r="J2798" t="s">
        <v>90</v>
      </c>
      <c r="K2798" t="str">
        <f>"60034591"</f>
        <v>60034591</v>
      </c>
    </row>
    <row r="2799" spans="1:11" x14ac:dyDescent="0.25">
      <c r="A2799">
        <v>2022</v>
      </c>
      <c r="B2799" t="s">
        <v>6487</v>
      </c>
      <c r="C2799" t="s">
        <v>6488</v>
      </c>
      <c r="D2799" t="s">
        <v>19</v>
      </c>
      <c r="E2799" t="s">
        <v>20</v>
      </c>
      <c r="F2799" t="str">
        <f>"43615"</f>
        <v>43615</v>
      </c>
      <c r="G2799" t="str">
        <f>"Je010722"</f>
        <v>Je010722</v>
      </c>
      <c r="H2799" s="2">
        <f>155.64</f>
        <v>155.63999999999999</v>
      </c>
      <c r="I2799" t="s">
        <v>15</v>
      </c>
      <c r="J2799" t="s">
        <v>90</v>
      </c>
      <c r="K2799" t="str">
        <f>"60025282"</f>
        <v>60025282</v>
      </c>
    </row>
    <row r="2800" spans="1:11" x14ac:dyDescent="0.25">
      <c r="A2800">
        <v>2022</v>
      </c>
      <c r="B2800" t="s">
        <v>6521</v>
      </c>
      <c r="C2800" t="s">
        <v>6522</v>
      </c>
      <c r="D2800" t="s">
        <v>19</v>
      </c>
      <c r="E2800" t="s">
        <v>20</v>
      </c>
      <c r="F2800" t="str">
        <f>"43612"</f>
        <v>43612</v>
      </c>
      <c r="G2800" t="str">
        <f>"545043"</f>
        <v>545043</v>
      </c>
      <c r="H2800" s="2">
        <f>10.5</f>
        <v>10.5</v>
      </c>
      <c r="I2800" t="s">
        <v>27</v>
      </c>
      <c r="J2800" t="s">
        <v>77</v>
      </c>
      <c r="K2800" t="str">
        <f>"333451"</f>
        <v>333451</v>
      </c>
    </row>
    <row r="2801" spans="1:11" x14ac:dyDescent="0.25">
      <c r="A2801">
        <v>2022</v>
      </c>
      <c r="B2801" t="s">
        <v>6531</v>
      </c>
      <c r="C2801" t="s">
        <v>6532</v>
      </c>
      <c r="D2801" t="s">
        <v>50</v>
      </c>
      <c r="E2801" t="s">
        <v>20</v>
      </c>
      <c r="F2801" t="str">
        <f>"43560"</f>
        <v>43560</v>
      </c>
      <c r="G2801" t="str">
        <f>"Je031622"</f>
        <v>Je031622</v>
      </c>
      <c r="H2801" s="2">
        <f>75</f>
        <v>75</v>
      </c>
      <c r="I2801" t="s">
        <v>15</v>
      </c>
      <c r="J2801" t="s">
        <v>117</v>
      </c>
      <c r="K2801" t="str">
        <f>"60036467"</f>
        <v>60036467</v>
      </c>
    </row>
    <row r="2802" spans="1:11" x14ac:dyDescent="0.25">
      <c r="A2802">
        <v>2022</v>
      </c>
      <c r="B2802" t="s">
        <v>6537</v>
      </c>
      <c r="C2802" t="s">
        <v>6538</v>
      </c>
      <c r="D2802" t="s">
        <v>19</v>
      </c>
      <c r="E2802" t="s">
        <v>20</v>
      </c>
      <c r="F2802" t="str">
        <f>"43612"</f>
        <v>43612</v>
      </c>
      <c r="G2802" t="str">
        <f>"Je11032022"</f>
        <v>Je11032022</v>
      </c>
      <c r="H2802" s="2">
        <f>68.44</f>
        <v>68.44</v>
      </c>
      <c r="I2802" t="s">
        <v>15</v>
      </c>
      <c r="J2802" t="s">
        <v>234</v>
      </c>
      <c r="K2802" t="str">
        <f>"60054433"</f>
        <v>60054433</v>
      </c>
    </row>
    <row r="2803" spans="1:11" x14ac:dyDescent="0.25">
      <c r="A2803">
        <v>2022</v>
      </c>
      <c r="B2803" t="s">
        <v>6563</v>
      </c>
      <c r="C2803" t="s">
        <v>6564</v>
      </c>
      <c r="D2803" t="s">
        <v>19</v>
      </c>
      <c r="E2803" t="s">
        <v>20</v>
      </c>
      <c r="F2803" t="str">
        <f>"43617"</f>
        <v>43617</v>
      </c>
      <c r="G2803" t="str">
        <f>"Je010722"</f>
        <v>Je010722</v>
      </c>
      <c r="H2803" s="2">
        <f>26.45</f>
        <v>26.45</v>
      </c>
      <c r="I2803" t="s">
        <v>15</v>
      </c>
      <c r="J2803" t="s">
        <v>90</v>
      </c>
      <c r="K2803" t="str">
        <f>"60036339"</f>
        <v>60036339</v>
      </c>
    </row>
    <row r="2804" spans="1:11" x14ac:dyDescent="0.25">
      <c r="A2804">
        <v>2022</v>
      </c>
      <c r="B2804" t="s">
        <v>6600</v>
      </c>
      <c r="C2804" t="s">
        <v>6601</v>
      </c>
      <c r="D2804" t="s">
        <v>19</v>
      </c>
      <c r="E2804" t="s">
        <v>20</v>
      </c>
      <c r="F2804" t="str">
        <f>"43607"</f>
        <v>43607</v>
      </c>
      <c r="G2804" t="str">
        <f>"Je031622"</f>
        <v>Je031622</v>
      </c>
      <c r="H2804" s="2">
        <f>62.4</f>
        <v>62.4</v>
      </c>
      <c r="I2804" t="s">
        <v>15</v>
      </c>
      <c r="J2804" t="s">
        <v>117</v>
      </c>
      <c r="K2804" t="str">
        <f>"60037576"</f>
        <v>60037576</v>
      </c>
    </row>
    <row r="2805" spans="1:11" x14ac:dyDescent="0.25">
      <c r="A2805">
        <v>2022</v>
      </c>
      <c r="B2805" t="s">
        <v>6606</v>
      </c>
      <c r="C2805" t="s">
        <v>6607</v>
      </c>
      <c r="D2805" t="s">
        <v>58</v>
      </c>
      <c r="E2805" t="s">
        <v>20</v>
      </c>
      <c r="F2805" t="str">
        <f>"43616-2724"</f>
        <v>43616-2724</v>
      </c>
      <c r="G2805" t="str">
        <f>"545101"</f>
        <v>545101</v>
      </c>
      <c r="H2805" s="2">
        <f>20</f>
        <v>20</v>
      </c>
      <c r="I2805" t="s">
        <v>27</v>
      </c>
      <c r="J2805" t="s">
        <v>51</v>
      </c>
      <c r="K2805" t="str">
        <f>"118033"</f>
        <v>118033</v>
      </c>
    </row>
    <row r="2806" spans="1:11" x14ac:dyDescent="0.25">
      <c r="A2806">
        <v>2022</v>
      </c>
      <c r="B2806" t="s">
        <v>6634</v>
      </c>
      <c r="C2806" t="s">
        <v>6635</v>
      </c>
      <c r="D2806" t="s">
        <v>19</v>
      </c>
      <c r="E2806" t="s">
        <v>20</v>
      </c>
      <c r="F2806" t="str">
        <f>"43604"</f>
        <v>43604</v>
      </c>
      <c r="G2806" t="str">
        <f>"545043"</f>
        <v>545043</v>
      </c>
      <c r="H2806" s="2">
        <f>6.62</f>
        <v>6.62</v>
      </c>
      <c r="I2806" t="s">
        <v>27</v>
      </c>
      <c r="J2806" t="s">
        <v>77</v>
      </c>
      <c r="K2806" t="str">
        <f>"332575"</f>
        <v>332575</v>
      </c>
    </row>
    <row r="2807" spans="1:11" x14ac:dyDescent="0.25">
      <c r="A2807">
        <v>2022</v>
      </c>
      <c r="B2807" t="s">
        <v>6634</v>
      </c>
      <c r="C2807" t="s">
        <v>6635</v>
      </c>
      <c r="D2807" t="s">
        <v>19</v>
      </c>
      <c r="E2807" t="s">
        <v>20</v>
      </c>
      <c r="F2807" t="str">
        <f>"43604"</f>
        <v>43604</v>
      </c>
      <c r="G2807" t="str">
        <f>"545043"</f>
        <v>545043</v>
      </c>
      <c r="H2807" s="2">
        <f>5.09</f>
        <v>5.09</v>
      </c>
      <c r="I2807" t="s">
        <v>27</v>
      </c>
      <c r="J2807" t="s">
        <v>77</v>
      </c>
      <c r="K2807" t="str">
        <f>"332702"</f>
        <v>332702</v>
      </c>
    </row>
    <row r="2808" spans="1:11" x14ac:dyDescent="0.25">
      <c r="A2808">
        <v>2022</v>
      </c>
      <c r="B2808" t="s">
        <v>6636</v>
      </c>
      <c r="C2808" t="s">
        <v>6637</v>
      </c>
      <c r="D2808" t="s">
        <v>19</v>
      </c>
      <c r="E2808" t="s">
        <v>20</v>
      </c>
      <c r="F2808" t="str">
        <f>"43612-2808"</f>
        <v>43612-2808</v>
      </c>
      <c r="G2808" t="str">
        <f>"545101"</f>
        <v>545101</v>
      </c>
      <c r="H2808" s="2">
        <f>20</f>
        <v>20</v>
      </c>
      <c r="I2808" t="s">
        <v>27</v>
      </c>
      <c r="J2808" t="s">
        <v>51</v>
      </c>
      <c r="K2808" t="str">
        <f>"118055"</f>
        <v>118055</v>
      </c>
    </row>
    <row r="2809" spans="1:11" x14ac:dyDescent="0.25">
      <c r="A2809">
        <v>2022</v>
      </c>
      <c r="B2809" t="s">
        <v>6650</v>
      </c>
      <c r="C2809" t="s">
        <v>6651</v>
      </c>
      <c r="D2809" t="s">
        <v>125</v>
      </c>
      <c r="E2809" t="s">
        <v>20</v>
      </c>
      <c r="F2809" t="str">
        <f>"43537"</f>
        <v>43537</v>
      </c>
      <c r="G2809" t="str">
        <f>"Je010722"</f>
        <v>Je010722</v>
      </c>
      <c r="H2809" s="2">
        <f>10</f>
        <v>10</v>
      </c>
      <c r="I2809" t="s">
        <v>15</v>
      </c>
      <c r="J2809" t="s">
        <v>90</v>
      </c>
      <c r="K2809" t="str">
        <f>"60035394"</f>
        <v>60035394</v>
      </c>
    </row>
    <row r="2810" spans="1:11" x14ac:dyDescent="0.25">
      <c r="A2810">
        <v>2022</v>
      </c>
      <c r="B2810" t="s">
        <v>6652</v>
      </c>
      <c r="C2810" t="s">
        <v>6653</v>
      </c>
      <c r="D2810" t="s">
        <v>19</v>
      </c>
      <c r="E2810" t="s">
        <v>20</v>
      </c>
      <c r="F2810" t="str">
        <f>"43611"</f>
        <v>43611</v>
      </c>
      <c r="G2810" t="str">
        <f>"Je11032022"</f>
        <v>Je11032022</v>
      </c>
      <c r="H2810" s="2">
        <f>25</f>
        <v>25</v>
      </c>
      <c r="I2810" t="s">
        <v>15</v>
      </c>
      <c r="J2810" t="s">
        <v>234</v>
      </c>
      <c r="K2810" t="str">
        <f>"60053833"</f>
        <v>60053833</v>
      </c>
    </row>
    <row r="2811" spans="1:11" x14ac:dyDescent="0.25">
      <c r="A2811">
        <v>2022</v>
      </c>
      <c r="B2811" t="s">
        <v>6681</v>
      </c>
      <c r="C2811" t="s">
        <v>6682</v>
      </c>
      <c r="D2811" t="s">
        <v>19</v>
      </c>
      <c r="E2811" t="s">
        <v>20</v>
      </c>
      <c r="F2811" t="str">
        <f>"43615"</f>
        <v>43615</v>
      </c>
      <c r="G2811" t="str">
        <f>"Je031622"</f>
        <v>Je031622</v>
      </c>
      <c r="H2811" s="2">
        <f>25</f>
        <v>25</v>
      </c>
      <c r="I2811" t="s">
        <v>15</v>
      </c>
      <c r="J2811" t="s">
        <v>117</v>
      </c>
      <c r="K2811" t="str">
        <f>"60036468"</f>
        <v>60036468</v>
      </c>
    </row>
    <row r="2812" spans="1:11" x14ac:dyDescent="0.25">
      <c r="A2812">
        <v>2022</v>
      </c>
      <c r="B2812" t="s">
        <v>6691</v>
      </c>
      <c r="C2812" t="s">
        <v>4197</v>
      </c>
      <c r="D2812" t="s">
        <v>19</v>
      </c>
      <c r="E2812" t="s">
        <v>20</v>
      </c>
      <c r="F2812" t="str">
        <f>"43607"</f>
        <v>43607</v>
      </c>
      <c r="G2812" t="str">
        <f>"Je11032022"</f>
        <v>Je11032022</v>
      </c>
      <c r="H2812" s="2">
        <f>25</f>
        <v>25</v>
      </c>
      <c r="I2812" t="s">
        <v>15</v>
      </c>
      <c r="J2812" t="s">
        <v>234</v>
      </c>
      <c r="K2812" t="str">
        <f>"60053836"</f>
        <v>60053836</v>
      </c>
    </row>
    <row r="2813" spans="1:11" x14ac:dyDescent="0.25">
      <c r="A2813">
        <v>2022</v>
      </c>
      <c r="B2813" t="s">
        <v>6731</v>
      </c>
      <c r="C2813" t="s">
        <v>6732</v>
      </c>
      <c r="D2813" t="s">
        <v>19</v>
      </c>
      <c r="E2813" t="s">
        <v>20</v>
      </c>
      <c r="F2813" t="str">
        <f>"43608"</f>
        <v>43608</v>
      </c>
      <c r="G2813" t="str">
        <f>"Je11032022"</f>
        <v>Je11032022</v>
      </c>
      <c r="H2813" s="2">
        <f>25</f>
        <v>25</v>
      </c>
      <c r="I2813" t="s">
        <v>15</v>
      </c>
      <c r="J2813" t="s">
        <v>234</v>
      </c>
      <c r="K2813" t="str">
        <f>"60053838"</f>
        <v>60053838</v>
      </c>
    </row>
    <row r="2814" spans="1:11" x14ac:dyDescent="0.25">
      <c r="A2814">
        <v>2022</v>
      </c>
      <c r="B2814" t="s">
        <v>6737</v>
      </c>
      <c r="C2814" t="s">
        <v>6738</v>
      </c>
      <c r="D2814" t="s">
        <v>5667</v>
      </c>
      <c r="E2814" t="s">
        <v>20</v>
      </c>
      <c r="F2814" t="str">
        <f>"45439"</f>
        <v>45439</v>
      </c>
      <c r="G2814" t="str">
        <f>"545075"</f>
        <v>545075</v>
      </c>
      <c r="H2814" s="2">
        <f>10</f>
        <v>10</v>
      </c>
      <c r="I2814" t="s">
        <v>27</v>
      </c>
      <c r="J2814" t="s">
        <v>31</v>
      </c>
      <c r="K2814" t="str">
        <f>"33010903"</f>
        <v>33010903</v>
      </c>
    </row>
    <row r="2815" spans="1:11" x14ac:dyDescent="0.25">
      <c r="A2815">
        <v>2022</v>
      </c>
      <c r="B2815" t="s">
        <v>6739</v>
      </c>
      <c r="C2815" t="s">
        <v>6740</v>
      </c>
      <c r="D2815" t="s">
        <v>19</v>
      </c>
      <c r="E2815" t="s">
        <v>20</v>
      </c>
      <c r="F2815" t="str">
        <f>"43611"</f>
        <v>43611</v>
      </c>
      <c r="G2815" t="str">
        <f>"Je010722"</f>
        <v>Je010722</v>
      </c>
      <c r="H2815" s="2">
        <f>50</f>
        <v>50</v>
      </c>
      <c r="I2815" t="s">
        <v>15</v>
      </c>
      <c r="J2815" t="s">
        <v>90</v>
      </c>
      <c r="K2815" t="str">
        <f>"60033028"</f>
        <v>60033028</v>
      </c>
    </row>
    <row r="2816" spans="1:11" x14ac:dyDescent="0.25">
      <c r="A2816">
        <v>2022</v>
      </c>
      <c r="B2816" t="s">
        <v>6773</v>
      </c>
      <c r="C2816" t="s">
        <v>6774</v>
      </c>
      <c r="D2816" t="s">
        <v>19</v>
      </c>
      <c r="E2816" t="s">
        <v>20</v>
      </c>
      <c r="F2816" t="str">
        <f>"43612"</f>
        <v>43612</v>
      </c>
      <c r="G2816" t="str">
        <f>"545075"</f>
        <v>545075</v>
      </c>
      <c r="H2816" s="2">
        <f>8</f>
        <v>8</v>
      </c>
      <c r="I2816" t="s">
        <v>27</v>
      </c>
      <c r="J2816" t="s">
        <v>31</v>
      </c>
      <c r="K2816" t="str">
        <f>"11004069"</f>
        <v>11004069</v>
      </c>
    </row>
    <row r="2817" spans="1:11" x14ac:dyDescent="0.25">
      <c r="A2817">
        <v>2022</v>
      </c>
      <c r="B2817" t="s">
        <v>6776</v>
      </c>
      <c r="C2817" t="s">
        <v>6777</v>
      </c>
      <c r="D2817" t="s">
        <v>19</v>
      </c>
      <c r="E2817" t="s">
        <v>20</v>
      </c>
      <c r="F2817" t="str">
        <f>"43610"</f>
        <v>43610</v>
      </c>
      <c r="G2817" t="str">
        <f>"562222"</f>
        <v>562222</v>
      </c>
      <c r="H2817" s="2">
        <f>5</f>
        <v>5</v>
      </c>
      <c r="I2817" t="s">
        <v>519</v>
      </c>
      <c r="J2817" t="s">
        <v>811</v>
      </c>
      <c r="K2817" t="str">
        <f>"11220"</f>
        <v>11220</v>
      </c>
    </row>
    <row r="2818" spans="1:11" x14ac:dyDescent="0.25">
      <c r="A2818">
        <v>2022</v>
      </c>
      <c r="B2818" t="s">
        <v>6785</v>
      </c>
      <c r="C2818" t="s">
        <v>6786</v>
      </c>
      <c r="D2818" t="s">
        <v>19</v>
      </c>
      <c r="E2818" t="s">
        <v>20</v>
      </c>
      <c r="F2818" t="str">
        <f>"43623"</f>
        <v>43623</v>
      </c>
      <c r="G2818" t="str">
        <f>"545042"</f>
        <v>545042</v>
      </c>
      <c r="H2818" s="2">
        <f>9.35</f>
        <v>9.35</v>
      </c>
      <c r="I2818" t="s">
        <v>27</v>
      </c>
      <c r="J2818" t="s">
        <v>257</v>
      </c>
      <c r="K2818" t="str">
        <f>"38412"</f>
        <v>38412</v>
      </c>
    </row>
    <row r="2819" spans="1:11" x14ac:dyDescent="0.25">
      <c r="A2819">
        <v>2022</v>
      </c>
      <c r="B2819" t="s">
        <v>6825</v>
      </c>
      <c r="C2819" t="s">
        <v>6826</v>
      </c>
      <c r="D2819" t="s">
        <v>19</v>
      </c>
      <c r="E2819" t="s">
        <v>20</v>
      </c>
      <c r="F2819" t="str">
        <f>"43611"</f>
        <v>43611</v>
      </c>
      <c r="G2819" t="str">
        <f>"Je010722"</f>
        <v>Je010722</v>
      </c>
      <c r="H2819" s="2">
        <f>52.8</f>
        <v>52.8</v>
      </c>
      <c r="I2819" t="s">
        <v>15</v>
      </c>
      <c r="J2819" t="s">
        <v>90</v>
      </c>
      <c r="K2819" t="str">
        <f>"60026551"</f>
        <v>60026551</v>
      </c>
    </row>
    <row r="2820" spans="1:11" x14ac:dyDescent="0.25">
      <c r="A2820">
        <v>2022</v>
      </c>
      <c r="B2820" t="s">
        <v>6833</v>
      </c>
      <c r="C2820" t="s">
        <v>6834</v>
      </c>
      <c r="D2820" t="s">
        <v>19</v>
      </c>
      <c r="E2820" t="s">
        <v>20</v>
      </c>
      <c r="F2820" t="str">
        <f>"43623-3120"</f>
        <v>43623-3120</v>
      </c>
      <c r="G2820" t="str">
        <f>"545101"</f>
        <v>545101</v>
      </c>
      <c r="H2820" s="2">
        <f>20</f>
        <v>20</v>
      </c>
      <c r="I2820" t="s">
        <v>27</v>
      </c>
      <c r="J2820" t="s">
        <v>51</v>
      </c>
      <c r="K2820" t="str">
        <f>"116242"</f>
        <v>116242</v>
      </c>
    </row>
    <row r="2821" spans="1:11" x14ac:dyDescent="0.25">
      <c r="A2821">
        <v>2022</v>
      </c>
      <c r="B2821" t="s">
        <v>6835</v>
      </c>
      <c r="C2821" t="s">
        <v>6836</v>
      </c>
      <c r="D2821" t="s">
        <v>19</v>
      </c>
      <c r="E2821" t="s">
        <v>20</v>
      </c>
      <c r="F2821" t="str">
        <f>"43611"</f>
        <v>43611</v>
      </c>
      <c r="G2821" t="str">
        <f>"Je031622"</f>
        <v>Je031622</v>
      </c>
      <c r="H2821" s="2">
        <f>50</f>
        <v>50</v>
      </c>
      <c r="I2821" t="s">
        <v>15</v>
      </c>
      <c r="J2821" t="s">
        <v>117</v>
      </c>
      <c r="K2821" t="str">
        <f>"60038513"</f>
        <v>60038513</v>
      </c>
    </row>
    <row r="2822" spans="1:11" x14ac:dyDescent="0.25">
      <c r="A2822">
        <v>2022</v>
      </c>
      <c r="B2822" t="s">
        <v>6858</v>
      </c>
      <c r="C2822" t="s">
        <v>6859</v>
      </c>
      <c r="D2822" t="s">
        <v>19</v>
      </c>
      <c r="E2822" t="s">
        <v>20</v>
      </c>
      <c r="F2822" t="str">
        <f>"43623"</f>
        <v>43623</v>
      </c>
      <c r="G2822" t="str">
        <f>"Je031622"</f>
        <v>Je031622</v>
      </c>
      <c r="H2822" s="2">
        <f>127.22</f>
        <v>127.22</v>
      </c>
      <c r="I2822" t="s">
        <v>15</v>
      </c>
      <c r="J2822" t="s">
        <v>117</v>
      </c>
      <c r="K2822" t="str">
        <f>"60040865"</f>
        <v>60040865</v>
      </c>
    </row>
    <row r="2823" spans="1:11" x14ac:dyDescent="0.25">
      <c r="A2823">
        <v>2022</v>
      </c>
      <c r="B2823" t="s">
        <v>6865</v>
      </c>
      <c r="C2823" t="s">
        <v>6866</v>
      </c>
      <c r="D2823" t="s">
        <v>19</v>
      </c>
      <c r="E2823" t="s">
        <v>20</v>
      </c>
      <c r="F2823" t="str">
        <f>"43613"</f>
        <v>43613</v>
      </c>
      <c r="G2823" t="str">
        <f>"545043"</f>
        <v>545043</v>
      </c>
      <c r="H2823" s="2">
        <f>21.4</f>
        <v>21.4</v>
      </c>
      <c r="I2823" t="s">
        <v>27</v>
      </c>
      <c r="J2823" t="s">
        <v>77</v>
      </c>
      <c r="K2823" t="str">
        <f>"333626"</f>
        <v>333626</v>
      </c>
    </row>
    <row r="2824" spans="1:11" x14ac:dyDescent="0.25">
      <c r="A2824">
        <v>2022</v>
      </c>
      <c r="B2824" t="s">
        <v>6885</v>
      </c>
      <c r="C2824" t="s">
        <v>6886</v>
      </c>
      <c r="D2824" t="s">
        <v>1054</v>
      </c>
      <c r="E2824" t="s">
        <v>14</v>
      </c>
      <c r="F2824" t="str">
        <f>"48182"</f>
        <v>48182</v>
      </c>
      <c r="G2824" t="str">
        <f>"545042"</f>
        <v>545042</v>
      </c>
      <c r="H2824" s="2">
        <f>7.9</f>
        <v>7.9</v>
      </c>
      <c r="I2824" t="s">
        <v>27</v>
      </c>
      <c r="J2824" t="s">
        <v>257</v>
      </c>
      <c r="K2824" t="str">
        <f>"36579"</f>
        <v>36579</v>
      </c>
    </row>
    <row r="2825" spans="1:11" x14ac:dyDescent="0.25">
      <c r="A2825">
        <v>2022</v>
      </c>
      <c r="B2825" t="s">
        <v>6943</v>
      </c>
      <c r="C2825" t="s">
        <v>6944</v>
      </c>
      <c r="D2825" t="s">
        <v>19</v>
      </c>
      <c r="E2825" t="s">
        <v>20</v>
      </c>
      <c r="F2825" t="str">
        <f>"43605-2268"</f>
        <v>43605-2268</v>
      </c>
      <c r="G2825" t="str">
        <f>"545101"</f>
        <v>545101</v>
      </c>
      <c r="H2825" s="2">
        <f>10</f>
        <v>10</v>
      </c>
      <c r="I2825" t="s">
        <v>27</v>
      </c>
      <c r="J2825" t="s">
        <v>51</v>
      </c>
      <c r="K2825" t="str">
        <f>"116578"</f>
        <v>116578</v>
      </c>
    </row>
    <row r="2826" spans="1:11" x14ac:dyDescent="0.25">
      <c r="A2826">
        <v>2022</v>
      </c>
      <c r="B2826" t="s">
        <v>6945</v>
      </c>
      <c r="C2826" t="s">
        <v>6946</v>
      </c>
      <c r="D2826" t="s">
        <v>4250</v>
      </c>
      <c r="E2826" t="s">
        <v>20</v>
      </c>
      <c r="F2826" t="str">
        <f>"44902"</f>
        <v>44902</v>
      </c>
      <c r="G2826" t="str">
        <f>"545043"</f>
        <v>545043</v>
      </c>
      <c r="H2826" s="2">
        <f>4.85</f>
        <v>4.8499999999999996</v>
      </c>
      <c r="I2826" t="s">
        <v>27</v>
      </c>
      <c r="J2826" t="s">
        <v>77</v>
      </c>
      <c r="K2826" t="str">
        <f>"332882"</f>
        <v>332882</v>
      </c>
    </row>
    <row r="2827" spans="1:11" x14ac:dyDescent="0.25">
      <c r="A2827">
        <v>2022</v>
      </c>
      <c r="B2827" t="s">
        <v>6978</v>
      </c>
      <c r="C2827" t="s">
        <v>6979</v>
      </c>
      <c r="D2827" t="s">
        <v>19</v>
      </c>
      <c r="E2827" t="s">
        <v>20</v>
      </c>
      <c r="F2827" t="str">
        <f>"43613-4329"</f>
        <v>43613-4329</v>
      </c>
      <c r="G2827" t="str">
        <f>"545101"</f>
        <v>545101</v>
      </c>
      <c r="H2827" s="2">
        <f>20</f>
        <v>20</v>
      </c>
      <c r="I2827" t="s">
        <v>27</v>
      </c>
      <c r="J2827" t="s">
        <v>51</v>
      </c>
      <c r="K2827" t="str">
        <f>"116559"</f>
        <v>116559</v>
      </c>
    </row>
    <row r="2828" spans="1:11" x14ac:dyDescent="0.25">
      <c r="A2828">
        <v>2022</v>
      </c>
      <c r="B2828" t="s">
        <v>6984</v>
      </c>
      <c r="C2828" t="s">
        <v>6985</v>
      </c>
      <c r="D2828" t="s">
        <v>50</v>
      </c>
      <c r="E2828" t="s">
        <v>20</v>
      </c>
      <c r="F2828" t="str">
        <f>"43560"</f>
        <v>43560</v>
      </c>
      <c r="G2828" t="str">
        <f>"545042"</f>
        <v>545042</v>
      </c>
      <c r="H2828" s="2">
        <f>3.13</f>
        <v>3.13</v>
      </c>
      <c r="I2828" t="s">
        <v>27</v>
      </c>
      <c r="J2828" t="s">
        <v>257</v>
      </c>
      <c r="K2828" t="str">
        <f>"36649"</f>
        <v>36649</v>
      </c>
    </row>
    <row r="2829" spans="1:11" x14ac:dyDescent="0.25">
      <c r="A2829">
        <v>2022</v>
      </c>
      <c r="B2829" t="s">
        <v>6999</v>
      </c>
      <c r="C2829" t="s">
        <v>7000</v>
      </c>
      <c r="D2829" t="s">
        <v>58</v>
      </c>
      <c r="E2829" t="s">
        <v>20</v>
      </c>
      <c r="F2829" t="str">
        <f>"43616-2724"</f>
        <v>43616-2724</v>
      </c>
      <c r="G2829" t="str">
        <f>"545101"</f>
        <v>545101</v>
      </c>
      <c r="H2829" s="2">
        <f>40</f>
        <v>40</v>
      </c>
      <c r="I2829" t="s">
        <v>27</v>
      </c>
      <c r="J2829" t="s">
        <v>51</v>
      </c>
      <c r="K2829" t="str">
        <f>"117662"</f>
        <v>117662</v>
      </c>
    </row>
    <row r="2830" spans="1:11" x14ac:dyDescent="0.25">
      <c r="A2830">
        <v>2022</v>
      </c>
      <c r="B2830" t="s">
        <v>6999</v>
      </c>
      <c r="C2830" t="s">
        <v>7000</v>
      </c>
      <c r="D2830" t="s">
        <v>58</v>
      </c>
      <c r="E2830" t="s">
        <v>20</v>
      </c>
      <c r="F2830" t="str">
        <f>"43616-2724"</f>
        <v>43616-2724</v>
      </c>
      <c r="G2830" t="str">
        <f>"545101"</f>
        <v>545101</v>
      </c>
      <c r="H2830" s="2">
        <f>50</f>
        <v>50</v>
      </c>
      <c r="I2830" t="s">
        <v>27</v>
      </c>
      <c r="J2830" t="s">
        <v>51</v>
      </c>
      <c r="K2830" t="str">
        <f>"117675"</f>
        <v>117675</v>
      </c>
    </row>
    <row r="2831" spans="1:11" x14ac:dyDescent="0.25">
      <c r="A2831">
        <v>2022</v>
      </c>
      <c r="B2831" t="s">
        <v>7016</v>
      </c>
      <c r="C2831" t="s">
        <v>7017</v>
      </c>
      <c r="D2831" t="s">
        <v>105</v>
      </c>
      <c r="E2831" t="s">
        <v>20</v>
      </c>
      <c r="F2831" t="str">
        <f>"43528"</f>
        <v>43528</v>
      </c>
      <c r="G2831" t="str">
        <f>"Je070522"</f>
        <v>Je070522</v>
      </c>
      <c r="H2831" s="2">
        <f>19.16</f>
        <v>19.16</v>
      </c>
      <c r="I2831" t="s">
        <v>15</v>
      </c>
      <c r="J2831" t="s">
        <v>207</v>
      </c>
      <c r="K2831" t="str">
        <f>"60046171"</f>
        <v>60046171</v>
      </c>
    </row>
    <row r="2832" spans="1:11" x14ac:dyDescent="0.25">
      <c r="A2832">
        <v>2022</v>
      </c>
      <c r="B2832" t="s">
        <v>7018</v>
      </c>
      <c r="C2832" t="s">
        <v>7019</v>
      </c>
      <c r="D2832" t="s">
        <v>19</v>
      </c>
      <c r="E2832" t="s">
        <v>20</v>
      </c>
      <c r="F2832" t="str">
        <f>"43615"</f>
        <v>43615</v>
      </c>
      <c r="G2832" t="str">
        <f>"545043"</f>
        <v>545043</v>
      </c>
      <c r="H2832" s="2">
        <f>5.62</f>
        <v>5.62</v>
      </c>
      <c r="I2832" t="s">
        <v>27</v>
      </c>
      <c r="J2832" t="s">
        <v>77</v>
      </c>
      <c r="K2832" t="str">
        <f>"332860"</f>
        <v>332860</v>
      </c>
    </row>
    <row r="2833" spans="1:11" x14ac:dyDescent="0.25">
      <c r="A2833">
        <v>2022</v>
      </c>
      <c r="B2833" t="s">
        <v>7022</v>
      </c>
      <c r="C2833" t="s">
        <v>7023</v>
      </c>
      <c r="D2833" t="s">
        <v>19</v>
      </c>
      <c r="E2833" t="s">
        <v>20</v>
      </c>
      <c r="F2833" t="str">
        <f>"43604"</f>
        <v>43604</v>
      </c>
      <c r="G2833" t="str">
        <f>"545042"</f>
        <v>545042</v>
      </c>
      <c r="H2833" s="2">
        <f>20</f>
        <v>20</v>
      </c>
      <c r="I2833" t="s">
        <v>27</v>
      </c>
      <c r="J2833" t="s">
        <v>257</v>
      </c>
      <c r="K2833" t="str">
        <f>"38351"</f>
        <v>38351</v>
      </c>
    </row>
    <row r="2834" spans="1:11" x14ac:dyDescent="0.25">
      <c r="A2834">
        <v>2022</v>
      </c>
      <c r="B2834" t="s">
        <v>7032</v>
      </c>
      <c r="C2834" t="s">
        <v>7033</v>
      </c>
      <c r="D2834" t="s">
        <v>19</v>
      </c>
      <c r="E2834" t="s">
        <v>20</v>
      </c>
      <c r="F2834" t="str">
        <f>"43612-3230"</f>
        <v>43612-3230</v>
      </c>
      <c r="G2834" t="str">
        <f>"545101"</f>
        <v>545101</v>
      </c>
      <c r="H2834" s="2">
        <f>20</f>
        <v>20</v>
      </c>
      <c r="I2834" t="s">
        <v>27</v>
      </c>
      <c r="J2834" t="s">
        <v>51</v>
      </c>
      <c r="K2834" t="str">
        <f>"116290"</f>
        <v>116290</v>
      </c>
    </row>
    <row r="2835" spans="1:11" x14ac:dyDescent="0.25">
      <c r="A2835">
        <v>2022</v>
      </c>
      <c r="B2835" t="s">
        <v>7064</v>
      </c>
      <c r="C2835" t="s">
        <v>7065</v>
      </c>
      <c r="D2835" t="s">
        <v>7066</v>
      </c>
      <c r="E2835" t="s">
        <v>14</v>
      </c>
      <c r="F2835" t="str">
        <f>"48124"</f>
        <v>48124</v>
      </c>
      <c r="G2835" t="str">
        <f>"545075"</f>
        <v>545075</v>
      </c>
      <c r="H2835" s="2">
        <f>17.05</f>
        <v>17.05</v>
      </c>
      <c r="I2835" t="s">
        <v>27</v>
      </c>
      <c r="J2835" t="s">
        <v>31</v>
      </c>
      <c r="K2835" t="str">
        <f>"22022571"</f>
        <v>22022571</v>
      </c>
    </row>
    <row r="2836" spans="1:11" x14ac:dyDescent="0.25">
      <c r="A2836">
        <v>2022</v>
      </c>
      <c r="B2836" t="s">
        <v>7108</v>
      </c>
      <c r="C2836" t="s">
        <v>7110</v>
      </c>
      <c r="D2836" t="s">
        <v>19</v>
      </c>
      <c r="E2836" t="s">
        <v>20</v>
      </c>
      <c r="F2836" t="str">
        <f>"43604"</f>
        <v>43604</v>
      </c>
      <c r="G2836" t="str">
        <f>"545043"</f>
        <v>545043</v>
      </c>
      <c r="H2836" s="2">
        <f>10.85</f>
        <v>10.85</v>
      </c>
      <c r="I2836" t="s">
        <v>27</v>
      </c>
      <c r="J2836" t="s">
        <v>77</v>
      </c>
      <c r="K2836" t="str">
        <f>"333731"</f>
        <v>333731</v>
      </c>
    </row>
    <row r="2837" spans="1:11" x14ac:dyDescent="0.25">
      <c r="A2837">
        <v>2022</v>
      </c>
      <c r="B2837" t="s">
        <v>7113</v>
      </c>
      <c r="C2837" t="s">
        <v>7114</v>
      </c>
      <c r="D2837" t="s">
        <v>19</v>
      </c>
      <c r="E2837" t="s">
        <v>20</v>
      </c>
      <c r="F2837" t="str">
        <f>"43614-3241"</f>
        <v>43614-3241</v>
      </c>
      <c r="G2837" t="str">
        <f>"545101"</f>
        <v>545101</v>
      </c>
      <c r="H2837" s="2">
        <f>10</f>
        <v>10</v>
      </c>
      <c r="I2837" t="s">
        <v>27</v>
      </c>
      <c r="J2837" t="s">
        <v>51</v>
      </c>
      <c r="K2837" t="str">
        <f>"116674"</f>
        <v>116674</v>
      </c>
    </row>
    <row r="2838" spans="1:11" x14ac:dyDescent="0.25">
      <c r="A2838">
        <v>2022</v>
      </c>
      <c r="B2838" t="s">
        <v>7120</v>
      </c>
      <c r="C2838" t="s">
        <v>7121</v>
      </c>
      <c r="D2838" t="s">
        <v>19</v>
      </c>
      <c r="E2838" t="s">
        <v>20</v>
      </c>
      <c r="F2838" t="str">
        <f>"43614"</f>
        <v>43614</v>
      </c>
      <c r="G2838" t="str">
        <f>"Je010722"</f>
        <v>Je010722</v>
      </c>
      <c r="H2838" s="2">
        <f>10</f>
        <v>10</v>
      </c>
      <c r="I2838" t="s">
        <v>15</v>
      </c>
      <c r="J2838" t="s">
        <v>90</v>
      </c>
      <c r="K2838" t="str">
        <f>"60035404"</f>
        <v>60035404</v>
      </c>
    </row>
    <row r="2839" spans="1:11" x14ac:dyDescent="0.25">
      <c r="A2839">
        <v>2022</v>
      </c>
      <c r="B2839" t="s">
        <v>7138</v>
      </c>
      <c r="C2839" t="s">
        <v>7139</v>
      </c>
      <c r="D2839" t="s">
        <v>105</v>
      </c>
      <c r="E2839" t="s">
        <v>20</v>
      </c>
      <c r="F2839" t="str">
        <f>"43528"</f>
        <v>43528</v>
      </c>
      <c r="G2839" t="str">
        <f>"Je010722"</f>
        <v>Je010722</v>
      </c>
      <c r="H2839" s="2">
        <f>105.59</f>
        <v>105.59</v>
      </c>
      <c r="I2839" t="s">
        <v>15</v>
      </c>
      <c r="J2839" t="s">
        <v>90</v>
      </c>
      <c r="K2839" t="str">
        <f>"60029334"</f>
        <v>60029334</v>
      </c>
    </row>
    <row r="2840" spans="1:11" x14ac:dyDescent="0.25">
      <c r="A2840">
        <v>2022</v>
      </c>
      <c r="B2840" t="s">
        <v>7138</v>
      </c>
      <c r="C2840" t="s">
        <v>7139</v>
      </c>
      <c r="D2840" t="s">
        <v>105</v>
      </c>
      <c r="E2840" t="s">
        <v>20</v>
      </c>
      <c r="F2840" t="str">
        <f>"43528"</f>
        <v>43528</v>
      </c>
      <c r="G2840" t="str">
        <f>"Je031622"</f>
        <v>Je031622</v>
      </c>
      <c r="H2840" s="2">
        <f>105.59</f>
        <v>105.59</v>
      </c>
      <c r="I2840" t="s">
        <v>15</v>
      </c>
      <c r="J2840" t="s">
        <v>117</v>
      </c>
      <c r="K2840" t="str">
        <f>"60037118"</f>
        <v>60037118</v>
      </c>
    </row>
    <row r="2841" spans="1:11" x14ac:dyDescent="0.25">
      <c r="A2841">
        <v>2022</v>
      </c>
      <c r="B2841" t="s">
        <v>7173</v>
      </c>
      <c r="C2841" t="s">
        <v>7174</v>
      </c>
      <c r="D2841" t="s">
        <v>19</v>
      </c>
      <c r="E2841" t="s">
        <v>20</v>
      </c>
      <c r="F2841" t="str">
        <f>"43609-3364"</f>
        <v>43609-3364</v>
      </c>
      <c r="G2841" t="str">
        <f>"545101"</f>
        <v>545101</v>
      </c>
      <c r="H2841" s="2">
        <f>10</f>
        <v>10</v>
      </c>
      <c r="I2841" t="s">
        <v>27</v>
      </c>
      <c r="J2841" t="s">
        <v>51</v>
      </c>
      <c r="K2841" t="str">
        <f>"116196"</f>
        <v>116196</v>
      </c>
    </row>
    <row r="2842" spans="1:11" x14ac:dyDescent="0.25">
      <c r="A2842">
        <v>2022</v>
      </c>
      <c r="B2842" t="s">
        <v>7183</v>
      </c>
      <c r="C2842" t="s">
        <v>7187</v>
      </c>
      <c r="D2842" t="s">
        <v>19</v>
      </c>
      <c r="E2842" t="s">
        <v>20</v>
      </c>
      <c r="F2842" t="str">
        <f>"43606"</f>
        <v>43606</v>
      </c>
      <c r="G2842" t="str">
        <f>"Je010722"</f>
        <v>Je010722</v>
      </c>
      <c r="H2842" s="2">
        <f>45.25</f>
        <v>45.25</v>
      </c>
      <c r="I2842" t="s">
        <v>15</v>
      </c>
      <c r="J2842" t="s">
        <v>90</v>
      </c>
      <c r="K2842" t="str">
        <f>"60029339"</f>
        <v>60029339</v>
      </c>
    </row>
    <row r="2843" spans="1:11" x14ac:dyDescent="0.25">
      <c r="A2843">
        <v>2022</v>
      </c>
      <c r="B2843" t="s">
        <v>7194</v>
      </c>
      <c r="C2843" t="s">
        <v>7195</v>
      </c>
      <c r="D2843" t="s">
        <v>50</v>
      </c>
      <c r="E2843" t="s">
        <v>20</v>
      </c>
      <c r="F2843" t="str">
        <f>"43560-3359"</f>
        <v>43560-3359</v>
      </c>
      <c r="G2843" t="str">
        <f>"545101"</f>
        <v>545101</v>
      </c>
      <c r="H2843" s="2">
        <f>10</f>
        <v>10</v>
      </c>
      <c r="I2843" t="s">
        <v>27</v>
      </c>
      <c r="J2843" t="s">
        <v>51</v>
      </c>
      <c r="K2843" t="str">
        <f>"116644"</f>
        <v>116644</v>
      </c>
    </row>
    <row r="2844" spans="1:11" x14ac:dyDescent="0.25">
      <c r="A2844">
        <v>2022</v>
      </c>
      <c r="B2844" t="s">
        <v>7218</v>
      </c>
      <c r="C2844" t="s">
        <v>7219</v>
      </c>
      <c r="D2844" t="s">
        <v>50</v>
      </c>
      <c r="E2844" t="s">
        <v>20</v>
      </c>
      <c r="F2844" t="str">
        <f>"43560-2916"</f>
        <v>43560-2916</v>
      </c>
      <c r="G2844" t="str">
        <f>"545101"</f>
        <v>545101</v>
      </c>
      <c r="H2844" s="2">
        <f>10</f>
        <v>10</v>
      </c>
      <c r="I2844" t="s">
        <v>27</v>
      </c>
      <c r="J2844" t="s">
        <v>51</v>
      </c>
      <c r="K2844" t="str">
        <f>"116480"</f>
        <v>116480</v>
      </c>
    </row>
    <row r="2845" spans="1:11" x14ac:dyDescent="0.25">
      <c r="A2845">
        <v>2022</v>
      </c>
      <c r="B2845" t="s">
        <v>7230</v>
      </c>
      <c r="C2845" t="s">
        <v>7231</v>
      </c>
      <c r="D2845" t="s">
        <v>19</v>
      </c>
      <c r="E2845" t="s">
        <v>20</v>
      </c>
      <c r="F2845" t="str">
        <f>"43623"</f>
        <v>43623</v>
      </c>
      <c r="G2845" t="str">
        <f>"545042"</f>
        <v>545042</v>
      </c>
      <c r="H2845" s="2">
        <f>2379.26</f>
        <v>2379.2600000000002</v>
      </c>
      <c r="I2845" t="s">
        <v>27</v>
      </c>
      <c r="J2845" t="s">
        <v>257</v>
      </c>
      <c r="K2845" t="str">
        <f>"38182"</f>
        <v>38182</v>
      </c>
    </row>
    <row r="2846" spans="1:11" x14ac:dyDescent="0.25">
      <c r="A2846">
        <v>2022</v>
      </c>
      <c r="B2846" t="s">
        <v>7238</v>
      </c>
      <c r="C2846" t="s">
        <v>7239</v>
      </c>
      <c r="D2846" t="s">
        <v>50</v>
      </c>
      <c r="E2846" t="s">
        <v>20</v>
      </c>
      <c r="F2846" t="str">
        <f>"43560"</f>
        <v>43560</v>
      </c>
      <c r="G2846" t="str">
        <f>"545043"</f>
        <v>545043</v>
      </c>
      <c r="H2846" s="2">
        <f>4.85</f>
        <v>4.8499999999999996</v>
      </c>
      <c r="I2846" t="s">
        <v>27</v>
      </c>
      <c r="J2846" t="s">
        <v>77</v>
      </c>
      <c r="K2846" t="str">
        <f>"332967"</f>
        <v>332967</v>
      </c>
    </row>
    <row r="2847" spans="1:11" x14ac:dyDescent="0.25">
      <c r="A2847">
        <v>2022</v>
      </c>
      <c r="B2847" t="s">
        <v>7256</v>
      </c>
      <c r="C2847" t="s">
        <v>7257</v>
      </c>
      <c r="D2847" t="s">
        <v>19</v>
      </c>
      <c r="E2847" t="s">
        <v>20</v>
      </c>
      <c r="F2847" t="str">
        <f>"43604"</f>
        <v>43604</v>
      </c>
      <c r="G2847" t="str">
        <f>"Je11032022"</f>
        <v>Je11032022</v>
      </c>
      <c r="H2847" s="2">
        <f>2650</f>
        <v>2650</v>
      </c>
      <c r="I2847" t="s">
        <v>15</v>
      </c>
      <c r="J2847" t="s">
        <v>234</v>
      </c>
      <c r="K2847" t="str">
        <f>"60053438"</f>
        <v>60053438</v>
      </c>
    </row>
    <row r="2848" spans="1:11" x14ac:dyDescent="0.25">
      <c r="A2848">
        <v>2022</v>
      </c>
      <c r="B2848" t="s">
        <v>7278</v>
      </c>
      <c r="C2848" t="s">
        <v>7279</v>
      </c>
      <c r="D2848" t="s">
        <v>19</v>
      </c>
      <c r="E2848" t="s">
        <v>20</v>
      </c>
      <c r="F2848" t="str">
        <f>"43614-1825"</f>
        <v>43614-1825</v>
      </c>
      <c r="G2848" t="str">
        <f>"545101"</f>
        <v>545101</v>
      </c>
      <c r="H2848" s="2">
        <f>10</f>
        <v>10</v>
      </c>
      <c r="I2848" t="s">
        <v>27</v>
      </c>
      <c r="J2848" t="s">
        <v>51</v>
      </c>
      <c r="K2848" t="str">
        <f>"116744"</f>
        <v>116744</v>
      </c>
    </row>
    <row r="2849" spans="1:11" x14ac:dyDescent="0.25">
      <c r="A2849">
        <v>2022</v>
      </c>
      <c r="B2849" t="s">
        <v>7288</v>
      </c>
      <c r="C2849" t="s">
        <v>7289</v>
      </c>
      <c r="D2849" t="s">
        <v>19</v>
      </c>
      <c r="E2849" t="s">
        <v>20</v>
      </c>
      <c r="F2849" t="str">
        <f>"43607"</f>
        <v>43607</v>
      </c>
      <c r="G2849" t="str">
        <f>"Je010722"</f>
        <v>Je010722</v>
      </c>
      <c r="H2849" s="2">
        <f>37.71</f>
        <v>37.71</v>
      </c>
      <c r="I2849" t="s">
        <v>15</v>
      </c>
      <c r="J2849" t="s">
        <v>90</v>
      </c>
      <c r="K2849" t="str">
        <f>"60034692"</f>
        <v>60034692</v>
      </c>
    </row>
    <row r="2850" spans="1:11" x14ac:dyDescent="0.25">
      <c r="A2850">
        <v>2022</v>
      </c>
      <c r="B2850" t="s">
        <v>7292</v>
      </c>
      <c r="C2850" t="s">
        <v>7293</v>
      </c>
      <c r="D2850" t="s">
        <v>50</v>
      </c>
      <c r="E2850" t="s">
        <v>20</v>
      </c>
      <c r="F2850" t="str">
        <f>"43560"</f>
        <v>43560</v>
      </c>
      <c r="G2850" t="str">
        <f>"545042"</f>
        <v>545042</v>
      </c>
      <c r="H2850" s="2">
        <f>20</f>
        <v>20</v>
      </c>
      <c r="I2850" t="s">
        <v>27</v>
      </c>
      <c r="J2850" t="s">
        <v>257</v>
      </c>
      <c r="K2850" t="str">
        <f>"36421"</f>
        <v>36421</v>
      </c>
    </row>
    <row r="2851" spans="1:11" x14ac:dyDescent="0.25">
      <c r="A2851">
        <v>2022</v>
      </c>
      <c r="B2851" t="s">
        <v>7318</v>
      </c>
      <c r="C2851" t="s">
        <v>7319</v>
      </c>
      <c r="D2851" t="s">
        <v>19</v>
      </c>
      <c r="E2851" t="s">
        <v>20</v>
      </c>
      <c r="F2851" t="str">
        <f>"43609"</f>
        <v>43609</v>
      </c>
      <c r="G2851" t="str">
        <f>"Je11032022"</f>
        <v>Je11032022</v>
      </c>
      <c r="H2851" s="2">
        <f>25</f>
        <v>25</v>
      </c>
      <c r="I2851" t="s">
        <v>15</v>
      </c>
      <c r="J2851" t="s">
        <v>234</v>
      </c>
      <c r="K2851" t="str">
        <f>"60053842"</f>
        <v>60053842</v>
      </c>
    </row>
    <row r="2852" spans="1:11" x14ac:dyDescent="0.25">
      <c r="A2852">
        <v>2022</v>
      </c>
      <c r="B2852" t="s">
        <v>7338</v>
      </c>
      <c r="C2852" t="s">
        <v>7339</v>
      </c>
      <c r="D2852" t="s">
        <v>19</v>
      </c>
      <c r="E2852" t="s">
        <v>20</v>
      </c>
      <c r="F2852" t="str">
        <f t="shared" ref="F2852:F2857" si="90">"43612"</f>
        <v>43612</v>
      </c>
      <c r="G2852" t="str">
        <f t="shared" ref="G2852:G2857" si="91">"545044"</f>
        <v>545044</v>
      </c>
      <c r="H2852" s="2">
        <f>1.82</f>
        <v>1.82</v>
      </c>
      <c r="I2852" t="s">
        <v>27</v>
      </c>
      <c r="J2852" t="s">
        <v>28</v>
      </c>
      <c r="K2852" t="str">
        <f>"518378"</f>
        <v>518378</v>
      </c>
    </row>
    <row r="2853" spans="1:11" x14ac:dyDescent="0.25">
      <c r="A2853">
        <v>2022</v>
      </c>
      <c r="B2853" t="s">
        <v>7338</v>
      </c>
      <c r="C2853" t="s">
        <v>7339</v>
      </c>
      <c r="D2853" t="s">
        <v>19</v>
      </c>
      <c r="E2853" t="s">
        <v>20</v>
      </c>
      <c r="F2853" t="str">
        <f t="shared" si="90"/>
        <v>43612</v>
      </c>
      <c r="G2853" t="str">
        <f t="shared" si="91"/>
        <v>545044</v>
      </c>
      <c r="H2853" s="2">
        <f>1.82</f>
        <v>1.82</v>
      </c>
      <c r="I2853" t="s">
        <v>27</v>
      </c>
      <c r="J2853" t="s">
        <v>28</v>
      </c>
      <c r="K2853" t="str">
        <f>"518860"</f>
        <v>518860</v>
      </c>
    </row>
    <row r="2854" spans="1:11" x14ac:dyDescent="0.25">
      <c r="A2854">
        <v>2022</v>
      </c>
      <c r="B2854" t="s">
        <v>7338</v>
      </c>
      <c r="C2854" t="s">
        <v>7339</v>
      </c>
      <c r="D2854" t="s">
        <v>19</v>
      </c>
      <c r="E2854" t="s">
        <v>20</v>
      </c>
      <c r="F2854" t="str">
        <f t="shared" si="90"/>
        <v>43612</v>
      </c>
      <c r="G2854" t="str">
        <f t="shared" si="91"/>
        <v>545044</v>
      </c>
      <c r="H2854" s="2">
        <f>2.73</f>
        <v>2.73</v>
      </c>
      <c r="I2854" t="s">
        <v>27</v>
      </c>
      <c r="J2854" t="s">
        <v>28</v>
      </c>
      <c r="K2854" t="str">
        <f>"518605"</f>
        <v>518605</v>
      </c>
    </row>
    <row r="2855" spans="1:11" x14ac:dyDescent="0.25">
      <c r="A2855">
        <v>2022</v>
      </c>
      <c r="B2855" t="s">
        <v>7338</v>
      </c>
      <c r="C2855" t="s">
        <v>7339</v>
      </c>
      <c r="D2855" t="s">
        <v>19</v>
      </c>
      <c r="E2855" t="s">
        <v>20</v>
      </c>
      <c r="F2855" t="str">
        <f t="shared" si="90"/>
        <v>43612</v>
      </c>
      <c r="G2855" t="str">
        <f t="shared" si="91"/>
        <v>545044</v>
      </c>
      <c r="H2855" s="2">
        <f>4.55</f>
        <v>4.55</v>
      </c>
      <c r="I2855" t="s">
        <v>27</v>
      </c>
      <c r="J2855" t="s">
        <v>28</v>
      </c>
      <c r="K2855" t="str">
        <f>"520456"</f>
        <v>520456</v>
      </c>
    </row>
    <row r="2856" spans="1:11" x14ac:dyDescent="0.25">
      <c r="A2856">
        <v>2022</v>
      </c>
      <c r="B2856" t="s">
        <v>7338</v>
      </c>
      <c r="C2856" t="s">
        <v>7339</v>
      </c>
      <c r="D2856" t="s">
        <v>19</v>
      </c>
      <c r="E2856" t="s">
        <v>20</v>
      </c>
      <c r="F2856" t="str">
        <f t="shared" si="90"/>
        <v>43612</v>
      </c>
      <c r="G2856" t="str">
        <f t="shared" si="91"/>
        <v>545044</v>
      </c>
      <c r="H2856" s="2">
        <f>4.55</f>
        <v>4.55</v>
      </c>
      <c r="I2856" t="s">
        <v>27</v>
      </c>
      <c r="J2856" t="s">
        <v>28</v>
      </c>
      <c r="K2856" t="str">
        <f>"519849"</f>
        <v>519849</v>
      </c>
    </row>
    <row r="2857" spans="1:11" x14ac:dyDescent="0.25">
      <c r="A2857">
        <v>2022</v>
      </c>
      <c r="B2857" t="s">
        <v>7338</v>
      </c>
      <c r="C2857" t="s">
        <v>7339</v>
      </c>
      <c r="D2857" t="s">
        <v>19</v>
      </c>
      <c r="E2857" t="s">
        <v>20</v>
      </c>
      <c r="F2857" t="str">
        <f t="shared" si="90"/>
        <v>43612</v>
      </c>
      <c r="G2857" t="str">
        <f t="shared" si="91"/>
        <v>545044</v>
      </c>
      <c r="H2857" s="2">
        <f>5</f>
        <v>5</v>
      </c>
      <c r="I2857" t="s">
        <v>27</v>
      </c>
      <c r="J2857" t="s">
        <v>28</v>
      </c>
      <c r="K2857" t="str">
        <f>"519671"</f>
        <v>519671</v>
      </c>
    </row>
    <row r="2858" spans="1:11" x14ac:dyDescent="0.25">
      <c r="A2858">
        <v>2022</v>
      </c>
      <c r="B2858" t="s">
        <v>7344</v>
      </c>
      <c r="C2858" t="s">
        <v>7345</v>
      </c>
      <c r="D2858" t="s">
        <v>7070</v>
      </c>
      <c r="E2858" t="s">
        <v>14</v>
      </c>
      <c r="F2858" t="str">
        <f>"48106"</f>
        <v>48106</v>
      </c>
      <c r="G2858" t="str">
        <f>"545075"</f>
        <v>545075</v>
      </c>
      <c r="H2858" s="2">
        <f>1.74</f>
        <v>1.74</v>
      </c>
      <c r="I2858" t="s">
        <v>27</v>
      </c>
      <c r="J2858" t="s">
        <v>31</v>
      </c>
      <c r="K2858" t="str">
        <f>"22021664"</f>
        <v>22021664</v>
      </c>
    </row>
    <row r="2859" spans="1:11" x14ac:dyDescent="0.25">
      <c r="A2859">
        <v>2022</v>
      </c>
      <c r="B2859" t="s">
        <v>7362</v>
      </c>
      <c r="C2859" t="s">
        <v>7363</v>
      </c>
      <c r="D2859" t="s">
        <v>4762</v>
      </c>
      <c r="E2859" t="s">
        <v>14</v>
      </c>
      <c r="F2859" t="str">
        <f>"48503"</f>
        <v>48503</v>
      </c>
      <c r="G2859" t="str">
        <f>"545044"</f>
        <v>545044</v>
      </c>
      <c r="H2859" s="2">
        <f>862</f>
        <v>862</v>
      </c>
      <c r="I2859" t="s">
        <v>27</v>
      </c>
      <c r="J2859" t="s">
        <v>28</v>
      </c>
      <c r="K2859" t="str">
        <f>"519866"</f>
        <v>519866</v>
      </c>
    </row>
    <row r="2860" spans="1:11" x14ac:dyDescent="0.25">
      <c r="A2860">
        <v>2022</v>
      </c>
      <c r="B2860" t="s">
        <v>7362</v>
      </c>
      <c r="C2860" t="s">
        <v>7363</v>
      </c>
      <c r="D2860" t="s">
        <v>4762</v>
      </c>
      <c r="E2860" t="s">
        <v>14</v>
      </c>
      <c r="F2860" t="str">
        <f>"48503"</f>
        <v>48503</v>
      </c>
      <c r="G2860" t="str">
        <f>"545044"</f>
        <v>545044</v>
      </c>
      <c r="H2860" s="2">
        <f>10</f>
        <v>10</v>
      </c>
      <c r="I2860" t="s">
        <v>27</v>
      </c>
      <c r="J2860" t="s">
        <v>28</v>
      </c>
      <c r="K2860" t="str">
        <f>"518628"</f>
        <v>518628</v>
      </c>
    </row>
    <row r="2861" spans="1:11" x14ac:dyDescent="0.25">
      <c r="A2861">
        <v>2022</v>
      </c>
      <c r="B2861" t="s">
        <v>7384</v>
      </c>
      <c r="C2861" t="s">
        <v>7383</v>
      </c>
      <c r="D2861" t="s">
        <v>19</v>
      </c>
      <c r="E2861" t="s">
        <v>20</v>
      </c>
      <c r="F2861" t="str">
        <f>"43608"</f>
        <v>43608</v>
      </c>
      <c r="G2861" t="str">
        <f>"Je010722"</f>
        <v>Je010722</v>
      </c>
      <c r="H2861" s="2">
        <f>62.15</f>
        <v>62.15</v>
      </c>
      <c r="I2861" t="s">
        <v>15</v>
      </c>
      <c r="J2861" t="s">
        <v>90</v>
      </c>
      <c r="K2861" t="str">
        <f>"60026607"</f>
        <v>60026607</v>
      </c>
    </row>
    <row r="2862" spans="1:11" x14ac:dyDescent="0.25">
      <c r="A2862">
        <v>2022</v>
      </c>
      <c r="B2862" t="s">
        <v>7405</v>
      </c>
      <c r="C2862" t="s">
        <v>7406</v>
      </c>
      <c r="D2862" t="s">
        <v>19</v>
      </c>
      <c r="E2862" t="s">
        <v>20</v>
      </c>
      <c r="F2862" t="str">
        <f>"43613"</f>
        <v>43613</v>
      </c>
      <c r="G2862" t="str">
        <f>"Je031622"</f>
        <v>Je031622</v>
      </c>
      <c r="H2862" s="2">
        <f>30.16</f>
        <v>30.16</v>
      </c>
      <c r="I2862" t="s">
        <v>15</v>
      </c>
      <c r="J2862" t="s">
        <v>117</v>
      </c>
      <c r="K2862" t="str">
        <f>"60042071"</f>
        <v>60042071</v>
      </c>
    </row>
    <row r="2863" spans="1:11" x14ac:dyDescent="0.25">
      <c r="A2863">
        <v>2022</v>
      </c>
      <c r="B2863" t="s">
        <v>7408</v>
      </c>
      <c r="C2863" t="s">
        <v>7409</v>
      </c>
      <c r="D2863" t="s">
        <v>50</v>
      </c>
      <c r="E2863" t="s">
        <v>20</v>
      </c>
      <c r="F2863" t="str">
        <f>"43560-9252"</f>
        <v>43560-9252</v>
      </c>
      <c r="G2863" t="str">
        <f>"545101"</f>
        <v>545101</v>
      </c>
      <c r="H2863" s="2">
        <f>30</f>
        <v>30</v>
      </c>
      <c r="I2863" t="s">
        <v>27</v>
      </c>
      <c r="J2863" t="s">
        <v>51</v>
      </c>
      <c r="K2863" t="str">
        <f>"117112"</f>
        <v>117112</v>
      </c>
    </row>
    <row r="2864" spans="1:11" x14ac:dyDescent="0.25">
      <c r="A2864">
        <v>2022</v>
      </c>
      <c r="B2864" t="s">
        <v>7420</v>
      </c>
      <c r="C2864" t="s">
        <v>7421</v>
      </c>
      <c r="D2864" t="s">
        <v>19</v>
      </c>
      <c r="E2864" t="s">
        <v>20</v>
      </c>
      <c r="F2864" t="str">
        <f>"43612"</f>
        <v>43612</v>
      </c>
      <c r="G2864" t="str">
        <f>"Je010722"</f>
        <v>Je010722</v>
      </c>
      <c r="H2864" s="2">
        <f>152.48</f>
        <v>152.47999999999999</v>
      </c>
      <c r="I2864" t="s">
        <v>15</v>
      </c>
      <c r="J2864" t="s">
        <v>90</v>
      </c>
      <c r="K2864" t="str">
        <f>"60025809"</f>
        <v>60025809</v>
      </c>
    </row>
    <row r="2865" spans="1:11" x14ac:dyDescent="0.25">
      <c r="A2865">
        <v>2022</v>
      </c>
      <c r="B2865" t="s">
        <v>7420</v>
      </c>
      <c r="C2865" t="s">
        <v>7421</v>
      </c>
      <c r="D2865" t="s">
        <v>19</v>
      </c>
      <c r="E2865" t="s">
        <v>20</v>
      </c>
      <c r="F2865" t="str">
        <f>"43612"</f>
        <v>43612</v>
      </c>
      <c r="G2865" t="str">
        <f>"Je010722"</f>
        <v>Je010722</v>
      </c>
      <c r="H2865" s="2">
        <f>94.53</f>
        <v>94.53</v>
      </c>
      <c r="I2865" t="s">
        <v>15</v>
      </c>
      <c r="J2865" t="s">
        <v>90</v>
      </c>
      <c r="K2865" t="str">
        <f>"60025810"</f>
        <v>60025810</v>
      </c>
    </row>
    <row r="2866" spans="1:11" x14ac:dyDescent="0.25">
      <c r="A2866">
        <v>2022</v>
      </c>
      <c r="B2866" t="s">
        <v>7424</v>
      </c>
      <c r="C2866" t="s">
        <v>7425</v>
      </c>
      <c r="D2866" t="s">
        <v>19</v>
      </c>
      <c r="E2866" t="s">
        <v>20</v>
      </c>
      <c r="F2866" t="str">
        <f>"43605"</f>
        <v>43605</v>
      </c>
      <c r="G2866" t="str">
        <f>"545075"</f>
        <v>545075</v>
      </c>
      <c r="H2866" s="2">
        <f>5</f>
        <v>5</v>
      </c>
      <c r="I2866" t="s">
        <v>27</v>
      </c>
      <c r="J2866" t="s">
        <v>31</v>
      </c>
      <c r="K2866" t="str">
        <f>"44008963"</f>
        <v>44008963</v>
      </c>
    </row>
    <row r="2867" spans="1:11" x14ac:dyDescent="0.25">
      <c r="A2867">
        <v>2022</v>
      </c>
      <c r="B2867" t="s">
        <v>7428</v>
      </c>
      <c r="C2867" t="s">
        <v>7429</v>
      </c>
      <c r="D2867" t="s">
        <v>50</v>
      </c>
      <c r="E2867" t="s">
        <v>20</v>
      </c>
      <c r="F2867" t="str">
        <f>"43560-3248"</f>
        <v>43560-3248</v>
      </c>
      <c r="G2867" t="str">
        <f>"545101"</f>
        <v>545101</v>
      </c>
      <c r="H2867" s="2">
        <f>10</f>
        <v>10</v>
      </c>
      <c r="I2867" t="s">
        <v>27</v>
      </c>
      <c r="J2867" t="s">
        <v>51</v>
      </c>
      <c r="K2867" t="str">
        <f>"116811"</f>
        <v>116811</v>
      </c>
    </row>
    <row r="2868" spans="1:11" x14ac:dyDescent="0.25">
      <c r="A2868">
        <v>2022</v>
      </c>
      <c r="B2868" t="s">
        <v>7433</v>
      </c>
      <c r="C2868" t="s">
        <v>282</v>
      </c>
      <c r="D2868" t="s">
        <v>19</v>
      </c>
      <c r="E2868" t="s">
        <v>20</v>
      </c>
      <c r="F2868" t="str">
        <f>"43608"</f>
        <v>43608</v>
      </c>
      <c r="G2868" t="str">
        <f>"Je11032022"</f>
        <v>Je11032022</v>
      </c>
      <c r="H2868" s="2">
        <f>10</f>
        <v>10</v>
      </c>
      <c r="I2868" t="s">
        <v>15</v>
      </c>
      <c r="J2868" t="s">
        <v>234</v>
      </c>
      <c r="K2868" t="str">
        <f>"60053349"</f>
        <v>60053349</v>
      </c>
    </row>
    <row r="2869" spans="1:11" x14ac:dyDescent="0.25">
      <c r="A2869">
        <v>2022</v>
      </c>
      <c r="B2869" t="s">
        <v>7446</v>
      </c>
      <c r="C2869" t="s">
        <v>7447</v>
      </c>
      <c r="D2869" t="s">
        <v>323</v>
      </c>
      <c r="E2869" t="s">
        <v>20</v>
      </c>
      <c r="F2869" t="str">
        <f>"43571-9842"</f>
        <v>43571-9842</v>
      </c>
      <c r="G2869" t="str">
        <f>"545101"</f>
        <v>545101</v>
      </c>
      <c r="H2869" s="2">
        <f>30</f>
        <v>30</v>
      </c>
      <c r="I2869" t="s">
        <v>27</v>
      </c>
      <c r="J2869" t="s">
        <v>51</v>
      </c>
      <c r="K2869" t="str">
        <f>"117192"</f>
        <v>117192</v>
      </c>
    </row>
    <row r="2870" spans="1:11" x14ac:dyDescent="0.25">
      <c r="A2870">
        <v>2022</v>
      </c>
      <c r="B2870" t="s">
        <v>7458</v>
      </c>
      <c r="C2870" t="s">
        <v>7457</v>
      </c>
      <c r="D2870" t="s">
        <v>19</v>
      </c>
      <c r="E2870" t="s">
        <v>20</v>
      </c>
      <c r="F2870" t="str">
        <f>"43606"</f>
        <v>43606</v>
      </c>
      <c r="G2870" t="str">
        <f>"Je031622"</f>
        <v>Je031622</v>
      </c>
      <c r="H2870" s="2">
        <f>107.4</f>
        <v>107.4</v>
      </c>
      <c r="I2870" t="s">
        <v>15</v>
      </c>
      <c r="J2870" t="s">
        <v>117</v>
      </c>
      <c r="K2870" t="str">
        <f>"60042079"</f>
        <v>60042079</v>
      </c>
    </row>
    <row r="2871" spans="1:11" x14ac:dyDescent="0.25">
      <c r="A2871">
        <v>2022</v>
      </c>
      <c r="B2871" t="s">
        <v>7470</v>
      </c>
      <c r="C2871" t="s">
        <v>7471</v>
      </c>
      <c r="D2871" t="s">
        <v>19</v>
      </c>
      <c r="E2871" t="s">
        <v>20</v>
      </c>
      <c r="F2871" t="str">
        <f>"43604"</f>
        <v>43604</v>
      </c>
      <c r="G2871" t="str">
        <f>"Je031622"</f>
        <v>Je031622</v>
      </c>
      <c r="H2871" s="2">
        <f>30.17</f>
        <v>30.17</v>
      </c>
      <c r="I2871" t="s">
        <v>15</v>
      </c>
      <c r="J2871" t="s">
        <v>117</v>
      </c>
      <c r="K2871" t="str">
        <f>"60042081"</f>
        <v>60042081</v>
      </c>
    </row>
    <row r="2872" spans="1:11" x14ac:dyDescent="0.25">
      <c r="A2872">
        <v>2022</v>
      </c>
      <c r="B2872" t="s">
        <v>7470</v>
      </c>
      <c r="C2872" t="s">
        <v>7471</v>
      </c>
      <c r="D2872" t="s">
        <v>19</v>
      </c>
      <c r="E2872" t="s">
        <v>20</v>
      </c>
      <c r="F2872" t="str">
        <f>"43604"</f>
        <v>43604</v>
      </c>
      <c r="G2872" t="str">
        <f>"Je010722"</f>
        <v>Je010722</v>
      </c>
      <c r="H2872" s="2">
        <f>30.17</f>
        <v>30.17</v>
      </c>
      <c r="I2872" t="s">
        <v>15</v>
      </c>
      <c r="J2872" t="s">
        <v>90</v>
      </c>
      <c r="K2872" t="str">
        <f>"60034711"</f>
        <v>60034711</v>
      </c>
    </row>
    <row r="2873" spans="1:11" x14ac:dyDescent="0.25">
      <c r="A2873">
        <v>2022</v>
      </c>
      <c r="B2873" t="s">
        <v>7474</v>
      </c>
      <c r="C2873" t="s">
        <v>7475</v>
      </c>
      <c r="D2873" t="s">
        <v>19</v>
      </c>
      <c r="E2873" t="s">
        <v>20</v>
      </c>
      <c r="F2873" t="str">
        <f>"43612"</f>
        <v>43612</v>
      </c>
      <c r="G2873" t="str">
        <f>"545075"</f>
        <v>545075</v>
      </c>
      <c r="H2873" s="2">
        <f>1</f>
        <v>1</v>
      </c>
      <c r="I2873" t="s">
        <v>27</v>
      </c>
      <c r="J2873" t="s">
        <v>31</v>
      </c>
      <c r="K2873" t="str">
        <f>"44009058"</f>
        <v>44009058</v>
      </c>
    </row>
    <row r="2874" spans="1:11" x14ac:dyDescent="0.25">
      <c r="A2874">
        <v>2022</v>
      </c>
      <c r="B2874" t="s">
        <v>7499</v>
      </c>
      <c r="C2874" t="s">
        <v>7500</v>
      </c>
      <c r="D2874" t="s">
        <v>45</v>
      </c>
      <c r="E2874" t="s">
        <v>20</v>
      </c>
      <c r="F2874" t="str">
        <f>"43542"</f>
        <v>43542</v>
      </c>
      <c r="G2874" t="str">
        <f>"Je010722"</f>
        <v>Je010722</v>
      </c>
      <c r="H2874" s="2">
        <f>210</f>
        <v>210</v>
      </c>
      <c r="I2874" t="s">
        <v>15</v>
      </c>
      <c r="J2874" t="s">
        <v>90</v>
      </c>
      <c r="K2874" t="str">
        <f>"60033129"</f>
        <v>60033129</v>
      </c>
    </row>
    <row r="2875" spans="1:11" x14ac:dyDescent="0.25">
      <c r="A2875">
        <v>2022</v>
      </c>
      <c r="B2875" t="s">
        <v>7505</v>
      </c>
      <c r="C2875" t="s">
        <v>7506</v>
      </c>
      <c r="D2875" t="s">
        <v>7507</v>
      </c>
      <c r="E2875" t="s">
        <v>462</v>
      </c>
      <c r="F2875" t="str">
        <f>"33764"</f>
        <v>33764</v>
      </c>
      <c r="G2875" t="str">
        <f>"545075"</f>
        <v>545075</v>
      </c>
      <c r="H2875" s="2">
        <f>35</f>
        <v>35</v>
      </c>
      <c r="I2875" t="s">
        <v>27</v>
      </c>
      <c r="J2875" t="s">
        <v>31</v>
      </c>
      <c r="K2875" t="str">
        <f>"22020990"</f>
        <v>22020990</v>
      </c>
    </row>
    <row r="2876" spans="1:11" x14ac:dyDescent="0.25">
      <c r="A2876">
        <v>2022</v>
      </c>
      <c r="B2876" t="s">
        <v>7508</v>
      </c>
      <c r="C2876" t="s">
        <v>7509</v>
      </c>
      <c r="D2876" t="s">
        <v>19</v>
      </c>
      <c r="E2876" t="s">
        <v>20</v>
      </c>
      <c r="F2876" t="str">
        <f>"43614"</f>
        <v>43614</v>
      </c>
      <c r="G2876" t="str">
        <f>"Je031622"</f>
        <v>Je031622</v>
      </c>
      <c r="H2876" s="2">
        <f>347.13</f>
        <v>347.13</v>
      </c>
      <c r="I2876" t="s">
        <v>15</v>
      </c>
      <c r="J2876" t="s">
        <v>117</v>
      </c>
      <c r="K2876" t="str">
        <f>"60043010"</f>
        <v>60043010</v>
      </c>
    </row>
    <row r="2877" spans="1:11" x14ac:dyDescent="0.25">
      <c r="A2877">
        <v>2022</v>
      </c>
      <c r="B2877" t="s">
        <v>7520</v>
      </c>
      <c r="C2877" t="s">
        <v>4694</v>
      </c>
      <c r="D2877" t="s">
        <v>19</v>
      </c>
      <c r="E2877" t="s">
        <v>20</v>
      </c>
      <c r="F2877" t="str">
        <f>"43614-2616"</f>
        <v>43614-2616</v>
      </c>
      <c r="G2877" t="str">
        <f>"545101"</f>
        <v>545101</v>
      </c>
      <c r="H2877" s="2">
        <f>10</f>
        <v>10</v>
      </c>
      <c r="I2877" t="s">
        <v>27</v>
      </c>
      <c r="J2877" t="s">
        <v>51</v>
      </c>
      <c r="K2877" t="str">
        <f>"118107"</f>
        <v>118107</v>
      </c>
    </row>
    <row r="2878" spans="1:11" x14ac:dyDescent="0.25">
      <c r="A2878">
        <v>2022</v>
      </c>
      <c r="B2878" t="s">
        <v>7521</v>
      </c>
      <c r="C2878" t="s">
        <v>7522</v>
      </c>
      <c r="D2878" t="s">
        <v>19</v>
      </c>
      <c r="E2878" t="s">
        <v>20</v>
      </c>
      <c r="F2878" t="str">
        <f>"43615-4639"</f>
        <v>43615-4639</v>
      </c>
      <c r="G2878" t="str">
        <f>"545101"</f>
        <v>545101</v>
      </c>
      <c r="H2878" s="2">
        <f>20</f>
        <v>20</v>
      </c>
      <c r="I2878" t="s">
        <v>27</v>
      </c>
      <c r="J2878" t="s">
        <v>51</v>
      </c>
      <c r="K2878" t="str">
        <f>"116410"</f>
        <v>116410</v>
      </c>
    </row>
    <row r="2879" spans="1:11" x14ac:dyDescent="0.25">
      <c r="A2879">
        <v>2022</v>
      </c>
      <c r="B2879" t="s">
        <v>7527</v>
      </c>
      <c r="C2879" t="s">
        <v>7528</v>
      </c>
      <c r="D2879" t="s">
        <v>19</v>
      </c>
      <c r="E2879" t="s">
        <v>20</v>
      </c>
      <c r="F2879" t="str">
        <f>"43613-2041"</f>
        <v>43613-2041</v>
      </c>
      <c r="G2879" t="str">
        <f>"545101"</f>
        <v>545101</v>
      </c>
      <c r="H2879" s="2">
        <f>20</f>
        <v>20</v>
      </c>
      <c r="I2879" t="s">
        <v>27</v>
      </c>
      <c r="J2879" t="s">
        <v>51</v>
      </c>
      <c r="K2879" t="str">
        <f>"117016"</f>
        <v>117016</v>
      </c>
    </row>
    <row r="2880" spans="1:11" x14ac:dyDescent="0.25">
      <c r="A2880">
        <v>2022</v>
      </c>
      <c r="B2880" t="s">
        <v>7597</v>
      </c>
      <c r="C2880" t="s">
        <v>7598</v>
      </c>
      <c r="D2880" t="s">
        <v>19</v>
      </c>
      <c r="E2880" t="s">
        <v>20</v>
      </c>
      <c r="F2880" t="str">
        <f>"43604"</f>
        <v>43604</v>
      </c>
      <c r="G2880" t="str">
        <f>"545044"</f>
        <v>545044</v>
      </c>
      <c r="H2880" s="2">
        <f>60</f>
        <v>60</v>
      </c>
      <c r="I2880" t="s">
        <v>27</v>
      </c>
      <c r="J2880" t="s">
        <v>28</v>
      </c>
      <c r="K2880" t="str">
        <f>"520148"</f>
        <v>520148</v>
      </c>
    </row>
    <row r="2881" spans="1:11" x14ac:dyDescent="0.25">
      <c r="A2881">
        <v>2022</v>
      </c>
      <c r="B2881" t="s">
        <v>7603</v>
      </c>
      <c r="C2881" t="s">
        <v>7604</v>
      </c>
      <c r="D2881" t="s">
        <v>19</v>
      </c>
      <c r="E2881" t="s">
        <v>20</v>
      </c>
      <c r="F2881" t="str">
        <f>"43623"</f>
        <v>43623</v>
      </c>
      <c r="G2881" t="str">
        <f>"Je010722"</f>
        <v>Je010722</v>
      </c>
      <c r="H2881" s="2">
        <f>50</f>
        <v>50</v>
      </c>
      <c r="I2881" t="s">
        <v>15</v>
      </c>
      <c r="J2881" t="s">
        <v>90</v>
      </c>
      <c r="K2881" t="str">
        <f>"60033138"</f>
        <v>60033138</v>
      </c>
    </row>
    <row r="2882" spans="1:11" x14ac:dyDescent="0.25">
      <c r="A2882">
        <v>2022</v>
      </c>
      <c r="B2882" t="s">
        <v>7626</v>
      </c>
      <c r="C2882" t="s">
        <v>7627</v>
      </c>
      <c r="D2882" t="s">
        <v>19</v>
      </c>
      <c r="E2882" t="s">
        <v>20</v>
      </c>
      <c r="F2882" t="str">
        <f>"43615"</f>
        <v>43615</v>
      </c>
      <c r="G2882" t="str">
        <f>"545042"</f>
        <v>545042</v>
      </c>
      <c r="H2882" s="2">
        <f>3.9</f>
        <v>3.9</v>
      </c>
      <c r="I2882" t="s">
        <v>27</v>
      </c>
      <c r="J2882" t="s">
        <v>257</v>
      </c>
      <c r="K2882" t="str">
        <f>"38167"</f>
        <v>38167</v>
      </c>
    </row>
    <row r="2883" spans="1:11" x14ac:dyDescent="0.25">
      <c r="A2883">
        <v>2022</v>
      </c>
      <c r="B2883" t="s">
        <v>7628</v>
      </c>
      <c r="C2883" t="s">
        <v>7629</v>
      </c>
      <c r="D2883" t="s">
        <v>125</v>
      </c>
      <c r="E2883" t="s">
        <v>20</v>
      </c>
      <c r="F2883" t="str">
        <f>"43537"</f>
        <v>43537</v>
      </c>
      <c r="G2883" t="str">
        <f>"545043"</f>
        <v>545043</v>
      </c>
      <c r="H2883" s="2">
        <f>3.4</f>
        <v>3.4</v>
      </c>
      <c r="I2883" t="s">
        <v>27</v>
      </c>
      <c r="J2883" t="s">
        <v>77</v>
      </c>
      <c r="K2883" t="str">
        <f>"332856"</f>
        <v>332856</v>
      </c>
    </row>
    <row r="2884" spans="1:11" x14ac:dyDescent="0.25">
      <c r="A2884">
        <v>2022</v>
      </c>
      <c r="B2884" t="s">
        <v>7638</v>
      </c>
      <c r="C2884" t="s">
        <v>7639</v>
      </c>
      <c r="D2884" t="s">
        <v>19</v>
      </c>
      <c r="E2884" t="s">
        <v>20</v>
      </c>
      <c r="F2884" t="str">
        <f>"43610"</f>
        <v>43610</v>
      </c>
      <c r="G2884" t="str">
        <f>"Je010722"</f>
        <v>Je010722</v>
      </c>
      <c r="H2884" s="2">
        <f>10</f>
        <v>10</v>
      </c>
      <c r="I2884" t="s">
        <v>15</v>
      </c>
      <c r="J2884" t="s">
        <v>90</v>
      </c>
      <c r="K2884" t="str">
        <f>"60035423"</f>
        <v>60035423</v>
      </c>
    </row>
    <row r="2885" spans="1:11" x14ac:dyDescent="0.25">
      <c r="A2885">
        <v>2022</v>
      </c>
      <c r="B2885" t="s">
        <v>7645</v>
      </c>
      <c r="C2885" t="s">
        <v>3245</v>
      </c>
      <c r="D2885" t="s">
        <v>19</v>
      </c>
      <c r="E2885" t="s">
        <v>20</v>
      </c>
      <c r="F2885" t="str">
        <f>"43606"</f>
        <v>43606</v>
      </c>
      <c r="G2885" t="str">
        <f>"Je031622"</f>
        <v>Je031622</v>
      </c>
      <c r="H2885" s="2">
        <f>39.22</f>
        <v>39.22</v>
      </c>
      <c r="I2885" t="s">
        <v>15</v>
      </c>
      <c r="J2885" t="s">
        <v>117</v>
      </c>
      <c r="K2885" t="str">
        <f>"60039738"</f>
        <v>60039738</v>
      </c>
    </row>
    <row r="2886" spans="1:11" x14ac:dyDescent="0.25">
      <c r="A2886">
        <v>2022</v>
      </c>
      <c r="B2886" t="s">
        <v>7657</v>
      </c>
      <c r="C2886" t="s">
        <v>7658</v>
      </c>
      <c r="D2886" t="s">
        <v>19</v>
      </c>
      <c r="E2886" t="s">
        <v>20</v>
      </c>
      <c r="F2886" t="str">
        <f>"43617"</f>
        <v>43617</v>
      </c>
      <c r="G2886" t="str">
        <f>"Je010722"</f>
        <v>Je010722</v>
      </c>
      <c r="H2886" s="2">
        <f>84.49</f>
        <v>84.49</v>
      </c>
      <c r="I2886" t="s">
        <v>15</v>
      </c>
      <c r="J2886" t="s">
        <v>90</v>
      </c>
      <c r="K2886" t="str">
        <f>"60025751"</f>
        <v>60025751</v>
      </c>
    </row>
    <row r="2887" spans="1:11" x14ac:dyDescent="0.25">
      <c r="A2887">
        <v>2022</v>
      </c>
      <c r="B2887" t="s">
        <v>7659</v>
      </c>
      <c r="C2887" t="s">
        <v>7660</v>
      </c>
      <c r="D2887" t="s">
        <v>64</v>
      </c>
      <c r="E2887" t="s">
        <v>20</v>
      </c>
      <c r="F2887" t="str">
        <f>"43566"</f>
        <v>43566</v>
      </c>
      <c r="G2887" t="str">
        <f>"Je010722"</f>
        <v>Je010722</v>
      </c>
      <c r="H2887" s="2">
        <f>10</f>
        <v>10</v>
      </c>
      <c r="I2887" t="s">
        <v>15</v>
      </c>
      <c r="J2887" t="s">
        <v>90</v>
      </c>
      <c r="K2887" t="str">
        <f>"60035425"</f>
        <v>60035425</v>
      </c>
    </row>
    <row r="2888" spans="1:11" x14ac:dyDescent="0.25">
      <c r="A2888">
        <v>2022</v>
      </c>
      <c r="B2888" t="s">
        <v>7671</v>
      </c>
      <c r="C2888" t="s">
        <v>7672</v>
      </c>
      <c r="D2888" t="s">
        <v>19</v>
      </c>
      <c r="E2888" t="s">
        <v>20</v>
      </c>
      <c r="F2888" t="str">
        <f>"43611"</f>
        <v>43611</v>
      </c>
      <c r="G2888" t="str">
        <f>"545075"</f>
        <v>545075</v>
      </c>
      <c r="H2888" s="2">
        <f>11</f>
        <v>11</v>
      </c>
      <c r="I2888" t="s">
        <v>27</v>
      </c>
      <c r="J2888" t="s">
        <v>31</v>
      </c>
      <c r="K2888" t="str">
        <f>"44008869"</f>
        <v>44008869</v>
      </c>
    </row>
    <row r="2889" spans="1:11" x14ac:dyDescent="0.25">
      <c r="A2889">
        <v>2022</v>
      </c>
      <c r="B2889" t="s">
        <v>7689</v>
      </c>
      <c r="C2889" t="s">
        <v>7690</v>
      </c>
      <c r="D2889" t="s">
        <v>19</v>
      </c>
      <c r="E2889" t="s">
        <v>20</v>
      </c>
      <c r="F2889" t="str">
        <f>"43620-1119"</f>
        <v>43620-1119</v>
      </c>
      <c r="G2889" t="str">
        <f>"545101"</f>
        <v>545101</v>
      </c>
      <c r="H2889" s="2">
        <f>10</f>
        <v>10</v>
      </c>
      <c r="I2889" t="s">
        <v>27</v>
      </c>
      <c r="J2889" t="s">
        <v>51</v>
      </c>
      <c r="K2889" t="str">
        <f>"118090"</f>
        <v>118090</v>
      </c>
    </row>
    <row r="2890" spans="1:11" x14ac:dyDescent="0.25">
      <c r="A2890">
        <v>2022</v>
      </c>
      <c r="B2890" t="s">
        <v>7691</v>
      </c>
      <c r="C2890" t="s">
        <v>7692</v>
      </c>
      <c r="D2890" t="s">
        <v>19</v>
      </c>
      <c r="E2890" t="s">
        <v>20</v>
      </c>
      <c r="F2890" t="str">
        <f>"43608-2009"</f>
        <v>43608-2009</v>
      </c>
      <c r="G2890" t="str">
        <f>"545101"</f>
        <v>545101</v>
      </c>
      <c r="H2890" s="2">
        <f>20</f>
        <v>20</v>
      </c>
      <c r="I2890" t="s">
        <v>27</v>
      </c>
      <c r="J2890" t="s">
        <v>51</v>
      </c>
      <c r="K2890" t="str">
        <f>"118086"</f>
        <v>118086</v>
      </c>
    </row>
    <row r="2891" spans="1:11" x14ac:dyDescent="0.25">
      <c r="A2891">
        <v>2022</v>
      </c>
      <c r="B2891" t="s">
        <v>7693</v>
      </c>
      <c r="C2891" t="s">
        <v>7694</v>
      </c>
      <c r="D2891" t="s">
        <v>19</v>
      </c>
      <c r="E2891" t="s">
        <v>20</v>
      </c>
      <c r="F2891" t="str">
        <f>"43620"</f>
        <v>43620</v>
      </c>
      <c r="G2891" t="str">
        <f>"545043"</f>
        <v>545043</v>
      </c>
      <c r="H2891" s="2">
        <f>1.75</f>
        <v>1.75</v>
      </c>
      <c r="I2891" t="s">
        <v>27</v>
      </c>
      <c r="J2891" t="s">
        <v>77</v>
      </c>
      <c r="K2891" t="str">
        <f>"333062"</f>
        <v>333062</v>
      </c>
    </row>
    <row r="2892" spans="1:11" x14ac:dyDescent="0.25">
      <c r="A2892">
        <v>2022</v>
      </c>
      <c r="B2892" t="s">
        <v>7703</v>
      </c>
      <c r="C2892" t="s">
        <v>7704</v>
      </c>
      <c r="D2892" t="s">
        <v>50</v>
      </c>
      <c r="E2892" t="s">
        <v>20</v>
      </c>
      <c r="F2892" t="str">
        <f>"43560"</f>
        <v>43560</v>
      </c>
      <c r="G2892" t="str">
        <f>"545044"</f>
        <v>545044</v>
      </c>
      <c r="H2892" s="2">
        <f>10</f>
        <v>10</v>
      </c>
      <c r="I2892" t="s">
        <v>27</v>
      </c>
      <c r="J2892" t="s">
        <v>28</v>
      </c>
      <c r="K2892" t="str">
        <f>"519769"</f>
        <v>519769</v>
      </c>
    </row>
    <row r="2893" spans="1:11" x14ac:dyDescent="0.25">
      <c r="A2893">
        <v>2022</v>
      </c>
      <c r="B2893" t="s">
        <v>7712</v>
      </c>
      <c r="C2893" t="s">
        <v>7713</v>
      </c>
      <c r="D2893" t="s">
        <v>19</v>
      </c>
      <c r="E2893" t="s">
        <v>20</v>
      </c>
      <c r="F2893" t="str">
        <f>"43615"</f>
        <v>43615</v>
      </c>
      <c r="G2893" t="str">
        <f>"Je031622"</f>
        <v>Je031622</v>
      </c>
      <c r="H2893" s="2">
        <f>196.1</f>
        <v>196.1</v>
      </c>
      <c r="I2893" t="s">
        <v>15</v>
      </c>
      <c r="J2893" t="s">
        <v>117</v>
      </c>
      <c r="K2893" t="str">
        <f>"60039743"</f>
        <v>60039743</v>
      </c>
    </row>
    <row r="2894" spans="1:11" x14ac:dyDescent="0.25">
      <c r="A2894">
        <v>2022</v>
      </c>
      <c r="B2894" t="s">
        <v>7726</v>
      </c>
      <c r="C2894" t="s">
        <v>7727</v>
      </c>
      <c r="D2894" t="s">
        <v>19</v>
      </c>
      <c r="E2894" t="s">
        <v>20</v>
      </c>
      <c r="F2894" t="str">
        <f>"43612"</f>
        <v>43612</v>
      </c>
      <c r="G2894" t="str">
        <f>"545044"</f>
        <v>545044</v>
      </c>
      <c r="H2894" s="2">
        <f>100</f>
        <v>100</v>
      </c>
      <c r="I2894" t="s">
        <v>27</v>
      </c>
      <c r="J2894" t="s">
        <v>28</v>
      </c>
      <c r="K2894" t="str">
        <f>"520290"</f>
        <v>520290</v>
      </c>
    </row>
    <row r="2895" spans="1:11" x14ac:dyDescent="0.25">
      <c r="A2895">
        <v>2022</v>
      </c>
      <c r="B2895" t="s">
        <v>7757</v>
      </c>
      <c r="C2895" t="s">
        <v>7758</v>
      </c>
      <c r="D2895" t="s">
        <v>19</v>
      </c>
      <c r="E2895" t="s">
        <v>20</v>
      </c>
      <c r="F2895" t="str">
        <f>"43614-2917"</f>
        <v>43614-2917</v>
      </c>
      <c r="G2895" t="str">
        <f>"545101"</f>
        <v>545101</v>
      </c>
      <c r="H2895" s="2">
        <f>10</f>
        <v>10</v>
      </c>
      <c r="I2895" t="s">
        <v>27</v>
      </c>
      <c r="J2895" t="s">
        <v>51</v>
      </c>
      <c r="K2895" t="str">
        <f>"116132"</f>
        <v>116132</v>
      </c>
    </row>
    <row r="2896" spans="1:11" x14ac:dyDescent="0.25">
      <c r="A2896">
        <v>2022</v>
      </c>
      <c r="B2896" t="s">
        <v>7759</v>
      </c>
      <c r="C2896" t="s">
        <v>7760</v>
      </c>
      <c r="D2896" t="s">
        <v>19</v>
      </c>
      <c r="E2896" t="s">
        <v>20</v>
      </c>
      <c r="F2896" t="str">
        <f>"43607-1901"</f>
        <v>43607-1901</v>
      </c>
      <c r="G2896" t="str">
        <f>"545101"</f>
        <v>545101</v>
      </c>
      <c r="H2896" s="2">
        <f>10</f>
        <v>10</v>
      </c>
      <c r="I2896" t="s">
        <v>27</v>
      </c>
      <c r="J2896" t="s">
        <v>51</v>
      </c>
      <c r="K2896" t="str">
        <f>"116222"</f>
        <v>116222</v>
      </c>
    </row>
    <row r="2897" spans="1:11" x14ac:dyDescent="0.25">
      <c r="A2897">
        <v>2022</v>
      </c>
      <c r="B2897" t="s">
        <v>7767</v>
      </c>
      <c r="C2897" t="s">
        <v>7768</v>
      </c>
      <c r="D2897" t="s">
        <v>19</v>
      </c>
      <c r="E2897" t="s">
        <v>20</v>
      </c>
      <c r="F2897" t="str">
        <f>"43612-2004"</f>
        <v>43612-2004</v>
      </c>
      <c r="G2897" t="str">
        <f>"545101"</f>
        <v>545101</v>
      </c>
      <c r="H2897" s="2">
        <f>40</f>
        <v>40</v>
      </c>
      <c r="I2897" t="s">
        <v>27</v>
      </c>
      <c r="J2897" t="s">
        <v>51</v>
      </c>
      <c r="K2897" t="str">
        <f>"118160"</f>
        <v>118160</v>
      </c>
    </row>
    <row r="2898" spans="1:11" x14ac:dyDescent="0.25">
      <c r="A2898">
        <v>2022</v>
      </c>
      <c r="B2898" t="s">
        <v>7777</v>
      </c>
      <c r="C2898" t="s">
        <v>7778</v>
      </c>
      <c r="D2898" t="s">
        <v>45</v>
      </c>
      <c r="E2898" t="s">
        <v>20</v>
      </c>
      <c r="F2898" t="str">
        <f>"43542"</f>
        <v>43542</v>
      </c>
      <c r="G2898" t="str">
        <f>"545043"</f>
        <v>545043</v>
      </c>
      <c r="H2898" s="2">
        <f>10.3</f>
        <v>10.3</v>
      </c>
      <c r="I2898" t="s">
        <v>27</v>
      </c>
      <c r="J2898" t="s">
        <v>77</v>
      </c>
      <c r="K2898" t="str">
        <f>"333139"</f>
        <v>333139</v>
      </c>
    </row>
    <row r="2899" spans="1:11" x14ac:dyDescent="0.25">
      <c r="A2899">
        <v>2022</v>
      </c>
      <c r="B2899" t="s">
        <v>7782</v>
      </c>
      <c r="C2899" t="s">
        <v>7783</v>
      </c>
      <c r="D2899" t="s">
        <v>19</v>
      </c>
      <c r="E2899" t="s">
        <v>20</v>
      </c>
      <c r="F2899" t="str">
        <f>"43617"</f>
        <v>43617</v>
      </c>
      <c r="G2899" t="str">
        <f>"Je010722"</f>
        <v>Je010722</v>
      </c>
      <c r="H2899" s="2">
        <f>474.82</f>
        <v>474.82</v>
      </c>
      <c r="I2899" t="s">
        <v>15</v>
      </c>
      <c r="J2899" t="s">
        <v>90</v>
      </c>
      <c r="K2899" t="str">
        <f>"60025506"</f>
        <v>60025506</v>
      </c>
    </row>
    <row r="2900" spans="1:11" x14ac:dyDescent="0.25">
      <c r="A2900">
        <v>2022</v>
      </c>
      <c r="B2900" t="s">
        <v>7805</v>
      </c>
      <c r="C2900" t="s">
        <v>7806</v>
      </c>
      <c r="D2900" t="s">
        <v>19</v>
      </c>
      <c r="E2900" t="s">
        <v>20</v>
      </c>
      <c r="F2900" t="str">
        <f>"43609"</f>
        <v>43609</v>
      </c>
      <c r="G2900" t="str">
        <f>"545075"</f>
        <v>545075</v>
      </c>
      <c r="H2900" s="2">
        <f>6.75</f>
        <v>6.75</v>
      </c>
      <c r="I2900" t="s">
        <v>27</v>
      </c>
      <c r="J2900" t="s">
        <v>31</v>
      </c>
      <c r="K2900" t="str">
        <f>"11003956"</f>
        <v>11003956</v>
      </c>
    </row>
    <row r="2901" spans="1:11" x14ac:dyDescent="0.25">
      <c r="A2901">
        <v>2022</v>
      </c>
      <c r="B2901" t="s">
        <v>7807</v>
      </c>
      <c r="C2901" t="s">
        <v>7808</v>
      </c>
      <c r="D2901" t="s">
        <v>19</v>
      </c>
      <c r="E2901" t="s">
        <v>20</v>
      </c>
      <c r="F2901" t="str">
        <f>"43609-1934"</f>
        <v>43609-1934</v>
      </c>
      <c r="G2901" t="str">
        <f>"545101"</f>
        <v>545101</v>
      </c>
      <c r="H2901" s="2">
        <f>10</f>
        <v>10</v>
      </c>
      <c r="I2901" t="s">
        <v>27</v>
      </c>
      <c r="J2901" t="s">
        <v>51</v>
      </c>
      <c r="K2901" t="str">
        <f>"117884"</f>
        <v>117884</v>
      </c>
    </row>
    <row r="2902" spans="1:11" x14ac:dyDescent="0.25">
      <c r="A2902">
        <v>2022</v>
      </c>
      <c r="B2902" t="s">
        <v>7825</v>
      </c>
      <c r="C2902" t="s">
        <v>2532</v>
      </c>
      <c r="D2902" t="s">
        <v>19</v>
      </c>
      <c r="E2902" t="s">
        <v>20</v>
      </c>
      <c r="F2902" t="str">
        <f>"43617"</f>
        <v>43617</v>
      </c>
      <c r="G2902" t="str">
        <f>"545042"</f>
        <v>545042</v>
      </c>
      <c r="H2902" s="2">
        <f>20</f>
        <v>20</v>
      </c>
      <c r="I2902" t="s">
        <v>27</v>
      </c>
      <c r="J2902" t="s">
        <v>257</v>
      </c>
      <c r="K2902" t="str">
        <f>"36640"</f>
        <v>36640</v>
      </c>
    </row>
    <row r="2903" spans="1:11" x14ac:dyDescent="0.25">
      <c r="A2903">
        <v>2022</v>
      </c>
      <c r="B2903" t="s">
        <v>7835</v>
      </c>
      <c r="C2903" t="s">
        <v>7836</v>
      </c>
      <c r="D2903" t="s">
        <v>19</v>
      </c>
      <c r="E2903" t="s">
        <v>20</v>
      </c>
      <c r="F2903" t="str">
        <f>"43615"</f>
        <v>43615</v>
      </c>
      <c r="G2903" t="str">
        <f>"545043"</f>
        <v>545043</v>
      </c>
      <c r="H2903" s="2">
        <f>1.4</f>
        <v>1.4</v>
      </c>
      <c r="I2903" t="s">
        <v>27</v>
      </c>
      <c r="J2903" t="s">
        <v>77</v>
      </c>
      <c r="K2903" t="str">
        <f>"333325"</f>
        <v>333325</v>
      </c>
    </row>
    <row r="2904" spans="1:11" x14ac:dyDescent="0.25">
      <c r="A2904">
        <v>2022</v>
      </c>
      <c r="B2904" t="s">
        <v>7843</v>
      </c>
      <c r="C2904" t="s">
        <v>7844</v>
      </c>
      <c r="D2904" t="s">
        <v>19</v>
      </c>
      <c r="E2904" t="s">
        <v>20</v>
      </c>
      <c r="F2904" t="str">
        <f>"43605"</f>
        <v>43605</v>
      </c>
      <c r="G2904" t="str">
        <f>"538093"</f>
        <v>538093</v>
      </c>
      <c r="H2904" s="2">
        <f>80.79</f>
        <v>80.790000000000006</v>
      </c>
      <c r="I2904" t="s">
        <v>148</v>
      </c>
      <c r="J2904" t="s">
        <v>7845</v>
      </c>
      <c r="K2904" t="str">
        <f>"25635"</f>
        <v>25635</v>
      </c>
    </row>
    <row r="2905" spans="1:11" x14ac:dyDescent="0.25">
      <c r="A2905">
        <v>2022</v>
      </c>
      <c r="B2905" t="s">
        <v>7846</v>
      </c>
      <c r="C2905" t="s">
        <v>7847</v>
      </c>
      <c r="D2905" t="s">
        <v>64</v>
      </c>
      <c r="E2905" t="s">
        <v>20</v>
      </c>
      <c r="F2905" t="str">
        <f>"43566-9652"</f>
        <v>43566-9652</v>
      </c>
      <c r="G2905" t="str">
        <f>"545101"</f>
        <v>545101</v>
      </c>
      <c r="H2905" s="2">
        <f>10</f>
        <v>10</v>
      </c>
      <c r="I2905" t="s">
        <v>27</v>
      </c>
      <c r="J2905" t="s">
        <v>51</v>
      </c>
      <c r="K2905" t="str">
        <f>"117859"</f>
        <v>117859</v>
      </c>
    </row>
    <row r="2906" spans="1:11" x14ac:dyDescent="0.25">
      <c r="A2906">
        <v>2022</v>
      </c>
      <c r="B2906" t="s">
        <v>7850</v>
      </c>
      <c r="C2906" t="s">
        <v>7851</v>
      </c>
      <c r="D2906" t="s">
        <v>1074</v>
      </c>
      <c r="E2906" t="s">
        <v>20</v>
      </c>
      <c r="F2906" t="str">
        <f>"43551"</f>
        <v>43551</v>
      </c>
      <c r="G2906" t="str">
        <f>"Je031622"</f>
        <v>Je031622</v>
      </c>
      <c r="H2906" s="2">
        <f>90.51</f>
        <v>90.51</v>
      </c>
      <c r="I2906" t="s">
        <v>15</v>
      </c>
      <c r="J2906" t="s">
        <v>117</v>
      </c>
      <c r="K2906" t="str">
        <f>"60042109"</f>
        <v>60042109</v>
      </c>
    </row>
    <row r="2907" spans="1:11" x14ac:dyDescent="0.25">
      <c r="A2907">
        <v>2022</v>
      </c>
      <c r="B2907" t="s">
        <v>7856</v>
      </c>
      <c r="C2907" t="s">
        <v>7857</v>
      </c>
      <c r="D2907" t="s">
        <v>58</v>
      </c>
      <c r="E2907" t="s">
        <v>20</v>
      </c>
      <c r="F2907" t="str">
        <f>"43616"</f>
        <v>43616</v>
      </c>
      <c r="G2907" t="str">
        <f>"Je11032022"</f>
        <v>Je11032022</v>
      </c>
      <c r="H2907" s="2">
        <f>25</f>
        <v>25</v>
      </c>
      <c r="I2907" t="s">
        <v>15</v>
      </c>
      <c r="J2907" t="s">
        <v>234</v>
      </c>
      <c r="K2907" t="str">
        <f>"60053863"</f>
        <v>60053863</v>
      </c>
    </row>
    <row r="2908" spans="1:11" x14ac:dyDescent="0.25">
      <c r="A2908">
        <v>2022</v>
      </c>
      <c r="B2908" t="s">
        <v>7882</v>
      </c>
      <c r="C2908" t="s">
        <v>7883</v>
      </c>
      <c r="D2908" t="s">
        <v>19</v>
      </c>
      <c r="E2908" t="s">
        <v>20</v>
      </c>
      <c r="F2908" t="str">
        <f>"43623"</f>
        <v>43623</v>
      </c>
      <c r="G2908" t="str">
        <f>"545075"</f>
        <v>545075</v>
      </c>
      <c r="H2908" s="2">
        <f>3.62</f>
        <v>3.62</v>
      </c>
      <c r="I2908" t="s">
        <v>27</v>
      </c>
      <c r="J2908" t="s">
        <v>31</v>
      </c>
      <c r="K2908" t="str">
        <f>"22022588"</f>
        <v>22022588</v>
      </c>
    </row>
    <row r="2909" spans="1:11" x14ac:dyDescent="0.25">
      <c r="A2909">
        <v>2022</v>
      </c>
      <c r="B2909" t="s">
        <v>7919</v>
      </c>
      <c r="C2909" t="s">
        <v>7920</v>
      </c>
      <c r="D2909" t="s">
        <v>19</v>
      </c>
      <c r="E2909" t="s">
        <v>20</v>
      </c>
      <c r="F2909" t="str">
        <f>"43604"</f>
        <v>43604</v>
      </c>
      <c r="G2909" t="str">
        <f>"545042"</f>
        <v>545042</v>
      </c>
      <c r="H2909" s="2">
        <f>20</f>
        <v>20</v>
      </c>
      <c r="I2909" t="s">
        <v>27</v>
      </c>
      <c r="J2909" t="s">
        <v>257</v>
      </c>
      <c r="K2909" t="str">
        <f>"36060"</f>
        <v>36060</v>
      </c>
    </row>
    <row r="2910" spans="1:11" x14ac:dyDescent="0.25">
      <c r="A2910">
        <v>2022</v>
      </c>
      <c r="B2910" t="s">
        <v>7934</v>
      </c>
      <c r="C2910" t="s">
        <v>7935</v>
      </c>
      <c r="D2910" t="s">
        <v>19</v>
      </c>
      <c r="E2910" t="s">
        <v>20</v>
      </c>
      <c r="F2910" t="str">
        <f>"43604"</f>
        <v>43604</v>
      </c>
      <c r="G2910" t="str">
        <f>"545043"</f>
        <v>545043</v>
      </c>
      <c r="H2910" s="2">
        <f>350</f>
        <v>350</v>
      </c>
      <c r="I2910" t="s">
        <v>27</v>
      </c>
      <c r="J2910" t="s">
        <v>77</v>
      </c>
      <c r="K2910" t="str">
        <f>"332919"</f>
        <v>332919</v>
      </c>
    </row>
    <row r="2911" spans="1:11" x14ac:dyDescent="0.25">
      <c r="A2911">
        <v>2022</v>
      </c>
      <c r="B2911" t="s">
        <v>7942</v>
      </c>
      <c r="C2911" t="s">
        <v>7943</v>
      </c>
      <c r="D2911" t="s">
        <v>128</v>
      </c>
      <c r="E2911" t="s">
        <v>20</v>
      </c>
      <c r="F2911" t="str">
        <f>"43619"</f>
        <v>43619</v>
      </c>
      <c r="G2911" t="str">
        <f>"545075"</f>
        <v>545075</v>
      </c>
      <c r="H2911" s="2">
        <f>5</f>
        <v>5</v>
      </c>
      <c r="I2911" t="s">
        <v>27</v>
      </c>
      <c r="J2911" t="s">
        <v>31</v>
      </c>
      <c r="K2911" t="str">
        <f>"44008812"</f>
        <v>44008812</v>
      </c>
    </row>
    <row r="2912" spans="1:11" x14ac:dyDescent="0.25">
      <c r="A2912">
        <v>2022</v>
      </c>
      <c r="B2912" t="s">
        <v>7953</v>
      </c>
      <c r="C2912" t="s">
        <v>7954</v>
      </c>
      <c r="D2912" t="s">
        <v>19</v>
      </c>
      <c r="E2912" t="s">
        <v>20</v>
      </c>
      <c r="F2912" t="str">
        <f>"43611-1927"</f>
        <v>43611-1927</v>
      </c>
      <c r="G2912" t="str">
        <f>"545101"</f>
        <v>545101</v>
      </c>
      <c r="H2912" s="2">
        <f>10</f>
        <v>10</v>
      </c>
      <c r="I2912" t="s">
        <v>27</v>
      </c>
      <c r="J2912" t="s">
        <v>51</v>
      </c>
      <c r="K2912" t="str">
        <f>"116705"</f>
        <v>116705</v>
      </c>
    </row>
    <row r="2913" spans="1:11" x14ac:dyDescent="0.25">
      <c r="A2913">
        <v>2022</v>
      </c>
      <c r="B2913" t="s">
        <v>7980</v>
      </c>
      <c r="C2913" t="s">
        <v>7981</v>
      </c>
      <c r="D2913" t="s">
        <v>19</v>
      </c>
      <c r="E2913" t="s">
        <v>20</v>
      </c>
      <c r="F2913" t="str">
        <f>"43605"</f>
        <v>43605</v>
      </c>
      <c r="G2913" t="str">
        <f>"Je070522"</f>
        <v>Je070522</v>
      </c>
      <c r="H2913" s="2">
        <f>298.36</f>
        <v>298.36</v>
      </c>
      <c r="I2913" t="s">
        <v>15</v>
      </c>
      <c r="J2913" t="s">
        <v>207</v>
      </c>
      <c r="K2913" t="str">
        <f>"60048568"</f>
        <v>60048568</v>
      </c>
    </row>
    <row r="2914" spans="1:11" x14ac:dyDescent="0.25">
      <c r="A2914">
        <v>2022</v>
      </c>
      <c r="B2914" t="s">
        <v>7982</v>
      </c>
      <c r="C2914" t="s">
        <v>7983</v>
      </c>
      <c r="D2914" t="s">
        <v>50</v>
      </c>
      <c r="E2914" t="s">
        <v>20</v>
      </c>
      <c r="F2914" t="str">
        <f>"43560-9256"</f>
        <v>43560-9256</v>
      </c>
      <c r="G2914" t="str">
        <f t="shared" ref="G2914:G2919" si="92">"545101"</f>
        <v>545101</v>
      </c>
      <c r="H2914" s="2">
        <f>10</f>
        <v>10</v>
      </c>
      <c r="I2914" t="s">
        <v>27</v>
      </c>
      <c r="J2914" t="s">
        <v>51</v>
      </c>
      <c r="K2914" t="str">
        <f>"116562"</f>
        <v>116562</v>
      </c>
    </row>
    <row r="2915" spans="1:11" x14ac:dyDescent="0.25">
      <c r="A2915">
        <v>2022</v>
      </c>
      <c r="B2915" t="s">
        <v>7986</v>
      </c>
      <c r="C2915" t="s">
        <v>7987</v>
      </c>
      <c r="D2915" t="s">
        <v>19</v>
      </c>
      <c r="E2915" t="s">
        <v>20</v>
      </c>
      <c r="F2915" t="str">
        <f>"43614-1124"</f>
        <v>43614-1124</v>
      </c>
      <c r="G2915" t="str">
        <f t="shared" si="92"/>
        <v>545101</v>
      </c>
      <c r="H2915" s="2">
        <f>10</f>
        <v>10</v>
      </c>
      <c r="I2915" t="s">
        <v>27</v>
      </c>
      <c r="J2915" t="s">
        <v>51</v>
      </c>
      <c r="K2915" t="str">
        <f>"117885"</f>
        <v>117885</v>
      </c>
    </row>
    <row r="2916" spans="1:11" x14ac:dyDescent="0.25">
      <c r="A2916">
        <v>2022</v>
      </c>
      <c r="B2916" t="s">
        <v>8030</v>
      </c>
      <c r="C2916" t="s">
        <v>8031</v>
      </c>
      <c r="D2916" t="s">
        <v>19</v>
      </c>
      <c r="E2916" t="s">
        <v>20</v>
      </c>
      <c r="F2916" t="str">
        <f>"43614-4437"</f>
        <v>43614-4437</v>
      </c>
      <c r="G2916" t="str">
        <f t="shared" si="92"/>
        <v>545101</v>
      </c>
      <c r="H2916" s="2">
        <f>10</f>
        <v>10</v>
      </c>
      <c r="I2916" t="s">
        <v>27</v>
      </c>
      <c r="J2916" t="s">
        <v>51</v>
      </c>
      <c r="K2916" t="str">
        <f>"117468"</f>
        <v>117468</v>
      </c>
    </row>
    <row r="2917" spans="1:11" x14ac:dyDescent="0.25">
      <c r="A2917">
        <v>2022</v>
      </c>
      <c r="B2917" t="s">
        <v>8032</v>
      </c>
      <c r="C2917" t="s">
        <v>8033</v>
      </c>
      <c r="D2917" t="s">
        <v>125</v>
      </c>
      <c r="E2917" t="s">
        <v>20</v>
      </c>
      <c r="F2917" t="str">
        <f>"43537-1908"</f>
        <v>43537-1908</v>
      </c>
      <c r="G2917" t="str">
        <f t="shared" si="92"/>
        <v>545101</v>
      </c>
      <c r="H2917" s="2">
        <f>40</f>
        <v>40</v>
      </c>
      <c r="I2917" t="s">
        <v>27</v>
      </c>
      <c r="J2917" t="s">
        <v>51</v>
      </c>
      <c r="K2917" t="str">
        <f>"116554"</f>
        <v>116554</v>
      </c>
    </row>
    <row r="2918" spans="1:11" x14ac:dyDescent="0.25">
      <c r="A2918">
        <v>2022</v>
      </c>
      <c r="B2918" t="s">
        <v>8069</v>
      </c>
      <c r="C2918" t="s">
        <v>8070</v>
      </c>
      <c r="D2918" t="s">
        <v>19</v>
      </c>
      <c r="E2918" t="s">
        <v>20</v>
      </c>
      <c r="F2918" t="str">
        <f>"43614-3514"</f>
        <v>43614-3514</v>
      </c>
      <c r="G2918" t="str">
        <f t="shared" si="92"/>
        <v>545101</v>
      </c>
      <c r="H2918" s="2">
        <f>20</f>
        <v>20</v>
      </c>
      <c r="I2918" t="s">
        <v>27</v>
      </c>
      <c r="J2918" t="s">
        <v>51</v>
      </c>
      <c r="K2918" t="str">
        <f>"116230"</f>
        <v>116230</v>
      </c>
    </row>
    <row r="2919" spans="1:11" x14ac:dyDescent="0.25">
      <c r="A2919">
        <v>2022</v>
      </c>
      <c r="B2919" t="s">
        <v>8080</v>
      </c>
      <c r="C2919" t="s">
        <v>8081</v>
      </c>
      <c r="D2919" t="s">
        <v>19</v>
      </c>
      <c r="E2919" t="s">
        <v>20</v>
      </c>
      <c r="F2919" t="str">
        <f>"43612-2219"</f>
        <v>43612-2219</v>
      </c>
      <c r="G2919" t="str">
        <f t="shared" si="92"/>
        <v>545101</v>
      </c>
      <c r="H2919" s="2">
        <f>30</f>
        <v>30</v>
      </c>
      <c r="I2919" t="s">
        <v>27</v>
      </c>
      <c r="J2919" t="s">
        <v>51</v>
      </c>
      <c r="K2919" t="str">
        <f>"117869"</f>
        <v>117869</v>
      </c>
    </row>
    <row r="2920" spans="1:11" x14ac:dyDescent="0.25">
      <c r="A2920">
        <v>2022</v>
      </c>
      <c r="B2920" t="s">
        <v>8092</v>
      </c>
      <c r="C2920" t="s">
        <v>8093</v>
      </c>
      <c r="D2920" t="s">
        <v>58</v>
      </c>
      <c r="E2920" t="s">
        <v>20</v>
      </c>
      <c r="F2920" t="str">
        <f>"43616"</f>
        <v>43616</v>
      </c>
      <c r="G2920" t="str">
        <f>"Je031622"</f>
        <v>Je031622</v>
      </c>
      <c r="H2920" s="2">
        <f>61</f>
        <v>61</v>
      </c>
      <c r="I2920" t="s">
        <v>15</v>
      </c>
      <c r="J2920" t="s">
        <v>117</v>
      </c>
      <c r="K2920" t="str">
        <f>"60038827"</f>
        <v>60038827</v>
      </c>
    </row>
    <row r="2921" spans="1:11" x14ac:dyDescent="0.25">
      <c r="A2921">
        <v>2022</v>
      </c>
      <c r="B2921" t="s">
        <v>8101</v>
      </c>
      <c r="C2921" t="s">
        <v>8102</v>
      </c>
      <c r="D2921" t="s">
        <v>19</v>
      </c>
      <c r="E2921" t="s">
        <v>20</v>
      </c>
      <c r="F2921" t="str">
        <f>"43606-4007"</f>
        <v>43606-4007</v>
      </c>
      <c r="G2921" t="str">
        <f>"545101"</f>
        <v>545101</v>
      </c>
      <c r="H2921" s="2">
        <f>10</f>
        <v>10</v>
      </c>
      <c r="I2921" t="s">
        <v>27</v>
      </c>
      <c r="J2921" t="s">
        <v>51</v>
      </c>
      <c r="K2921" t="str">
        <f>"116734"</f>
        <v>116734</v>
      </c>
    </row>
    <row r="2922" spans="1:11" x14ac:dyDescent="0.25">
      <c r="A2922">
        <v>2022</v>
      </c>
      <c r="B2922" t="s">
        <v>8105</v>
      </c>
      <c r="C2922" t="s">
        <v>8106</v>
      </c>
      <c r="D2922" t="s">
        <v>19</v>
      </c>
      <c r="E2922" t="s">
        <v>20</v>
      </c>
      <c r="F2922" t="str">
        <f>"43606"</f>
        <v>43606</v>
      </c>
      <c r="G2922" t="str">
        <f>"545044"</f>
        <v>545044</v>
      </c>
      <c r="H2922" s="2">
        <f>5.56</f>
        <v>5.56</v>
      </c>
      <c r="I2922" t="s">
        <v>27</v>
      </c>
      <c r="J2922" t="s">
        <v>28</v>
      </c>
      <c r="K2922" t="str">
        <f>"519253"</f>
        <v>519253</v>
      </c>
    </row>
    <row r="2923" spans="1:11" x14ac:dyDescent="0.25">
      <c r="A2923">
        <v>2022</v>
      </c>
      <c r="B2923" t="s">
        <v>8141</v>
      </c>
      <c r="C2923" t="s">
        <v>8142</v>
      </c>
      <c r="D2923" t="s">
        <v>19</v>
      </c>
      <c r="E2923" t="s">
        <v>20</v>
      </c>
      <c r="F2923" t="str">
        <f>"43615"</f>
        <v>43615</v>
      </c>
      <c r="G2923" t="str">
        <f>"545044"</f>
        <v>545044</v>
      </c>
      <c r="H2923" s="2">
        <f>170</f>
        <v>170</v>
      </c>
      <c r="I2923" t="s">
        <v>27</v>
      </c>
      <c r="J2923" t="s">
        <v>28</v>
      </c>
      <c r="K2923" t="str">
        <f>"519055"</f>
        <v>519055</v>
      </c>
    </row>
    <row r="2924" spans="1:11" x14ac:dyDescent="0.25">
      <c r="A2924">
        <v>2022</v>
      </c>
      <c r="B2924" t="s">
        <v>8160</v>
      </c>
      <c r="C2924" t="s">
        <v>8161</v>
      </c>
      <c r="D2924" t="s">
        <v>111</v>
      </c>
      <c r="E2924" t="s">
        <v>20</v>
      </c>
      <c r="F2924" t="str">
        <f>"43215"</f>
        <v>43215</v>
      </c>
      <c r="G2924" t="str">
        <f>"545044"</f>
        <v>545044</v>
      </c>
      <c r="H2924" s="2">
        <f>8.34</f>
        <v>8.34</v>
      </c>
      <c r="I2924" t="s">
        <v>27</v>
      </c>
      <c r="J2924" t="s">
        <v>28</v>
      </c>
      <c r="K2924" t="str">
        <f>"519270"</f>
        <v>519270</v>
      </c>
    </row>
    <row r="2925" spans="1:11" x14ac:dyDescent="0.25">
      <c r="A2925">
        <v>2022</v>
      </c>
      <c r="B2925" t="s">
        <v>8160</v>
      </c>
      <c r="C2925" t="s">
        <v>8161</v>
      </c>
      <c r="D2925" t="s">
        <v>111</v>
      </c>
      <c r="E2925" t="s">
        <v>20</v>
      </c>
      <c r="F2925" t="str">
        <f>"43215"</f>
        <v>43215</v>
      </c>
      <c r="G2925" t="str">
        <f>"545044"</f>
        <v>545044</v>
      </c>
      <c r="H2925" s="2">
        <f>8.34</f>
        <v>8.34</v>
      </c>
      <c r="I2925" t="s">
        <v>27</v>
      </c>
      <c r="J2925" t="s">
        <v>28</v>
      </c>
      <c r="K2925" t="str">
        <f>"519491"</f>
        <v>519491</v>
      </c>
    </row>
    <row r="2926" spans="1:11" x14ac:dyDescent="0.25">
      <c r="A2926">
        <v>2022</v>
      </c>
      <c r="B2926" t="s">
        <v>8183</v>
      </c>
      <c r="C2926" t="s">
        <v>8184</v>
      </c>
      <c r="D2926" t="s">
        <v>125</v>
      </c>
      <c r="E2926" t="s">
        <v>20</v>
      </c>
      <c r="F2926" t="str">
        <f>"43537"</f>
        <v>43537</v>
      </c>
      <c r="G2926" t="str">
        <f>"545043"</f>
        <v>545043</v>
      </c>
      <c r="H2926" s="2">
        <f>2.5</f>
        <v>2.5</v>
      </c>
      <c r="I2926" t="s">
        <v>27</v>
      </c>
      <c r="J2926" t="s">
        <v>77</v>
      </c>
      <c r="K2926" t="str">
        <f>"333450"</f>
        <v>333450</v>
      </c>
    </row>
    <row r="2927" spans="1:11" x14ac:dyDescent="0.25">
      <c r="A2927">
        <v>2022</v>
      </c>
      <c r="B2927" t="s">
        <v>8185</v>
      </c>
      <c r="C2927" t="s">
        <v>8186</v>
      </c>
      <c r="D2927" t="s">
        <v>50</v>
      </c>
      <c r="E2927" t="s">
        <v>20</v>
      </c>
      <c r="F2927" t="str">
        <f>"43560-1224"</f>
        <v>43560-1224</v>
      </c>
      <c r="G2927" t="str">
        <f>"545101"</f>
        <v>545101</v>
      </c>
      <c r="H2927" s="2">
        <f>50</f>
        <v>50</v>
      </c>
      <c r="I2927" t="s">
        <v>27</v>
      </c>
      <c r="J2927" t="s">
        <v>51</v>
      </c>
      <c r="K2927" t="str">
        <f>"117995"</f>
        <v>117995</v>
      </c>
    </row>
    <row r="2928" spans="1:11" x14ac:dyDescent="0.25">
      <c r="A2928">
        <v>2022</v>
      </c>
      <c r="B2928" t="s">
        <v>8185</v>
      </c>
      <c r="C2928" t="s">
        <v>8186</v>
      </c>
      <c r="D2928" t="s">
        <v>50</v>
      </c>
      <c r="E2928" t="s">
        <v>20</v>
      </c>
      <c r="F2928" t="str">
        <f>"43560-1224"</f>
        <v>43560-1224</v>
      </c>
      <c r="G2928" t="str">
        <f>"545101"</f>
        <v>545101</v>
      </c>
      <c r="H2928" s="2">
        <f>40</f>
        <v>40</v>
      </c>
      <c r="I2928" t="s">
        <v>27</v>
      </c>
      <c r="J2928" t="s">
        <v>51</v>
      </c>
      <c r="K2928" t="str">
        <f>"118063"</f>
        <v>118063</v>
      </c>
    </row>
    <row r="2929" spans="1:11" x14ac:dyDescent="0.25">
      <c r="A2929">
        <v>2022</v>
      </c>
      <c r="B2929" t="s">
        <v>8227</v>
      </c>
      <c r="C2929" t="s">
        <v>8228</v>
      </c>
      <c r="D2929" t="s">
        <v>19</v>
      </c>
      <c r="E2929" t="s">
        <v>20</v>
      </c>
      <c r="F2929" t="str">
        <f>"43607"</f>
        <v>43607</v>
      </c>
      <c r="G2929" t="str">
        <f>"545075"</f>
        <v>545075</v>
      </c>
      <c r="H2929" s="2">
        <f>15</f>
        <v>15</v>
      </c>
      <c r="I2929" t="s">
        <v>27</v>
      </c>
      <c r="J2929" t="s">
        <v>31</v>
      </c>
      <c r="K2929" t="str">
        <f>"33010898"</f>
        <v>33010898</v>
      </c>
    </row>
    <row r="2930" spans="1:11" x14ac:dyDescent="0.25">
      <c r="A2930">
        <v>2022</v>
      </c>
      <c r="B2930" t="s">
        <v>8243</v>
      </c>
      <c r="C2930" t="s">
        <v>8244</v>
      </c>
      <c r="D2930" t="s">
        <v>19</v>
      </c>
      <c r="E2930" t="s">
        <v>20</v>
      </c>
      <c r="F2930" t="str">
        <f>"43605"</f>
        <v>43605</v>
      </c>
      <c r="G2930" t="str">
        <f>"545043"</f>
        <v>545043</v>
      </c>
      <c r="H2930" s="2">
        <f>41.35</f>
        <v>41.35</v>
      </c>
      <c r="I2930" t="s">
        <v>27</v>
      </c>
      <c r="J2930" t="s">
        <v>77</v>
      </c>
      <c r="K2930" t="str">
        <f>"333320"</f>
        <v>333320</v>
      </c>
    </row>
    <row r="2931" spans="1:11" x14ac:dyDescent="0.25">
      <c r="A2931">
        <v>2022</v>
      </c>
      <c r="B2931" t="s">
        <v>8272</v>
      </c>
      <c r="C2931" t="s">
        <v>8273</v>
      </c>
      <c r="D2931" t="s">
        <v>19</v>
      </c>
      <c r="E2931" t="s">
        <v>20</v>
      </c>
      <c r="F2931" t="str">
        <f>"43604"</f>
        <v>43604</v>
      </c>
      <c r="G2931" t="str">
        <f>"Je010722"</f>
        <v>Je010722</v>
      </c>
      <c r="H2931" s="2">
        <f>424</f>
        <v>424</v>
      </c>
      <c r="I2931" t="s">
        <v>15</v>
      </c>
      <c r="J2931" t="s">
        <v>90</v>
      </c>
      <c r="K2931" t="str">
        <f>"60028798"</f>
        <v>60028798</v>
      </c>
    </row>
    <row r="2932" spans="1:11" x14ac:dyDescent="0.25">
      <c r="A2932">
        <v>2022</v>
      </c>
      <c r="B2932" t="s">
        <v>8276</v>
      </c>
      <c r="C2932" t="s">
        <v>8277</v>
      </c>
      <c r="D2932" t="s">
        <v>323</v>
      </c>
      <c r="E2932" t="s">
        <v>20</v>
      </c>
      <c r="F2932" t="str">
        <f>"43571-8207"</f>
        <v>43571-8207</v>
      </c>
      <c r="G2932" t="str">
        <f>"545101"</f>
        <v>545101</v>
      </c>
      <c r="H2932" s="2">
        <f>10</f>
        <v>10</v>
      </c>
      <c r="I2932" t="s">
        <v>27</v>
      </c>
      <c r="J2932" t="s">
        <v>51</v>
      </c>
      <c r="K2932" t="str">
        <f>"116452"</f>
        <v>116452</v>
      </c>
    </row>
    <row r="2933" spans="1:11" x14ac:dyDescent="0.25">
      <c r="A2933">
        <v>2022</v>
      </c>
      <c r="B2933" t="s">
        <v>8280</v>
      </c>
      <c r="C2933" t="s">
        <v>8281</v>
      </c>
      <c r="D2933" t="s">
        <v>19</v>
      </c>
      <c r="E2933" t="s">
        <v>20</v>
      </c>
      <c r="F2933" t="str">
        <f>"43611"</f>
        <v>43611</v>
      </c>
      <c r="G2933" t="str">
        <f>"545042"</f>
        <v>545042</v>
      </c>
      <c r="H2933" s="2">
        <f>5</f>
        <v>5</v>
      </c>
      <c r="I2933" t="s">
        <v>27</v>
      </c>
      <c r="J2933" t="s">
        <v>257</v>
      </c>
      <c r="K2933" t="str">
        <f>"37891"</f>
        <v>37891</v>
      </c>
    </row>
    <row r="2934" spans="1:11" x14ac:dyDescent="0.25">
      <c r="A2934">
        <v>2022</v>
      </c>
      <c r="B2934" t="s">
        <v>8297</v>
      </c>
      <c r="C2934" t="s">
        <v>8298</v>
      </c>
      <c r="D2934" t="s">
        <v>19</v>
      </c>
      <c r="E2934" t="s">
        <v>20</v>
      </c>
      <c r="F2934" t="str">
        <f>"43612"</f>
        <v>43612</v>
      </c>
      <c r="G2934" t="str">
        <f>"545043"</f>
        <v>545043</v>
      </c>
      <c r="H2934" s="2">
        <f>1.1</f>
        <v>1.1000000000000001</v>
      </c>
      <c r="I2934" t="s">
        <v>27</v>
      </c>
      <c r="J2934" t="s">
        <v>77</v>
      </c>
      <c r="K2934" t="str">
        <f>"333217"</f>
        <v>333217</v>
      </c>
    </row>
    <row r="2935" spans="1:11" x14ac:dyDescent="0.25">
      <c r="A2935">
        <v>2022</v>
      </c>
      <c r="B2935" t="s">
        <v>8306</v>
      </c>
      <c r="C2935" t="s">
        <v>1636</v>
      </c>
      <c r="D2935" t="s">
        <v>19</v>
      </c>
      <c r="E2935" t="s">
        <v>20</v>
      </c>
      <c r="F2935" t="str">
        <f>"43604"</f>
        <v>43604</v>
      </c>
      <c r="G2935" t="str">
        <f>"545042"</f>
        <v>545042</v>
      </c>
      <c r="H2935" s="2">
        <f>18.9</f>
        <v>18.899999999999999</v>
      </c>
      <c r="I2935" t="s">
        <v>27</v>
      </c>
      <c r="J2935" t="s">
        <v>257</v>
      </c>
      <c r="K2935" t="str">
        <f>"38055"</f>
        <v>38055</v>
      </c>
    </row>
    <row r="2936" spans="1:11" x14ac:dyDescent="0.25">
      <c r="A2936">
        <v>2022</v>
      </c>
      <c r="B2936" t="s">
        <v>8311</v>
      </c>
      <c r="C2936" t="s">
        <v>8312</v>
      </c>
      <c r="D2936" t="s">
        <v>19</v>
      </c>
      <c r="E2936" t="s">
        <v>20</v>
      </c>
      <c r="F2936" t="str">
        <f>"43613-3342"</f>
        <v>43613-3342</v>
      </c>
      <c r="G2936" t="str">
        <f>"545101"</f>
        <v>545101</v>
      </c>
      <c r="H2936" s="2">
        <f>20</f>
        <v>20</v>
      </c>
      <c r="I2936" t="s">
        <v>27</v>
      </c>
      <c r="J2936" t="s">
        <v>51</v>
      </c>
      <c r="K2936" t="str">
        <f>"118209"</f>
        <v>118209</v>
      </c>
    </row>
    <row r="2937" spans="1:11" x14ac:dyDescent="0.25">
      <c r="A2937">
        <v>2022</v>
      </c>
      <c r="B2937" t="s">
        <v>8315</v>
      </c>
      <c r="C2937" t="s">
        <v>8316</v>
      </c>
      <c r="D2937" t="s">
        <v>19</v>
      </c>
      <c r="E2937" t="s">
        <v>20</v>
      </c>
      <c r="F2937" t="str">
        <f>"43614-1211"</f>
        <v>43614-1211</v>
      </c>
      <c r="G2937" t="str">
        <f>"545101"</f>
        <v>545101</v>
      </c>
      <c r="H2937" s="2">
        <f>10</f>
        <v>10</v>
      </c>
      <c r="I2937" t="s">
        <v>27</v>
      </c>
      <c r="J2937" t="s">
        <v>51</v>
      </c>
      <c r="K2937" t="str">
        <f>"117979"</f>
        <v>117979</v>
      </c>
    </row>
    <row r="2938" spans="1:11" x14ac:dyDescent="0.25">
      <c r="A2938">
        <v>2022</v>
      </c>
      <c r="B2938" t="s">
        <v>8317</v>
      </c>
      <c r="C2938" t="s">
        <v>8318</v>
      </c>
      <c r="D2938" t="s">
        <v>64</v>
      </c>
      <c r="E2938" t="s">
        <v>20</v>
      </c>
      <c r="F2938" t="str">
        <f>"43566-9755"</f>
        <v>43566-9755</v>
      </c>
      <c r="G2938" t="str">
        <f>"545101"</f>
        <v>545101</v>
      </c>
      <c r="H2938" s="2">
        <f>10</f>
        <v>10</v>
      </c>
      <c r="I2938" t="s">
        <v>27</v>
      </c>
      <c r="J2938" t="s">
        <v>51</v>
      </c>
      <c r="K2938" t="str">
        <f>"116561"</f>
        <v>116561</v>
      </c>
    </row>
    <row r="2939" spans="1:11" x14ac:dyDescent="0.25">
      <c r="A2939">
        <v>2022</v>
      </c>
      <c r="B2939" t="s">
        <v>8341</v>
      </c>
      <c r="C2939" t="s">
        <v>245</v>
      </c>
      <c r="D2939" t="s">
        <v>19</v>
      </c>
      <c r="E2939" t="s">
        <v>20</v>
      </c>
      <c r="F2939" t="str">
        <f>"43617"</f>
        <v>43617</v>
      </c>
      <c r="G2939" t="str">
        <f>"545042"</f>
        <v>545042</v>
      </c>
      <c r="H2939" s="2">
        <f>6.25</f>
        <v>6.25</v>
      </c>
      <c r="I2939" t="s">
        <v>27</v>
      </c>
      <c r="J2939" t="s">
        <v>257</v>
      </c>
      <c r="K2939" t="str">
        <f>"37337"</f>
        <v>37337</v>
      </c>
    </row>
    <row r="2940" spans="1:11" x14ac:dyDescent="0.25">
      <c r="A2940">
        <v>2022</v>
      </c>
      <c r="B2940" t="s">
        <v>8341</v>
      </c>
      <c r="C2940" t="s">
        <v>245</v>
      </c>
      <c r="D2940" t="s">
        <v>19</v>
      </c>
      <c r="E2940" t="s">
        <v>20</v>
      </c>
      <c r="F2940" t="str">
        <f>"43617"</f>
        <v>43617</v>
      </c>
      <c r="G2940" t="str">
        <f>"545042"</f>
        <v>545042</v>
      </c>
      <c r="H2940" s="2">
        <f>20</f>
        <v>20</v>
      </c>
      <c r="I2940" t="s">
        <v>27</v>
      </c>
      <c r="J2940" t="s">
        <v>257</v>
      </c>
      <c r="K2940" t="str">
        <f>"37447"</f>
        <v>37447</v>
      </c>
    </row>
    <row r="2941" spans="1:11" x14ac:dyDescent="0.25">
      <c r="A2941">
        <v>2022</v>
      </c>
      <c r="B2941" t="s">
        <v>8369</v>
      </c>
      <c r="C2941" t="s">
        <v>8370</v>
      </c>
      <c r="D2941" t="s">
        <v>50</v>
      </c>
      <c r="E2941" t="s">
        <v>20</v>
      </c>
      <c r="F2941" t="str">
        <f>"43560"</f>
        <v>43560</v>
      </c>
      <c r="G2941" t="str">
        <f>"545075"</f>
        <v>545075</v>
      </c>
      <c r="H2941" s="2">
        <f>4</f>
        <v>4</v>
      </c>
      <c r="I2941" t="s">
        <v>27</v>
      </c>
      <c r="J2941" t="s">
        <v>31</v>
      </c>
      <c r="K2941" t="str">
        <f>"22021913"</f>
        <v>22021913</v>
      </c>
    </row>
    <row r="2942" spans="1:11" x14ac:dyDescent="0.25">
      <c r="A2942">
        <v>2022</v>
      </c>
      <c r="B2942" t="s">
        <v>8379</v>
      </c>
      <c r="C2942" t="s">
        <v>6462</v>
      </c>
      <c r="D2942" t="s">
        <v>125</v>
      </c>
      <c r="E2942" t="s">
        <v>20</v>
      </c>
      <c r="F2942" t="str">
        <f>"43537-9426"</f>
        <v>43537-9426</v>
      </c>
      <c r="G2942" t="str">
        <f>"545101"</f>
        <v>545101</v>
      </c>
      <c r="H2942" s="2">
        <f>10</f>
        <v>10</v>
      </c>
      <c r="I2942" t="s">
        <v>27</v>
      </c>
      <c r="J2942" t="s">
        <v>51</v>
      </c>
      <c r="K2942" t="str">
        <f>"117493"</f>
        <v>117493</v>
      </c>
    </row>
    <row r="2943" spans="1:11" x14ac:dyDescent="0.25">
      <c r="A2943">
        <v>2022</v>
      </c>
      <c r="B2943" t="s">
        <v>8380</v>
      </c>
      <c r="C2943" t="s">
        <v>8381</v>
      </c>
      <c r="D2943" t="s">
        <v>58</v>
      </c>
      <c r="E2943" t="s">
        <v>20</v>
      </c>
      <c r="F2943" t="str">
        <f>"43616-3046"</f>
        <v>43616-3046</v>
      </c>
      <c r="G2943" t="str">
        <f>"545101"</f>
        <v>545101</v>
      </c>
      <c r="H2943" s="2">
        <f>30</f>
        <v>30</v>
      </c>
      <c r="I2943" t="s">
        <v>27</v>
      </c>
      <c r="J2943" t="s">
        <v>51</v>
      </c>
      <c r="K2943" t="str">
        <f>"116936"</f>
        <v>116936</v>
      </c>
    </row>
    <row r="2944" spans="1:11" x14ac:dyDescent="0.25">
      <c r="A2944">
        <v>2022</v>
      </c>
      <c r="B2944" t="s">
        <v>8386</v>
      </c>
      <c r="C2944" t="s">
        <v>8387</v>
      </c>
      <c r="D2944" t="s">
        <v>120</v>
      </c>
      <c r="E2944" t="s">
        <v>20</v>
      </c>
      <c r="F2944" t="str">
        <f>"43522-9300"</f>
        <v>43522-9300</v>
      </c>
      <c r="G2944" t="str">
        <f>"545101"</f>
        <v>545101</v>
      </c>
      <c r="H2944" s="2">
        <f>90</f>
        <v>90</v>
      </c>
      <c r="I2944" t="s">
        <v>27</v>
      </c>
      <c r="J2944" t="s">
        <v>51</v>
      </c>
      <c r="K2944" t="str">
        <f>"116825"</f>
        <v>116825</v>
      </c>
    </row>
    <row r="2945" spans="1:11" x14ac:dyDescent="0.25">
      <c r="A2945">
        <v>2022</v>
      </c>
      <c r="B2945" t="s">
        <v>8404</v>
      </c>
      <c r="C2945" t="s">
        <v>8405</v>
      </c>
      <c r="D2945" t="s">
        <v>8406</v>
      </c>
      <c r="E2945" t="s">
        <v>14</v>
      </c>
      <c r="F2945" t="str">
        <f>"48178"</f>
        <v>48178</v>
      </c>
      <c r="G2945" t="str">
        <f>"545075"</f>
        <v>545075</v>
      </c>
      <c r="H2945" s="2">
        <f>4</f>
        <v>4</v>
      </c>
      <c r="I2945" t="s">
        <v>27</v>
      </c>
      <c r="J2945" t="s">
        <v>31</v>
      </c>
      <c r="K2945" t="str">
        <f>"22023065"</f>
        <v>22023065</v>
      </c>
    </row>
    <row r="2946" spans="1:11" x14ac:dyDescent="0.25">
      <c r="A2946">
        <v>2022</v>
      </c>
      <c r="B2946" t="s">
        <v>8443</v>
      </c>
      <c r="C2946" t="s">
        <v>8444</v>
      </c>
      <c r="D2946" t="s">
        <v>19</v>
      </c>
      <c r="E2946" t="s">
        <v>20</v>
      </c>
      <c r="F2946" t="str">
        <f>"43614"</f>
        <v>43614</v>
      </c>
      <c r="G2946" t="str">
        <f>"Je11032022"</f>
        <v>Je11032022</v>
      </c>
      <c r="H2946" s="2">
        <f>25</f>
        <v>25</v>
      </c>
      <c r="I2946" t="s">
        <v>15</v>
      </c>
      <c r="J2946" t="s">
        <v>234</v>
      </c>
      <c r="K2946" t="str">
        <f>"60053873"</f>
        <v>60053873</v>
      </c>
    </row>
    <row r="2947" spans="1:11" x14ac:dyDescent="0.25">
      <c r="A2947">
        <v>2022</v>
      </c>
      <c r="B2947" t="s">
        <v>8453</v>
      </c>
      <c r="C2947" t="s">
        <v>8454</v>
      </c>
      <c r="D2947" t="s">
        <v>19</v>
      </c>
      <c r="E2947" t="s">
        <v>20</v>
      </c>
      <c r="F2947" t="str">
        <f>"43614-1847"</f>
        <v>43614-1847</v>
      </c>
      <c r="G2947" t="str">
        <f>"545101"</f>
        <v>545101</v>
      </c>
      <c r="H2947" s="2">
        <f>20</f>
        <v>20</v>
      </c>
      <c r="I2947" t="s">
        <v>27</v>
      </c>
      <c r="J2947" t="s">
        <v>51</v>
      </c>
      <c r="K2947" t="str">
        <f>"116368"</f>
        <v>116368</v>
      </c>
    </row>
    <row r="2948" spans="1:11" x14ac:dyDescent="0.25">
      <c r="A2948">
        <v>2022</v>
      </c>
      <c r="B2948" t="s">
        <v>8461</v>
      </c>
      <c r="C2948" t="s">
        <v>8462</v>
      </c>
      <c r="D2948" t="s">
        <v>19</v>
      </c>
      <c r="E2948" t="s">
        <v>20</v>
      </c>
      <c r="F2948" t="str">
        <f>"43623"</f>
        <v>43623</v>
      </c>
      <c r="G2948" t="str">
        <f>"Je010722"</f>
        <v>Je010722</v>
      </c>
      <c r="H2948" s="2">
        <f>16.56</f>
        <v>16.559999999999999</v>
      </c>
      <c r="I2948" t="s">
        <v>15</v>
      </c>
      <c r="J2948" t="s">
        <v>90</v>
      </c>
      <c r="K2948" t="str">
        <f>"60036012"</f>
        <v>60036012</v>
      </c>
    </row>
    <row r="2949" spans="1:11" x14ac:dyDescent="0.25">
      <c r="A2949">
        <v>2022</v>
      </c>
      <c r="B2949" t="s">
        <v>8474</v>
      </c>
      <c r="C2949" t="s">
        <v>8475</v>
      </c>
      <c r="D2949" t="s">
        <v>125</v>
      </c>
      <c r="E2949" t="s">
        <v>20</v>
      </c>
      <c r="F2949" t="str">
        <f>"43537"</f>
        <v>43537</v>
      </c>
      <c r="G2949" t="str">
        <f>"545042"</f>
        <v>545042</v>
      </c>
      <c r="H2949" s="2">
        <f>4361.9</f>
        <v>4361.8999999999996</v>
      </c>
      <c r="I2949" t="s">
        <v>27</v>
      </c>
      <c r="J2949" t="s">
        <v>257</v>
      </c>
      <c r="K2949" t="str">
        <f>"36916"</f>
        <v>36916</v>
      </c>
    </row>
    <row r="2950" spans="1:11" x14ac:dyDescent="0.25">
      <c r="A2950">
        <v>2022</v>
      </c>
      <c r="B2950" t="s">
        <v>8486</v>
      </c>
      <c r="C2950" t="s">
        <v>8487</v>
      </c>
      <c r="D2950" t="s">
        <v>1729</v>
      </c>
      <c r="E2950" t="s">
        <v>20</v>
      </c>
      <c r="F2950" t="str">
        <f>"45429"</f>
        <v>45429</v>
      </c>
      <c r="G2950" t="str">
        <f>"Je031622"</f>
        <v>Je031622</v>
      </c>
      <c r="H2950" s="2">
        <f>105.59</f>
        <v>105.59</v>
      </c>
      <c r="I2950" t="s">
        <v>15</v>
      </c>
      <c r="J2950" t="s">
        <v>117</v>
      </c>
      <c r="K2950" t="str">
        <f>"60042161"</f>
        <v>60042161</v>
      </c>
    </row>
    <row r="2951" spans="1:11" x14ac:dyDescent="0.25">
      <c r="A2951">
        <v>2022</v>
      </c>
      <c r="B2951" t="s">
        <v>8493</v>
      </c>
      <c r="C2951" t="s">
        <v>8494</v>
      </c>
      <c r="D2951" t="s">
        <v>19</v>
      </c>
      <c r="E2951" t="s">
        <v>20</v>
      </c>
      <c r="F2951" t="str">
        <f>"43608-2321"</f>
        <v>43608-2321</v>
      </c>
      <c r="G2951" t="str">
        <f>"545101"</f>
        <v>545101</v>
      </c>
      <c r="H2951" s="2">
        <f>20</f>
        <v>20</v>
      </c>
      <c r="I2951" t="s">
        <v>27</v>
      </c>
      <c r="J2951" t="s">
        <v>51</v>
      </c>
      <c r="K2951" t="str">
        <f>"117001"</f>
        <v>117001</v>
      </c>
    </row>
    <row r="2952" spans="1:11" x14ac:dyDescent="0.25">
      <c r="A2952">
        <v>2022</v>
      </c>
      <c r="B2952" t="s">
        <v>8495</v>
      </c>
      <c r="C2952" t="s">
        <v>8496</v>
      </c>
      <c r="D2952" t="s">
        <v>64</v>
      </c>
      <c r="E2952" t="s">
        <v>20</v>
      </c>
      <c r="F2952" t="str">
        <f>"43566-1112"</f>
        <v>43566-1112</v>
      </c>
      <c r="G2952" t="str">
        <f>"545101"</f>
        <v>545101</v>
      </c>
      <c r="H2952" s="2">
        <f>20</f>
        <v>20</v>
      </c>
      <c r="I2952" t="s">
        <v>27</v>
      </c>
      <c r="J2952" t="s">
        <v>51</v>
      </c>
      <c r="K2952" t="str">
        <f>"118180"</f>
        <v>118180</v>
      </c>
    </row>
    <row r="2953" spans="1:11" x14ac:dyDescent="0.25">
      <c r="A2953">
        <v>2022</v>
      </c>
      <c r="B2953" t="s">
        <v>8505</v>
      </c>
      <c r="C2953" t="s">
        <v>8506</v>
      </c>
      <c r="D2953" t="s">
        <v>19</v>
      </c>
      <c r="E2953" t="s">
        <v>20</v>
      </c>
      <c r="F2953" t="str">
        <f>"43611"</f>
        <v>43611</v>
      </c>
      <c r="G2953" t="str">
        <f>"Je11032022"</f>
        <v>Je11032022</v>
      </c>
      <c r="H2953" s="2">
        <f>25</f>
        <v>25</v>
      </c>
      <c r="I2953" t="s">
        <v>15</v>
      </c>
      <c r="J2953" t="s">
        <v>234</v>
      </c>
      <c r="K2953" t="str">
        <f>"60053875"</f>
        <v>60053875</v>
      </c>
    </row>
    <row r="2954" spans="1:11" x14ac:dyDescent="0.25">
      <c r="A2954">
        <v>2022</v>
      </c>
      <c r="B2954" t="s">
        <v>8532</v>
      </c>
      <c r="C2954" t="s">
        <v>8533</v>
      </c>
      <c r="D2954" t="s">
        <v>19</v>
      </c>
      <c r="E2954" t="s">
        <v>20</v>
      </c>
      <c r="F2954" t="str">
        <f>"43613"</f>
        <v>43613</v>
      </c>
      <c r="G2954" t="str">
        <f>"545043"</f>
        <v>545043</v>
      </c>
      <c r="H2954" s="2">
        <f>10.3</f>
        <v>10.3</v>
      </c>
      <c r="I2954" t="s">
        <v>27</v>
      </c>
      <c r="J2954" t="s">
        <v>77</v>
      </c>
      <c r="K2954" t="str">
        <f>"333650"</f>
        <v>333650</v>
      </c>
    </row>
    <row r="2955" spans="1:11" x14ac:dyDescent="0.25">
      <c r="A2955">
        <v>2022</v>
      </c>
      <c r="B2955" t="s">
        <v>8613</v>
      </c>
      <c r="C2955" t="s">
        <v>8614</v>
      </c>
      <c r="D2955" t="s">
        <v>536</v>
      </c>
      <c r="E2955" t="s">
        <v>14</v>
      </c>
      <c r="F2955" t="str">
        <f>"48162"</f>
        <v>48162</v>
      </c>
      <c r="G2955" t="str">
        <f>"545075"</f>
        <v>545075</v>
      </c>
      <c r="H2955" s="2">
        <f>10</f>
        <v>10</v>
      </c>
      <c r="I2955" t="s">
        <v>27</v>
      </c>
      <c r="J2955" t="s">
        <v>31</v>
      </c>
      <c r="K2955" t="str">
        <f>"11004060"</f>
        <v>11004060</v>
      </c>
    </row>
    <row r="2956" spans="1:11" x14ac:dyDescent="0.25">
      <c r="A2956">
        <v>2022</v>
      </c>
      <c r="B2956" t="s">
        <v>8623</v>
      </c>
      <c r="C2956" t="s">
        <v>8624</v>
      </c>
      <c r="D2956" t="s">
        <v>19</v>
      </c>
      <c r="E2956" t="s">
        <v>20</v>
      </c>
      <c r="F2956" t="str">
        <f>"43608-1857"</f>
        <v>43608-1857</v>
      </c>
      <c r="G2956" t="str">
        <f>"Je070522"</f>
        <v>Je070522</v>
      </c>
      <c r="H2956" s="2">
        <f>68</f>
        <v>68</v>
      </c>
      <c r="I2956" t="s">
        <v>15</v>
      </c>
      <c r="J2956" t="s">
        <v>207</v>
      </c>
      <c r="K2956" t="str">
        <f>"60046511"</f>
        <v>60046511</v>
      </c>
    </row>
    <row r="2957" spans="1:11" x14ac:dyDescent="0.25">
      <c r="A2957">
        <v>2022</v>
      </c>
      <c r="B2957" t="s">
        <v>8629</v>
      </c>
      <c r="C2957" t="s">
        <v>8630</v>
      </c>
      <c r="D2957" t="s">
        <v>19</v>
      </c>
      <c r="E2957" t="s">
        <v>20</v>
      </c>
      <c r="F2957" t="str">
        <f>"43615"</f>
        <v>43615</v>
      </c>
      <c r="G2957" t="str">
        <f>"Je010722"</f>
        <v>Je010722</v>
      </c>
      <c r="H2957" s="2">
        <f>210</f>
        <v>210</v>
      </c>
      <c r="I2957" t="s">
        <v>15</v>
      </c>
      <c r="J2957" t="s">
        <v>90</v>
      </c>
      <c r="K2957" t="str">
        <f>"60033297"</f>
        <v>60033297</v>
      </c>
    </row>
    <row r="2958" spans="1:11" x14ac:dyDescent="0.25">
      <c r="A2958">
        <v>2022</v>
      </c>
      <c r="B2958" t="s">
        <v>8633</v>
      </c>
      <c r="C2958" t="s">
        <v>8634</v>
      </c>
      <c r="D2958" t="s">
        <v>19</v>
      </c>
      <c r="E2958" t="s">
        <v>20</v>
      </c>
      <c r="F2958" t="str">
        <f>"43617"</f>
        <v>43617</v>
      </c>
      <c r="G2958" t="str">
        <f>"Je010722"</f>
        <v>Je010722</v>
      </c>
      <c r="H2958" s="2">
        <f>50</f>
        <v>50</v>
      </c>
      <c r="I2958" t="s">
        <v>15</v>
      </c>
      <c r="J2958" t="s">
        <v>90</v>
      </c>
      <c r="K2958" t="str">
        <f>"60033299"</f>
        <v>60033299</v>
      </c>
    </row>
    <row r="2959" spans="1:11" x14ac:dyDescent="0.25">
      <c r="A2959">
        <v>2022</v>
      </c>
      <c r="B2959" t="s">
        <v>8635</v>
      </c>
      <c r="C2959" t="s">
        <v>1718</v>
      </c>
      <c r="D2959" t="s">
        <v>105</v>
      </c>
      <c r="E2959" t="s">
        <v>20</v>
      </c>
      <c r="F2959" t="str">
        <f>"43528"</f>
        <v>43528</v>
      </c>
      <c r="G2959" t="str">
        <f>"545042"</f>
        <v>545042</v>
      </c>
      <c r="H2959" s="2">
        <f>4.12</f>
        <v>4.12</v>
      </c>
      <c r="I2959" t="s">
        <v>27</v>
      </c>
      <c r="J2959" t="s">
        <v>257</v>
      </c>
      <c r="K2959" t="str">
        <f>"37912"</f>
        <v>37912</v>
      </c>
    </row>
    <row r="2960" spans="1:11" x14ac:dyDescent="0.25">
      <c r="A2960">
        <v>2022</v>
      </c>
      <c r="B2960" t="s">
        <v>8641</v>
      </c>
      <c r="C2960" t="s">
        <v>8642</v>
      </c>
      <c r="D2960" t="s">
        <v>19</v>
      </c>
      <c r="E2960" t="s">
        <v>20</v>
      </c>
      <c r="F2960" t="str">
        <f>"43615"</f>
        <v>43615</v>
      </c>
      <c r="G2960" t="str">
        <f>"545044"</f>
        <v>545044</v>
      </c>
      <c r="H2960" s="2">
        <f>20</f>
        <v>20</v>
      </c>
      <c r="I2960" t="s">
        <v>27</v>
      </c>
      <c r="J2960" t="s">
        <v>28</v>
      </c>
      <c r="K2960" t="str">
        <f>"519320"</f>
        <v>519320</v>
      </c>
    </row>
    <row r="2961" spans="1:11" x14ac:dyDescent="0.25">
      <c r="A2961">
        <v>2022</v>
      </c>
      <c r="B2961" t="s">
        <v>8641</v>
      </c>
      <c r="C2961" t="s">
        <v>8642</v>
      </c>
      <c r="D2961" t="s">
        <v>19</v>
      </c>
      <c r="E2961" t="s">
        <v>20</v>
      </c>
      <c r="F2961" t="str">
        <f>"43615"</f>
        <v>43615</v>
      </c>
      <c r="G2961" t="str">
        <f>"545044"</f>
        <v>545044</v>
      </c>
      <c r="H2961" s="2">
        <f>20</f>
        <v>20</v>
      </c>
      <c r="I2961" t="s">
        <v>27</v>
      </c>
      <c r="J2961" t="s">
        <v>28</v>
      </c>
      <c r="K2961" t="str">
        <f>"520491"</f>
        <v>520491</v>
      </c>
    </row>
    <row r="2962" spans="1:11" x14ac:dyDescent="0.25">
      <c r="A2962">
        <v>2022</v>
      </c>
      <c r="B2962" t="s">
        <v>8651</v>
      </c>
      <c r="C2962" t="s">
        <v>8650</v>
      </c>
      <c r="D2962" t="s">
        <v>105</v>
      </c>
      <c r="E2962" t="s">
        <v>20</v>
      </c>
      <c r="F2962" t="str">
        <f>"43528"</f>
        <v>43528</v>
      </c>
      <c r="G2962" t="str">
        <f>"545075"</f>
        <v>545075</v>
      </c>
      <c r="H2962" s="2">
        <f>13.88</f>
        <v>13.88</v>
      </c>
      <c r="I2962" t="s">
        <v>27</v>
      </c>
      <c r="J2962" t="s">
        <v>31</v>
      </c>
      <c r="K2962" t="str">
        <f>"44008632"</f>
        <v>44008632</v>
      </c>
    </row>
    <row r="2963" spans="1:11" x14ac:dyDescent="0.25">
      <c r="A2963">
        <v>2022</v>
      </c>
      <c r="B2963" t="s">
        <v>8665</v>
      </c>
      <c r="C2963" t="s">
        <v>8666</v>
      </c>
      <c r="D2963" t="s">
        <v>1506</v>
      </c>
      <c r="E2963" t="s">
        <v>14</v>
      </c>
      <c r="F2963" t="str">
        <f>"48034"</f>
        <v>48034</v>
      </c>
      <c r="G2963" t="str">
        <f>"545044"</f>
        <v>545044</v>
      </c>
      <c r="H2963" s="2">
        <f>2.5</f>
        <v>2.5</v>
      </c>
      <c r="I2963" t="s">
        <v>27</v>
      </c>
      <c r="J2963" t="s">
        <v>28</v>
      </c>
      <c r="K2963" t="str">
        <f>"520503"</f>
        <v>520503</v>
      </c>
    </row>
    <row r="2964" spans="1:11" x14ac:dyDescent="0.25">
      <c r="A2964">
        <v>2022</v>
      </c>
      <c r="B2964" t="s">
        <v>8665</v>
      </c>
      <c r="C2964" t="s">
        <v>8666</v>
      </c>
      <c r="D2964" t="s">
        <v>1506</v>
      </c>
      <c r="E2964" t="s">
        <v>14</v>
      </c>
      <c r="F2964" t="str">
        <f>"48034"</f>
        <v>48034</v>
      </c>
      <c r="G2964" t="str">
        <f>"545044"</f>
        <v>545044</v>
      </c>
      <c r="H2964" s="2">
        <f>2.5</f>
        <v>2.5</v>
      </c>
      <c r="I2964" t="s">
        <v>27</v>
      </c>
      <c r="J2964" t="s">
        <v>28</v>
      </c>
      <c r="K2964" t="str">
        <f>"518577"</f>
        <v>518577</v>
      </c>
    </row>
    <row r="2965" spans="1:11" x14ac:dyDescent="0.25">
      <c r="A2965">
        <v>2022</v>
      </c>
      <c r="B2965" t="s">
        <v>8665</v>
      </c>
      <c r="C2965" t="s">
        <v>8666</v>
      </c>
      <c r="D2965" t="s">
        <v>1506</v>
      </c>
      <c r="E2965" t="s">
        <v>14</v>
      </c>
      <c r="F2965" t="str">
        <f>"48034"</f>
        <v>48034</v>
      </c>
      <c r="G2965" t="str">
        <f>"545044"</f>
        <v>545044</v>
      </c>
      <c r="H2965" s="2">
        <f>2.5</f>
        <v>2.5</v>
      </c>
      <c r="I2965" t="s">
        <v>27</v>
      </c>
      <c r="J2965" t="s">
        <v>28</v>
      </c>
      <c r="K2965" t="str">
        <f>"518830"</f>
        <v>518830</v>
      </c>
    </row>
    <row r="2966" spans="1:11" x14ac:dyDescent="0.25">
      <c r="A2966">
        <v>2022</v>
      </c>
      <c r="B2966" t="s">
        <v>8665</v>
      </c>
      <c r="C2966" t="s">
        <v>8666</v>
      </c>
      <c r="D2966" t="s">
        <v>1506</v>
      </c>
      <c r="E2966" t="s">
        <v>14</v>
      </c>
      <c r="F2966" t="str">
        <f>"48034"</f>
        <v>48034</v>
      </c>
      <c r="G2966" t="str">
        <f>"545044"</f>
        <v>545044</v>
      </c>
      <c r="H2966" s="2">
        <f>2.5</f>
        <v>2.5</v>
      </c>
      <c r="I2966" t="s">
        <v>27</v>
      </c>
      <c r="J2966" t="s">
        <v>28</v>
      </c>
      <c r="K2966" t="str">
        <f>"518344"</f>
        <v>518344</v>
      </c>
    </row>
    <row r="2967" spans="1:11" x14ac:dyDescent="0.25">
      <c r="A2967">
        <v>2022</v>
      </c>
      <c r="B2967" t="s">
        <v>8675</v>
      </c>
      <c r="C2967" t="s">
        <v>8676</v>
      </c>
      <c r="D2967" t="s">
        <v>19</v>
      </c>
      <c r="E2967" t="s">
        <v>20</v>
      </c>
      <c r="F2967" t="str">
        <f>"43614"</f>
        <v>43614</v>
      </c>
      <c r="G2967" t="str">
        <f>"545044"</f>
        <v>545044</v>
      </c>
      <c r="H2967" s="2">
        <f>3</f>
        <v>3</v>
      </c>
      <c r="I2967" t="s">
        <v>27</v>
      </c>
      <c r="J2967" t="s">
        <v>28</v>
      </c>
      <c r="K2967" t="str">
        <f>"518685"</f>
        <v>518685</v>
      </c>
    </row>
    <row r="2968" spans="1:11" x14ac:dyDescent="0.25">
      <c r="A2968">
        <v>2022</v>
      </c>
      <c r="B2968" t="s">
        <v>8687</v>
      </c>
      <c r="C2968" t="s">
        <v>8688</v>
      </c>
      <c r="D2968" t="s">
        <v>125</v>
      </c>
      <c r="E2968" t="s">
        <v>20</v>
      </c>
      <c r="F2968" t="str">
        <f>"43537-9476"</f>
        <v>43537-9476</v>
      </c>
      <c r="G2968" t="str">
        <f>"545101"</f>
        <v>545101</v>
      </c>
      <c r="H2968" s="2">
        <f>10</f>
        <v>10</v>
      </c>
      <c r="I2968" t="s">
        <v>27</v>
      </c>
      <c r="J2968" t="s">
        <v>51</v>
      </c>
      <c r="K2968" t="str">
        <f>"116525"</f>
        <v>116525</v>
      </c>
    </row>
    <row r="2969" spans="1:11" x14ac:dyDescent="0.25">
      <c r="A2969">
        <v>2022</v>
      </c>
      <c r="B2969" t="s">
        <v>8693</v>
      </c>
      <c r="C2969" t="s">
        <v>8694</v>
      </c>
      <c r="D2969" t="s">
        <v>7913</v>
      </c>
      <c r="E2969" t="s">
        <v>20</v>
      </c>
      <c r="F2969" t="str">
        <f>"43420"</f>
        <v>43420</v>
      </c>
      <c r="G2969" t="str">
        <f>"Je010722"</f>
        <v>Je010722</v>
      </c>
      <c r="H2969" s="2">
        <f>265</f>
        <v>265</v>
      </c>
      <c r="I2969" t="s">
        <v>15</v>
      </c>
      <c r="J2969" t="s">
        <v>90</v>
      </c>
      <c r="K2969" t="str">
        <f>"60033326"</f>
        <v>60033326</v>
      </c>
    </row>
    <row r="2970" spans="1:11" x14ac:dyDescent="0.25">
      <c r="A2970">
        <v>2022</v>
      </c>
      <c r="B2970" t="s">
        <v>8697</v>
      </c>
      <c r="C2970" t="s">
        <v>8698</v>
      </c>
      <c r="D2970" t="s">
        <v>105</v>
      </c>
      <c r="E2970" t="s">
        <v>20</v>
      </c>
      <c r="F2970" t="str">
        <f>"43528"</f>
        <v>43528</v>
      </c>
      <c r="G2970" t="str">
        <f>"545044"</f>
        <v>545044</v>
      </c>
      <c r="H2970" s="2">
        <f>250</f>
        <v>250</v>
      </c>
      <c r="I2970" t="s">
        <v>27</v>
      </c>
      <c r="J2970" t="s">
        <v>28</v>
      </c>
      <c r="K2970" t="str">
        <f>"519042"</f>
        <v>519042</v>
      </c>
    </row>
    <row r="2971" spans="1:11" x14ac:dyDescent="0.25">
      <c r="A2971">
        <v>2022</v>
      </c>
      <c r="B2971" t="s">
        <v>8697</v>
      </c>
      <c r="C2971" t="s">
        <v>8698</v>
      </c>
      <c r="D2971" t="s">
        <v>105</v>
      </c>
      <c r="E2971" t="s">
        <v>20</v>
      </c>
      <c r="F2971" t="str">
        <f>"43528"</f>
        <v>43528</v>
      </c>
      <c r="G2971" t="str">
        <f>"545044"</f>
        <v>545044</v>
      </c>
      <c r="H2971" s="2">
        <f>250</f>
        <v>250</v>
      </c>
      <c r="I2971" t="s">
        <v>27</v>
      </c>
      <c r="J2971" t="s">
        <v>28</v>
      </c>
      <c r="K2971" t="str">
        <f>"520347"</f>
        <v>520347</v>
      </c>
    </row>
    <row r="2972" spans="1:11" x14ac:dyDescent="0.25">
      <c r="A2972">
        <v>2022</v>
      </c>
      <c r="B2972" t="s">
        <v>8711</v>
      </c>
      <c r="C2972" t="s">
        <v>8712</v>
      </c>
      <c r="D2972" t="s">
        <v>19</v>
      </c>
      <c r="E2972" t="s">
        <v>20</v>
      </c>
      <c r="F2972" t="str">
        <f>"43604-8356"</f>
        <v>43604-8356</v>
      </c>
      <c r="G2972" t="str">
        <f>"Je070522"</f>
        <v>Je070522</v>
      </c>
      <c r="H2972" s="2">
        <f>36.8</f>
        <v>36.799999999999997</v>
      </c>
      <c r="I2972" t="s">
        <v>15</v>
      </c>
      <c r="J2972" t="s">
        <v>207</v>
      </c>
      <c r="K2972" t="str">
        <f>"60045809"</f>
        <v>60045809</v>
      </c>
    </row>
    <row r="2973" spans="1:11" x14ac:dyDescent="0.25">
      <c r="A2973">
        <v>2022</v>
      </c>
      <c r="B2973" t="s">
        <v>8729</v>
      </c>
      <c r="C2973" t="s">
        <v>8730</v>
      </c>
      <c r="D2973" t="s">
        <v>8731</v>
      </c>
      <c r="E2973" t="s">
        <v>2122</v>
      </c>
      <c r="F2973" t="str">
        <f>"27610"</f>
        <v>27610</v>
      </c>
      <c r="G2973" t="str">
        <f>"545075"</f>
        <v>545075</v>
      </c>
      <c r="H2973" s="2">
        <f>1</f>
        <v>1</v>
      </c>
      <c r="I2973" t="s">
        <v>27</v>
      </c>
      <c r="J2973" t="s">
        <v>31</v>
      </c>
      <c r="K2973" t="str">
        <f>"33010992"</f>
        <v>33010992</v>
      </c>
    </row>
    <row r="2974" spans="1:11" x14ac:dyDescent="0.25">
      <c r="A2974">
        <v>2022</v>
      </c>
      <c r="B2974" t="s">
        <v>8750</v>
      </c>
      <c r="C2974" t="s">
        <v>8751</v>
      </c>
      <c r="D2974" t="s">
        <v>111</v>
      </c>
      <c r="E2974" t="s">
        <v>20</v>
      </c>
      <c r="F2974" t="str">
        <f>"43219"</f>
        <v>43219</v>
      </c>
      <c r="G2974" t="str">
        <f>"545042"</f>
        <v>545042</v>
      </c>
      <c r="H2974" s="2">
        <f>3.51</f>
        <v>3.51</v>
      </c>
      <c r="I2974" t="s">
        <v>27</v>
      </c>
      <c r="J2974" t="s">
        <v>257</v>
      </c>
      <c r="K2974" t="str">
        <f>"36652"</f>
        <v>36652</v>
      </c>
    </row>
    <row r="2975" spans="1:11" x14ac:dyDescent="0.25">
      <c r="A2975">
        <v>2022</v>
      </c>
      <c r="B2975" t="s">
        <v>8757</v>
      </c>
      <c r="C2975" t="s">
        <v>8758</v>
      </c>
      <c r="D2975" t="s">
        <v>8759</v>
      </c>
      <c r="E2975" t="s">
        <v>923</v>
      </c>
      <c r="F2975" t="str">
        <f>"91362-9507"</f>
        <v>91362-9507</v>
      </c>
      <c r="G2975" t="str">
        <f>"Je031622"</f>
        <v>Je031622</v>
      </c>
      <c r="H2975" s="2">
        <f>304.76</f>
        <v>304.76</v>
      </c>
      <c r="I2975" t="s">
        <v>15</v>
      </c>
      <c r="J2975" t="s">
        <v>117</v>
      </c>
      <c r="K2975" t="str">
        <f>"60043316"</f>
        <v>60043316</v>
      </c>
    </row>
    <row r="2976" spans="1:11" x14ac:dyDescent="0.25">
      <c r="A2976">
        <v>2022</v>
      </c>
      <c r="B2976" t="s">
        <v>8785</v>
      </c>
      <c r="C2976" t="s">
        <v>8786</v>
      </c>
      <c r="D2976" t="s">
        <v>422</v>
      </c>
      <c r="E2976" t="s">
        <v>20</v>
      </c>
      <c r="F2976" t="str">
        <f>"44113"</f>
        <v>44113</v>
      </c>
      <c r="G2976" t="str">
        <f>"545042"</f>
        <v>545042</v>
      </c>
      <c r="H2976" s="2">
        <f>35.95</f>
        <v>35.950000000000003</v>
      </c>
      <c r="I2976" t="s">
        <v>27</v>
      </c>
      <c r="J2976" t="s">
        <v>257</v>
      </c>
      <c r="K2976" t="str">
        <f>"38423"</f>
        <v>38423</v>
      </c>
    </row>
    <row r="2977" spans="1:11" x14ac:dyDescent="0.25">
      <c r="A2977">
        <v>2022</v>
      </c>
      <c r="B2977" t="s">
        <v>8803</v>
      </c>
      <c r="C2977" t="s">
        <v>8804</v>
      </c>
      <c r="D2977" t="s">
        <v>7507</v>
      </c>
      <c r="E2977" t="s">
        <v>462</v>
      </c>
      <c r="F2977" t="str">
        <f>"33759"</f>
        <v>33759</v>
      </c>
      <c r="G2977" t="str">
        <f>"545075"</f>
        <v>545075</v>
      </c>
      <c r="H2977" s="2">
        <f>10</f>
        <v>10</v>
      </c>
      <c r="I2977" t="s">
        <v>27</v>
      </c>
      <c r="J2977" t="s">
        <v>31</v>
      </c>
      <c r="K2977" t="str">
        <f>"33011103"</f>
        <v>33011103</v>
      </c>
    </row>
    <row r="2978" spans="1:11" x14ac:dyDescent="0.25">
      <c r="A2978">
        <v>2022</v>
      </c>
      <c r="B2978" t="s">
        <v>8845</v>
      </c>
      <c r="C2978" t="s">
        <v>8846</v>
      </c>
      <c r="D2978" t="s">
        <v>50</v>
      </c>
      <c r="E2978" t="s">
        <v>20</v>
      </c>
      <c r="F2978" t="str">
        <f>"43560-2017"</f>
        <v>43560-2017</v>
      </c>
      <c r="G2978" t="str">
        <f>"545101"</f>
        <v>545101</v>
      </c>
      <c r="H2978" s="2">
        <f>10</f>
        <v>10</v>
      </c>
      <c r="I2978" t="s">
        <v>27</v>
      </c>
      <c r="J2978" t="s">
        <v>51</v>
      </c>
      <c r="K2978" t="str">
        <f>"116691"</f>
        <v>116691</v>
      </c>
    </row>
    <row r="2979" spans="1:11" x14ac:dyDescent="0.25">
      <c r="A2979">
        <v>2022</v>
      </c>
      <c r="B2979" t="s">
        <v>8851</v>
      </c>
      <c r="C2979" t="s">
        <v>8852</v>
      </c>
      <c r="D2979" t="s">
        <v>383</v>
      </c>
      <c r="E2979" t="s">
        <v>20</v>
      </c>
      <c r="F2979" t="str">
        <f>"44320"</f>
        <v>44320</v>
      </c>
      <c r="G2979" t="str">
        <f>"545042"</f>
        <v>545042</v>
      </c>
      <c r="H2979" s="2">
        <f>3.44</f>
        <v>3.44</v>
      </c>
      <c r="I2979" t="s">
        <v>27</v>
      </c>
      <c r="J2979" t="s">
        <v>257</v>
      </c>
      <c r="K2979" t="str">
        <f>"36322"</f>
        <v>36322</v>
      </c>
    </row>
    <row r="2980" spans="1:11" x14ac:dyDescent="0.25">
      <c r="A2980">
        <v>2022</v>
      </c>
      <c r="B2980" t="s">
        <v>8864</v>
      </c>
      <c r="C2980" t="s">
        <v>8865</v>
      </c>
      <c r="D2980" t="s">
        <v>19</v>
      </c>
      <c r="E2980" t="s">
        <v>20</v>
      </c>
      <c r="F2980" t="str">
        <f>"43607-2229"</f>
        <v>43607-2229</v>
      </c>
      <c r="G2980" t="str">
        <f>"545101"</f>
        <v>545101</v>
      </c>
      <c r="H2980" s="2">
        <f>10</f>
        <v>10</v>
      </c>
      <c r="I2980" t="s">
        <v>27</v>
      </c>
      <c r="J2980" t="s">
        <v>51</v>
      </c>
      <c r="K2980" t="str">
        <f>"117848"</f>
        <v>117848</v>
      </c>
    </row>
    <row r="2981" spans="1:11" x14ac:dyDescent="0.25">
      <c r="A2981">
        <v>2022</v>
      </c>
      <c r="B2981" t="s">
        <v>8871</v>
      </c>
      <c r="C2981" t="s">
        <v>8872</v>
      </c>
      <c r="D2981" t="s">
        <v>105</v>
      </c>
      <c r="E2981" t="s">
        <v>20</v>
      </c>
      <c r="F2981" t="str">
        <f>"43528-7917"</f>
        <v>43528-7917</v>
      </c>
      <c r="G2981" t="str">
        <f>"545101"</f>
        <v>545101</v>
      </c>
      <c r="H2981" s="2">
        <f>10</f>
        <v>10</v>
      </c>
      <c r="I2981" t="s">
        <v>27</v>
      </c>
      <c r="J2981" t="s">
        <v>51</v>
      </c>
      <c r="K2981" t="str">
        <f>"116801"</f>
        <v>116801</v>
      </c>
    </row>
    <row r="2982" spans="1:11" x14ac:dyDescent="0.25">
      <c r="A2982">
        <v>2022</v>
      </c>
      <c r="B2982" t="s">
        <v>8877</v>
      </c>
      <c r="C2982" t="s">
        <v>8878</v>
      </c>
      <c r="D2982" t="s">
        <v>8879</v>
      </c>
      <c r="E2982" t="s">
        <v>1341</v>
      </c>
      <c r="F2982" t="str">
        <f>"78945"</f>
        <v>78945</v>
      </c>
      <c r="G2982" t="str">
        <f>"Je010722"</f>
        <v>Je010722</v>
      </c>
      <c r="H2982" s="2">
        <f>105.59</f>
        <v>105.59</v>
      </c>
      <c r="I2982" t="s">
        <v>15</v>
      </c>
      <c r="J2982" t="s">
        <v>90</v>
      </c>
      <c r="K2982" t="str">
        <f>"60029484"</f>
        <v>60029484</v>
      </c>
    </row>
    <row r="2983" spans="1:11" x14ac:dyDescent="0.25">
      <c r="A2983">
        <v>2022</v>
      </c>
      <c r="B2983" t="s">
        <v>8877</v>
      </c>
      <c r="C2983" t="s">
        <v>8880</v>
      </c>
      <c r="D2983" t="s">
        <v>8879</v>
      </c>
      <c r="E2983" t="s">
        <v>1341</v>
      </c>
      <c r="F2983" t="str">
        <f>"78945"</f>
        <v>78945</v>
      </c>
      <c r="G2983" t="str">
        <f>"Je031622"</f>
        <v>Je031622</v>
      </c>
      <c r="H2983" s="2">
        <f>105.59</f>
        <v>105.59</v>
      </c>
      <c r="I2983" t="s">
        <v>15</v>
      </c>
      <c r="J2983" t="s">
        <v>117</v>
      </c>
      <c r="K2983" t="str">
        <f>"60042183"</f>
        <v>60042183</v>
      </c>
    </row>
    <row r="2984" spans="1:11" x14ac:dyDescent="0.25">
      <c r="A2984">
        <v>2022</v>
      </c>
      <c r="B2984" t="s">
        <v>8877</v>
      </c>
      <c r="C2984" t="s">
        <v>8880</v>
      </c>
      <c r="D2984" t="s">
        <v>8879</v>
      </c>
      <c r="E2984" t="s">
        <v>1341</v>
      </c>
      <c r="F2984" t="str">
        <f>"78945"</f>
        <v>78945</v>
      </c>
      <c r="G2984" t="str">
        <f>"Je031622"</f>
        <v>Je031622</v>
      </c>
      <c r="H2984" s="2">
        <f>105.59</f>
        <v>105.59</v>
      </c>
      <c r="I2984" t="s">
        <v>15</v>
      </c>
      <c r="J2984" t="s">
        <v>117</v>
      </c>
      <c r="K2984" t="str">
        <f>"60039832"</f>
        <v>60039832</v>
      </c>
    </row>
    <row r="2985" spans="1:11" x14ac:dyDescent="0.25">
      <c r="A2985">
        <v>2022</v>
      </c>
      <c r="B2985" t="s">
        <v>8883</v>
      </c>
      <c r="C2985" t="s">
        <v>8884</v>
      </c>
      <c r="D2985" t="s">
        <v>1729</v>
      </c>
      <c r="E2985" t="s">
        <v>20</v>
      </c>
      <c r="F2985" t="str">
        <f>"45414"</f>
        <v>45414</v>
      </c>
      <c r="G2985" t="str">
        <f>"Je010722"</f>
        <v>Je010722</v>
      </c>
      <c r="H2985" s="2">
        <f>75.42</f>
        <v>75.42</v>
      </c>
      <c r="I2985" t="s">
        <v>15</v>
      </c>
      <c r="J2985" t="s">
        <v>90</v>
      </c>
      <c r="K2985" t="str">
        <f>"60029485"</f>
        <v>60029485</v>
      </c>
    </row>
    <row r="2986" spans="1:11" x14ac:dyDescent="0.25">
      <c r="A2986">
        <v>2022</v>
      </c>
      <c r="B2986" t="s">
        <v>8883</v>
      </c>
      <c r="C2986" t="s">
        <v>8884</v>
      </c>
      <c r="D2986" t="s">
        <v>1729</v>
      </c>
      <c r="E2986" t="s">
        <v>20</v>
      </c>
      <c r="F2986" t="str">
        <f>"45414"</f>
        <v>45414</v>
      </c>
      <c r="G2986" t="str">
        <f>"Je031622"</f>
        <v>Je031622</v>
      </c>
      <c r="H2986" s="2">
        <f>75.42</f>
        <v>75.42</v>
      </c>
      <c r="I2986" t="s">
        <v>15</v>
      </c>
      <c r="J2986" t="s">
        <v>117</v>
      </c>
      <c r="K2986" t="str">
        <f>"60037263"</f>
        <v>60037263</v>
      </c>
    </row>
    <row r="2987" spans="1:11" x14ac:dyDescent="0.25">
      <c r="A2987">
        <v>2022</v>
      </c>
      <c r="B2987" t="s">
        <v>8888</v>
      </c>
      <c r="C2987" t="s">
        <v>8889</v>
      </c>
      <c r="D2987" t="s">
        <v>19</v>
      </c>
      <c r="E2987" t="s">
        <v>20</v>
      </c>
      <c r="F2987" t="str">
        <f>"43617"</f>
        <v>43617</v>
      </c>
      <c r="G2987" t="str">
        <f>"545042"</f>
        <v>545042</v>
      </c>
      <c r="H2987" s="2">
        <f>4.1</f>
        <v>4.0999999999999996</v>
      </c>
      <c r="I2987" t="s">
        <v>27</v>
      </c>
      <c r="J2987" t="s">
        <v>257</v>
      </c>
      <c r="K2987" t="str">
        <f>"37025"</f>
        <v>37025</v>
      </c>
    </row>
    <row r="2988" spans="1:11" x14ac:dyDescent="0.25">
      <c r="A2988">
        <v>2022</v>
      </c>
      <c r="B2988" t="s">
        <v>8910</v>
      </c>
      <c r="C2988" t="s">
        <v>8911</v>
      </c>
      <c r="D2988" t="s">
        <v>19</v>
      </c>
      <c r="E2988" t="s">
        <v>20</v>
      </c>
      <c r="F2988" t="str">
        <f>"43614"</f>
        <v>43614</v>
      </c>
      <c r="G2988" t="str">
        <f>"545043"</f>
        <v>545043</v>
      </c>
      <c r="H2988" s="2">
        <f>6</f>
        <v>6</v>
      </c>
      <c r="I2988" t="s">
        <v>27</v>
      </c>
      <c r="J2988" t="s">
        <v>77</v>
      </c>
      <c r="K2988" t="str">
        <f>"332861"</f>
        <v>332861</v>
      </c>
    </row>
    <row r="2989" spans="1:11" x14ac:dyDescent="0.25">
      <c r="A2989">
        <v>2022</v>
      </c>
      <c r="B2989" t="s">
        <v>8918</v>
      </c>
      <c r="C2989" t="s">
        <v>895</v>
      </c>
      <c r="F2989" t="str">
        <f>""</f>
        <v/>
      </c>
      <c r="G2989" t="str">
        <f>"Je11032022"</f>
        <v>Je11032022</v>
      </c>
      <c r="H2989" s="2">
        <f>41.88</f>
        <v>41.88</v>
      </c>
      <c r="I2989" t="s">
        <v>15</v>
      </c>
      <c r="J2989" t="s">
        <v>234</v>
      </c>
      <c r="K2989" t="str">
        <f>"60055521"</f>
        <v>60055521</v>
      </c>
    </row>
    <row r="2990" spans="1:11" x14ac:dyDescent="0.25">
      <c r="A2990">
        <v>2022</v>
      </c>
      <c r="B2990" t="s">
        <v>8929</v>
      </c>
      <c r="C2990" t="s">
        <v>8930</v>
      </c>
      <c r="D2990" t="s">
        <v>19</v>
      </c>
      <c r="E2990" t="s">
        <v>20</v>
      </c>
      <c r="F2990" t="str">
        <f>"43605-1120"</f>
        <v>43605-1120</v>
      </c>
      <c r="G2990" t="str">
        <f>"545101"</f>
        <v>545101</v>
      </c>
      <c r="H2990" s="2">
        <f>20</f>
        <v>20</v>
      </c>
      <c r="I2990" t="s">
        <v>27</v>
      </c>
      <c r="J2990" t="s">
        <v>51</v>
      </c>
      <c r="K2990" t="str">
        <f>"118046"</f>
        <v>118046</v>
      </c>
    </row>
    <row r="2991" spans="1:11" x14ac:dyDescent="0.25">
      <c r="A2991">
        <v>2022</v>
      </c>
      <c r="B2991" t="s">
        <v>8950</v>
      </c>
      <c r="C2991" t="s">
        <v>8951</v>
      </c>
      <c r="D2991" t="s">
        <v>19</v>
      </c>
      <c r="E2991" t="s">
        <v>20</v>
      </c>
      <c r="F2991" t="str">
        <f>"43611"</f>
        <v>43611</v>
      </c>
      <c r="G2991" t="str">
        <f>"545075"</f>
        <v>545075</v>
      </c>
      <c r="H2991" s="2">
        <f>5.13</f>
        <v>5.13</v>
      </c>
      <c r="I2991" t="s">
        <v>27</v>
      </c>
      <c r="J2991" t="s">
        <v>31</v>
      </c>
      <c r="K2991" t="str">
        <f>"44008656"</f>
        <v>44008656</v>
      </c>
    </row>
    <row r="2992" spans="1:11" x14ac:dyDescent="0.25">
      <c r="A2992">
        <v>2022</v>
      </c>
      <c r="B2992" t="s">
        <v>8950</v>
      </c>
      <c r="C2992" t="s">
        <v>8952</v>
      </c>
      <c r="D2992" t="s">
        <v>19</v>
      </c>
      <c r="E2992" t="s">
        <v>20</v>
      </c>
      <c r="F2992" t="str">
        <f>"43611"</f>
        <v>43611</v>
      </c>
      <c r="G2992" t="str">
        <f>"545075"</f>
        <v>545075</v>
      </c>
      <c r="H2992" s="2">
        <f>15.01</f>
        <v>15.01</v>
      </c>
      <c r="I2992" t="s">
        <v>27</v>
      </c>
      <c r="J2992" t="s">
        <v>31</v>
      </c>
      <c r="K2992" t="str">
        <f>"22021917"</f>
        <v>22021917</v>
      </c>
    </row>
    <row r="2993" spans="1:11" x14ac:dyDescent="0.25">
      <c r="A2993">
        <v>2022</v>
      </c>
      <c r="B2993" t="s">
        <v>8957</v>
      </c>
      <c r="C2993" t="s">
        <v>8958</v>
      </c>
      <c r="D2993" t="s">
        <v>125</v>
      </c>
      <c r="E2993" t="s">
        <v>20</v>
      </c>
      <c r="F2993" t="str">
        <f>"43537"</f>
        <v>43537</v>
      </c>
      <c r="G2993" t="str">
        <f>"Je010722"</f>
        <v>Je010722</v>
      </c>
      <c r="H2993" s="2">
        <f>15</f>
        <v>15</v>
      </c>
      <c r="I2993" t="s">
        <v>15</v>
      </c>
      <c r="J2993" t="s">
        <v>90</v>
      </c>
      <c r="K2993" t="str">
        <f>"60033347"</f>
        <v>60033347</v>
      </c>
    </row>
    <row r="2994" spans="1:11" x14ac:dyDescent="0.25">
      <c r="A2994">
        <v>2022</v>
      </c>
      <c r="B2994" t="s">
        <v>8973</v>
      </c>
      <c r="C2994" t="s">
        <v>8974</v>
      </c>
      <c r="D2994" t="s">
        <v>164</v>
      </c>
      <c r="E2994" t="s">
        <v>20</v>
      </c>
      <c r="F2994" t="str">
        <f>"43558"</f>
        <v>43558</v>
      </c>
      <c r="G2994" t="str">
        <f>"545075"</f>
        <v>545075</v>
      </c>
      <c r="H2994" s="2">
        <f>71.95</f>
        <v>71.95</v>
      </c>
      <c r="I2994" t="s">
        <v>27</v>
      </c>
      <c r="J2994" t="s">
        <v>31</v>
      </c>
      <c r="K2994" t="str">
        <f>"22023281"</f>
        <v>22023281</v>
      </c>
    </row>
    <row r="2995" spans="1:11" x14ac:dyDescent="0.25">
      <c r="A2995">
        <v>2022</v>
      </c>
      <c r="B2995" t="s">
        <v>8995</v>
      </c>
      <c r="C2995" t="s">
        <v>8996</v>
      </c>
      <c r="D2995" t="s">
        <v>19</v>
      </c>
      <c r="E2995" t="s">
        <v>20</v>
      </c>
      <c r="F2995" t="str">
        <f>"43607"</f>
        <v>43607</v>
      </c>
      <c r="G2995" t="str">
        <f>"Je031622"</f>
        <v>Je031622</v>
      </c>
      <c r="H2995" s="2">
        <f>25</f>
        <v>25</v>
      </c>
      <c r="I2995" t="s">
        <v>15</v>
      </c>
      <c r="J2995" t="s">
        <v>117</v>
      </c>
      <c r="K2995" t="str">
        <f>"60038534"</f>
        <v>60038534</v>
      </c>
    </row>
    <row r="2996" spans="1:11" x14ac:dyDescent="0.25">
      <c r="A2996">
        <v>2022</v>
      </c>
      <c r="B2996" t="s">
        <v>9001</v>
      </c>
      <c r="C2996" t="s">
        <v>9004</v>
      </c>
      <c r="D2996" t="s">
        <v>9003</v>
      </c>
      <c r="E2996" t="s">
        <v>20</v>
      </c>
      <c r="F2996" t="str">
        <f>"44512-1633"</f>
        <v>44512-1633</v>
      </c>
      <c r="G2996" t="str">
        <f>"Je11032022"</f>
        <v>Je11032022</v>
      </c>
      <c r="H2996" s="2">
        <f>125</f>
        <v>125</v>
      </c>
      <c r="I2996" t="s">
        <v>15</v>
      </c>
      <c r="J2996" t="s">
        <v>234</v>
      </c>
      <c r="K2996" t="str">
        <f>"60055940"</f>
        <v>60055940</v>
      </c>
    </row>
    <row r="2997" spans="1:11" x14ac:dyDescent="0.25">
      <c r="A2997">
        <v>2022</v>
      </c>
      <c r="B2997" t="s">
        <v>9014</v>
      </c>
      <c r="C2997" t="s">
        <v>9015</v>
      </c>
      <c r="D2997" t="s">
        <v>9016</v>
      </c>
      <c r="E2997" t="s">
        <v>923</v>
      </c>
      <c r="F2997" t="str">
        <f>"95161-9370"</f>
        <v>95161-9370</v>
      </c>
      <c r="G2997" t="str">
        <f>"Je010722"</f>
        <v>Je010722</v>
      </c>
      <c r="H2997" s="2">
        <f>14.48</f>
        <v>14.48</v>
      </c>
      <c r="I2997" t="s">
        <v>15</v>
      </c>
      <c r="J2997" t="s">
        <v>90</v>
      </c>
      <c r="K2997" t="str">
        <f>"60030243"</f>
        <v>60030243</v>
      </c>
    </row>
    <row r="2998" spans="1:11" x14ac:dyDescent="0.25">
      <c r="A2998">
        <v>2022</v>
      </c>
      <c r="B2998" t="s">
        <v>9022</v>
      </c>
      <c r="C2998" t="s">
        <v>9023</v>
      </c>
      <c r="D2998" t="s">
        <v>9024</v>
      </c>
      <c r="E2998" t="s">
        <v>20</v>
      </c>
      <c r="F2998" t="str">
        <f>"43026-9849"</f>
        <v>43026-9849</v>
      </c>
      <c r="G2998" t="str">
        <f>"Je11032022"</f>
        <v>Je11032022</v>
      </c>
      <c r="H2998" s="2">
        <f>325.9</f>
        <v>325.89999999999998</v>
      </c>
      <c r="I2998" t="s">
        <v>15</v>
      </c>
      <c r="J2998" t="s">
        <v>234</v>
      </c>
      <c r="K2998" t="str">
        <f>"60055605"</f>
        <v>60055605</v>
      </c>
    </row>
    <row r="2999" spans="1:11" x14ac:dyDescent="0.25">
      <c r="A2999">
        <v>2022</v>
      </c>
      <c r="B2999" t="s">
        <v>9028</v>
      </c>
      <c r="C2999" t="s">
        <v>9029</v>
      </c>
      <c r="D2999" t="s">
        <v>9030</v>
      </c>
      <c r="E2999" t="s">
        <v>20</v>
      </c>
      <c r="F2999" t="str">
        <f>"44130"</f>
        <v>44130</v>
      </c>
      <c r="G2999" t="str">
        <f>"545042"</f>
        <v>545042</v>
      </c>
      <c r="H2999" s="2">
        <f>41.75</f>
        <v>41.75</v>
      </c>
      <c r="I2999" t="s">
        <v>27</v>
      </c>
      <c r="J2999" t="s">
        <v>257</v>
      </c>
      <c r="K2999" t="str">
        <f>"37167"</f>
        <v>37167</v>
      </c>
    </row>
    <row r="3000" spans="1:11" x14ac:dyDescent="0.25">
      <c r="A3000">
        <v>2022</v>
      </c>
      <c r="B3000" t="s">
        <v>9059</v>
      </c>
      <c r="C3000" t="s">
        <v>9060</v>
      </c>
      <c r="D3000" t="s">
        <v>19</v>
      </c>
      <c r="E3000" t="s">
        <v>20</v>
      </c>
      <c r="F3000" t="str">
        <f>"43604"</f>
        <v>43604</v>
      </c>
      <c r="G3000" t="str">
        <f>"545043"</f>
        <v>545043</v>
      </c>
      <c r="H3000" s="2">
        <f>6.4</f>
        <v>6.4</v>
      </c>
      <c r="I3000" t="s">
        <v>27</v>
      </c>
      <c r="J3000" t="s">
        <v>77</v>
      </c>
      <c r="K3000" t="str">
        <f>"333347"</f>
        <v>333347</v>
      </c>
    </row>
    <row r="3001" spans="1:11" x14ac:dyDescent="0.25">
      <c r="A3001">
        <v>2022</v>
      </c>
      <c r="B3001" t="s">
        <v>9059</v>
      </c>
      <c r="C3001" t="s">
        <v>9060</v>
      </c>
      <c r="D3001" t="s">
        <v>19</v>
      </c>
      <c r="E3001" t="s">
        <v>20</v>
      </c>
      <c r="F3001" t="str">
        <f>"43604"</f>
        <v>43604</v>
      </c>
      <c r="G3001" t="str">
        <f>"545043"</f>
        <v>545043</v>
      </c>
      <c r="H3001" s="2">
        <f>3.09</f>
        <v>3.09</v>
      </c>
      <c r="I3001" t="s">
        <v>27</v>
      </c>
      <c r="J3001" t="s">
        <v>77</v>
      </c>
      <c r="K3001" t="str">
        <f>"332660"</f>
        <v>332660</v>
      </c>
    </row>
    <row r="3002" spans="1:11" x14ac:dyDescent="0.25">
      <c r="A3002">
        <v>2022</v>
      </c>
      <c r="B3002" t="s">
        <v>9087</v>
      </c>
      <c r="C3002" t="s">
        <v>9088</v>
      </c>
      <c r="D3002" t="s">
        <v>9089</v>
      </c>
      <c r="E3002" t="s">
        <v>1664</v>
      </c>
      <c r="F3002" t="str">
        <f>"22303"</f>
        <v>22303</v>
      </c>
      <c r="G3002" t="str">
        <f>"545075"</f>
        <v>545075</v>
      </c>
      <c r="H3002" s="2">
        <f>63.68</f>
        <v>63.68</v>
      </c>
      <c r="I3002" t="s">
        <v>27</v>
      </c>
      <c r="J3002" t="s">
        <v>31</v>
      </c>
      <c r="K3002" t="str">
        <f>"11003765"</f>
        <v>11003765</v>
      </c>
    </row>
    <row r="3003" spans="1:11" x14ac:dyDescent="0.25">
      <c r="A3003">
        <v>2022</v>
      </c>
      <c r="B3003" t="s">
        <v>9092</v>
      </c>
      <c r="C3003" t="s">
        <v>9093</v>
      </c>
      <c r="D3003" t="s">
        <v>125</v>
      </c>
      <c r="E3003" t="s">
        <v>20</v>
      </c>
      <c r="F3003" t="str">
        <f>"43537"</f>
        <v>43537</v>
      </c>
      <c r="G3003" t="str">
        <f>"545044"</f>
        <v>545044</v>
      </c>
      <c r="H3003" s="2">
        <f>50</f>
        <v>50</v>
      </c>
      <c r="I3003" t="s">
        <v>27</v>
      </c>
      <c r="J3003" t="s">
        <v>28</v>
      </c>
      <c r="K3003" t="str">
        <f>"519784"</f>
        <v>519784</v>
      </c>
    </row>
    <row r="3004" spans="1:11" x14ac:dyDescent="0.25">
      <c r="A3004">
        <v>2022</v>
      </c>
      <c r="B3004" t="s">
        <v>9110</v>
      </c>
      <c r="C3004" t="s">
        <v>9111</v>
      </c>
      <c r="D3004" t="s">
        <v>19</v>
      </c>
      <c r="E3004" t="s">
        <v>20</v>
      </c>
      <c r="F3004" t="str">
        <f>"43612"</f>
        <v>43612</v>
      </c>
      <c r="G3004" t="str">
        <f>"545044"</f>
        <v>545044</v>
      </c>
      <c r="H3004" s="2">
        <f>50</f>
        <v>50</v>
      </c>
      <c r="I3004" t="s">
        <v>27</v>
      </c>
      <c r="J3004" t="s">
        <v>28</v>
      </c>
      <c r="K3004" t="str">
        <f>"520311"</f>
        <v>520311</v>
      </c>
    </row>
    <row r="3005" spans="1:11" x14ac:dyDescent="0.25">
      <c r="A3005">
        <v>2022</v>
      </c>
      <c r="B3005" t="s">
        <v>9110</v>
      </c>
      <c r="C3005" t="s">
        <v>9111</v>
      </c>
      <c r="D3005" t="s">
        <v>19</v>
      </c>
      <c r="E3005" t="s">
        <v>20</v>
      </c>
      <c r="F3005" t="str">
        <f>"43612"</f>
        <v>43612</v>
      </c>
      <c r="G3005" t="str">
        <f>"545044"</f>
        <v>545044</v>
      </c>
      <c r="H3005" s="2">
        <f>125</f>
        <v>125</v>
      </c>
      <c r="I3005" t="s">
        <v>27</v>
      </c>
      <c r="J3005" t="s">
        <v>28</v>
      </c>
      <c r="K3005" t="str">
        <f>"520055"</f>
        <v>520055</v>
      </c>
    </row>
    <row r="3006" spans="1:11" x14ac:dyDescent="0.25">
      <c r="A3006">
        <v>2022</v>
      </c>
      <c r="B3006" t="s">
        <v>9110</v>
      </c>
      <c r="C3006" t="s">
        <v>9111</v>
      </c>
      <c r="D3006" t="s">
        <v>19</v>
      </c>
      <c r="E3006" t="s">
        <v>20</v>
      </c>
      <c r="F3006" t="str">
        <f>"43612"</f>
        <v>43612</v>
      </c>
      <c r="G3006" t="str">
        <f>"545044"</f>
        <v>545044</v>
      </c>
      <c r="H3006" s="2">
        <f>100</f>
        <v>100</v>
      </c>
      <c r="I3006" t="s">
        <v>27</v>
      </c>
      <c r="J3006" t="s">
        <v>28</v>
      </c>
      <c r="K3006" t="str">
        <f>"519022"</f>
        <v>519022</v>
      </c>
    </row>
    <row r="3007" spans="1:11" x14ac:dyDescent="0.25">
      <c r="A3007">
        <v>2022</v>
      </c>
      <c r="B3007" t="s">
        <v>9116</v>
      </c>
      <c r="C3007" t="s">
        <v>9117</v>
      </c>
      <c r="D3007" t="s">
        <v>1054</v>
      </c>
      <c r="E3007" t="s">
        <v>14</v>
      </c>
      <c r="F3007" t="str">
        <f>"48182"</f>
        <v>48182</v>
      </c>
      <c r="G3007" t="str">
        <f>"545044"</f>
        <v>545044</v>
      </c>
      <c r="H3007" s="2">
        <f>160</f>
        <v>160</v>
      </c>
      <c r="I3007" t="s">
        <v>27</v>
      </c>
      <c r="J3007" t="s">
        <v>28</v>
      </c>
      <c r="K3007" t="str">
        <f>"518938"</f>
        <v>518938</v>
      </c>
    </row>
    <row r="3008" spans="1:11" x14ac:dyDescent="0.25">
      <c r="A3008">
        <v>2022</v>
      </c>
      <c r="B3008" t="s">
        <v>9120</v>
      </c>
      <c r="C3008" t="s">
        <v>9121</v>
      </c>
      <c r="D3008" t="s">
        <v>19</v>
      </c>
      <c r="E3008" t="s">
        <v>20</v>
      </c>
      <c r="F3008" t="str">
        <f>"43615"</f>
        <v>43615</v>
      </c>
      <c r="G3008" t="str">
        <f>"545075"</f>
        <v>545075</v>
      </c>
      <c r="H3008" s="2">
        <f>4</f>
        <v>4</v>
      </c>
      <c r="I3008" t="s">
        <v>27</v>
      </c>
      <c r="J3008" t="s">
        <v>31</v>
      </c>
      <c r="K3008" t="str">
        <f>"11004039"</f>
        <v>11004039</v>
      </c>
    </row>
    <row r="3009" spans="1:11" x14ac:dyDescent="0.25">
      <c r="A3009">
        <v>2022</v>
      </c>
      <c r="B3009" t="s">
        <v>9144</v>
      </c>
      <c r="C3009" t="s">
        <v>9145</v>
      </c>
      <c r="D3009" t="s">
        <v>19</v>
      </c>
      <c r="E3009" t="s">
        <v>20</v>
      </c>
      <c r="F3009" t="str">
        <f>"43613"</f>
        <v>43613</v>
      </c>
      <c r="G3009" t="str">
        <f>"Je010722"</f>
        <v>Je010722</v>
      </c>
      <c r="H3009" s="2">
        <f>50</f>
        <v>50</v>
      </c>
      <c r="I3009" t="s">
        <v>15</v>
      </c>
      <c r="J3009" t="s">
        <v>90</v>
      </c>
      <c r="K3009" t="str">
        <f>"60033377"</f>
        <v>60033377</v>
      </c>
    </row>
    <row r="3010" spans="1:11" x14ac:dyDescent="0.25">
      <c r="A3010">
        <v>2022</v>
      </c>
      <c r="B3010" t="s">
        <v>9148</v>
      </c>
      <c r="C3010" t="s">
        <v>9149</v>
      </c>
      <c r="D3010" t="s">
        <v>125</v>
      </c>
      <c r="E3010" t="s">
        <v>20</v>
      </c>
      <c r="F3010" t="str">
        <f>"43537"</f>
        <v>43537</v>
      </c>
      <c r="G3010" t="str">
        <f>"Je031622"</f>
        <v>Je031622</v>
      </c>
      <c r="H3010" s="2">
        <f>102</f>
        <v>102</v>
      </c>
      <c r="I3010" t="s">
        <v>15</v>
      </c>
      <c r="J3010" t="s">
        <v>117</v>
      </c>
      <c r="K3010" t="str">
        <f>"60036422"</f>
        <v>60036422</v>
      </c>
    </row>
    <row r="3011" spans="1:11" x14ac:dyDescent="0.25">
      <c r="A3011">
        <v>2022</v>
      </c>
      <c r="B3011" t="s">
        <v>9148</v>
      </c>
      <c r="C3011" t="s">
        <v>9149</v>
      </c>
      <c r="D3011" t="s">
        <v>125</v>
      </c>
      <c r="E3011" t="s">
        <v>20</v>
      </c>
      <c r="F3011" t="str">
        <f>"43537"</f>
        <v>43537</v>
      </c>
      <c r="G3011" t="str">
        <f>"Je031622"</f>
        <v>Je031622</v>
      </c>
      <c r="H3011" s="2">
        <f>135</f>
        <v>135</v>
      </c>
      <c r="I3011" t="s">
        <v>15</v>
      </c>
      <c r="J3011" t="s">
        <v>117</v>
      </c>
      <c r="K3011" t="str">
        <f>"60036423"</f>
        <v>60036423</v>
      </c>
    </row>
    <row r="3012" spans="1:11" x14ac:dyDescent="0.25">
      <c r="A3012">
        <v>2022</v>
      </c>
      <c r="B3012" t="s">
        <v>9166</v>
      </c>
      <c r="C3012" t="s">
        <v>9167</v>
      </c>
      <c r="D3012" t="s">
        <v>19</v>
      </c>
      <c r="E3012" t="s">
        <v>20</v>
      </c>
      <c r="F3012" t="str">
        <f>"43611"</f>
        <v>43611</v>
      </c>
      <c r="G3012" t="str">
        <f>"545044"</f>
        <v>545044</v>
      </c>
      <c r="H3012" s="2">
        <f>16.85</f>
        <v>16.850000000000001</v>
      </c>
      <c r="I3012" t="s">
        <v>27</v>
      </c>
      <c r="J3012" t="s">
        <v>28</v>
      </c>
      <c r="K3012" t="str">
        <f>"518686"</f>
        <v>518686</v>
      </c>
    </row>
    <row r="3013" spans="1:11" x14ac:dyDescent="0.25">
      <c r="A3013">
        <v>2022</v>
      </c>
      <c r="B3013" t="s">
        <v>9175</v>
      </c>
      <c r="C3013" t="s">
        <v>9176</v>
      </c>
      <c r="D3013" t="s">
        <v>19</v>
      </c>
      <c r="E3013" t="s">
        <v>20</v>
      </c>
      <c r="F3013" t="str">
        <f>"43605"</f>
        <v>43605</v>
      </c>
      <c r="G3013" t="str">
        <f>"545075"</f>
        <v>545075</v>
      </c>
      <c r="H3013" s="2">
        <f>4</f>
        <v>4</v>
      </c>
      <c r="I3013" t="s">
        <v>27</v>
      </c>
      <c r="J3013" t="s">
        <v>31</v>
      </c>
      <c r="K3013" t="str">
        <f>"44008714"</f>
        <v>44008714</v>
      </c>
    </row>
    <row r="3014" spans="1:11" x14ac:dyDescent="0.25">
      <c r="A3014">
        <v>2022</v>
      </c>
      <c r="B3014" t="s">
        <v>9179</v>
      </c>
      <c r="C3014" t="s">
        <v>9180</v>
      </c>
      <c r="D3014" t="s">
        <v>50</v>
      </c>
      <c r="E3014" t="s">
        <v>20</v>
      </c>
      <c r="F3014" t="str">
        <f>"43560"</f>
        <v>43560</v>
      </c>
      <c r="G3014" t="str">
        <f>"545043"</f>
        <v>545043</v>
      </c>
      <c r="H3014" s="2">
        <f>28.13</f>
        <v>28.13</v>
      </c>
      <c r="I3014" t="s">
        <v>27</v>
      </c>
      <c r="J3014" t="s">
        <v>77</v>
      </c>
      <c r="K3014" t="str">
        <f>"332846"</f>
        <v>332846</v>
      </c>
    </row>
    <row r="3015" spans="1:11" x14ac:dyDescent="0.25">
      <c r="A3015">
        <v>2022</v>
      </c>
      <c r="B3015" t="s">
        <v>9179</v>
      </c>
      <c r="C3015" t="s">
        <v>9180</v>
      </c>
      <c r="D3015" t="s">
        <v>50</v>
      </c>
      <c r="E3015" t="s">
        <v>20</v>
      </c>
      <c r="F3015" t="str">
        <f>"43560"</f>
        <v>43560</v>
      </c>
      <c r="G3015" t="str">
        <f>"545043"</f>
        <v>545043</v>
      </c>
      <c r="H3015" s="2">
        <f>33.65</f>
        <v>33.65</v>
      </c>
      <c r="I3015" t="s">
        <v>27</v>
      </c>
      <c r="J3015" t="s">
        <v>77</v>
      </c>
      <c r="K3015" t="str">
        <f>"333037"</f>
        <v>333037</v>
      </c>
    </row>
    <row r="3016" spans="1:11" x14ac:dyDescent="0.25">
      <c r="A3016">
        <v>2022</v>
      </c>
      <c r="B3016" t="s">
        <v>9185</v>
      </c>
      <c r="C3016" t="s">
        <v>9186</v>
      </c>
      <c r="D3016" t="s">
        <v>899</v>
      </c>
      <c r="E3016" t="s">
        <v>20</v>
      </c>
      <c r="F3016" t="str">
        <f>"43412"</f>
        <v>43412</v>
      </c>
      <c r="G3016" t="str">
        <f>"545043"</f>
        <v>545043</v>
      </c>
      <c r="H3016" s="2">
        <f>6.85</f>
        <v>6.85</v>
      </c>
      <c r="I3016" t="s">
        <v>27</v>
      </c>
      <c r="J3016" t="s">
        <v>77</v>
      </c>
      <c r="K3016" t="str">
        <f>"333694"</f>
        <v>333694</v>
      </c>
    </row>
    <row r="3017" spans="1:11" x14ac:dyDescent="0.25">
      <c r="A3017">
        <v>2022</v>
      </c>
      <c r="B3017" t="s">
        <v>9187</v>
      </c>
      <c r="C3017" t="s">
        <v>9188</v>
      </c>
      <c r="D3017" t="s">
        <v>19</v>
      </c>
      <c r="E3017" t="s">
        <v>20</v>
      </c>
      <c r="F3017" t="str">
        <f>"43612"</f>
        <v>43612</v>
      </c>
      <c r="G3017" t="str">
        <f>"Je031622"</f>
        <v>Je031622</v>
      </c>
      <c r="H3017" s="2">
        <f>298.36</f>
        <v>298.36</v>
      </c>
      <c r="I3017" t="s">
        <v>15</v>
      </c>
      <c r="J3017" t="s">
        <v>117</v>
      </c>
      <c r="K3017" t="str">
        <f>"60043011"</f>
        <v>60043011</v>
      </c>
    </row>
    <row r="3018" spans="1:11" x14ac:dyDescent="0.25">
      <c r="A3018">
        <v>2022</v>
      </c>
      <c r="B3018" t="s">
        <v>9196</v>
      </c>
      <c r="C3018" t="s">
        <v>9197</v>
      </c>
      <c r="D3018" t="s">
        <v>19</v>
      </c>
      <c r="E3018" t="s">
        <v>20</v>
      </c>
      <c r="F3018" t="str">
        <f>"43614"</f>
        <v>43614</v>
      </c>
      <c r="G3018" t="str">
        <f>"Je031622"</f>
        <v>Je031622</v>
      </c>
      <c r="H3018" s="2">
        <f>25</f>
        <v>25</v>
      </c>
      <c r="I3018" t="s">
        <v>15</v>
      </c>
      <c r="J3018" t="s">
        <v>117</v>
      </c>
      <c r="K3018" t="str">
        <f>"60036471"</f>
        <v>60036471</v>
      </c>
    </row>
    <row r="3019" spans="1:11" x14ac:dyDescent="0.25">
      <c r="A3019">
        <v>2022</v>
      </c>
      <c r="B3019" t="s">
        <v>9200</v>
      </c>
      <c r="C3019" t="s">
        <v>9180</v>
      </c>
      <c r="D3019" t="s">
        <v>50</v>
      </c>
      <c r="E3019" t="s">
        <v>20</v>
      </c>
      <c r="F3019" t="str">
        <f>"43560"</f>
        <v>43560</v>
      </c>
      <c r="G3019" t="str">
        <f>"545043"</f>
        <v>545043</v>
      </c>
      <c r="H3019" s="2">
        <f>19.5</f>
        <v>19.5</v>
      </c>
      <c r="I3019" t="s">
        <v>27</v>
      </c>
      <c r="J3019" t="s">
        <v>77</v>
      </c>
      <c r="K3019" t="str">
        <f>"333628"</f>
        <v>333628</v>
      </c>
    </row>
    <row r="3020" spans="1:11" x14ac:dyDescent="0.25">
      <c r="A3020">
        <v>2022</v>
      </c>
      <c r="B3020" t="s">
        <v>9209</v>
      </c>
      <c r="C3020" t="s">
        <v>9210</v>
      </c>
      <c r="D3020" t="s">
        <v>9211</v>
      </c>
      <c r="E3020" t="s">
        <v>1945</v>
      </c>
      <c r="F3020" t="str">
        <f>"85379"</f>
        <v>85379</v>
      </c>
      <c r="G3020" t="str">
        <f>"Je010722"</f>
        <v>Je010722</v>
      </c>
      <c r="H3020" s="2">
        <f>67.88</f>
        <v>67.88</v>
      </c>
      <c r="I3020" t="s">
        <v>15</v>
      </c>
      <c r="J3020" t="s">
        <v>90</v>
      </c>
      <c r="K3020" t="str">
        <f>"60034833"</f>
        <v>60034833</v>
      </c>
    </row>
    <row r="3021" spans="1:11" x14ac:dyDescent="0.25">
      <c r="A3021">
        <v>2022</v>
      </c>
      <c r="B3021" t="s">
        <v>9216</v>
      </c>
      <c r="C3021" t="s">
        <v>9217</v>
      </c>
      <c r="D3021" t="s">
        <v>19</v>
      </c>
      <c r="E3021" t="s">
        <v>20</v>
      </c>
      <c r="F3021" t="str">
        <f>"43609-3408"</f>
        <v>43609-3408</v>
      </c>
      <c r="G3021" t="str">
        <f>"545101"</f>
        <v>545101</v>
      </c>
      <c r="H3021" s="2">
        <f>10</f>
        <v>10</v>
      </c>
      <c r="I3021" t="s">
        <v>27</v>
      </c>
      <c r="J3021" t="s">
        <v>51</v>
      </c>
      <c r="K3021" t="str">
        <f>"116398"</f>
        <v>116398</v>
      </c>
    </row>
    <row r="3022" spans="1:11" x14ac:dyDescent="0.25">
      <c r="A3022">
        <v>2022</v>
      </c>
      <c r="B3022" t="s">
        <v>9220</v>
      </c>
      <c r="C3022" t="s">
        <v>9221</v>
      </c>
      <c r="D3022" t="s">
        <v>323</v>
      </c>
      <c r="E3022" t="s">
        <v>20</v>
      </c>
      <c r="F3022" t="str">
        <f>"43571-9628"</f>
        <v>43571-9628</v>
      </c>
      <c r="G3022" t="str">
        <f>"545101"</f>
        <v>545101</v>
      </c>
      <c r="H3022" s="2">
        <f>10</f>
        <v>10</v>
      </c>
      <c r="I3022" t="s">
        <v>27</v>
      </c>
      <c r="J3022" t="s">
        <v>51</v>
      </c>
      <c r="K3022" t="str">
        <f>"116356"</f>
        <v>116356</v>
      </c>
    </row>
    <row r="3023" spans="1:11" x14ac:dyDescent="0.25">
      <c r="A3023">
        <v>2022</v>
      </c>
      <c r="B3023" t="s">
        <v>9222</v>
      </c>
      <c r="C3023" t="s">
        <v>9223</v>
      </c>
      <c r="D3023" t="s">
        <v>19</v>
      </c>
      <c r="E3023" t="s">
        <v>20</v>
      </c>
      <c r="F3023" t="str">
        <f>"43623-3357"</f>
        <v>43623-3357</v>
      </c>
      <c r="G3023" t="str">
        <f>"545101"</f>
        <v>545101</v>
      </c>
      <c r="H3023" s="2">
        <f>10</f>
        <v>10</v>
      </c>
      <c r="I3023" t="s">
        <v>27</v>
      </c>
      <c r="J3023" t="s">
        <v>51</v>
      </c>
      <c r="K3023" t="str">
        <f>"117858"</f>
        <v>117858</v>
      </c>
    </row>
    <row r="3024" spans="1:11" x14ac:dyDescent="0.25">
      <c r="A3024">
        <v>2022</v>
      </c>
      <c r="B3024" t="s">
        <v>9232</v>
      </c>
      <c r="C3024" t="s">
        <v>9233</v>
      </c>
      <c r="D3024" t="s">
        <v>19</v>
      </c>
      <c r="E3024" t="s">
        <v>20</v>
      </c>
      <c r="F3024" t="str">
        <f>"43614"</f>
        <v>43614</v>
      </c>
      <c r="G3024" t="str">
        <f t="shared" ref="G3024:G3029" si="93">"545044"</f>
        <v>545044</v>
      </c>
      <c r="H3024" s="2">
        <f>1.82</f>
        <v>1.82</v>
      </c>
      <c r="I3024" t="s">
        <v>27</v>
      </c>
      <c r="J3024" t="s">
        <v>28</v>
      </c>
      <c r="K3024" t="str">
        <f>"518382"</f>
        <v>518382</v>
      </c>
    </row>
    <row r="3025" spans="1:11" x14ac:dyDescent="0.25">
      <c r="A3025">
        <v>2022</v>
      </c>
      <c r="B3025" t="s">
        <v>9232</v>
      </c>
      <c r="C3025" t="s">
        <v>9234</v>
      </c>
      <c r="D3025" t="s">
        <v>19</v>
      </c>
      <c r="E3025" t="s">
        <v>20</v>
      </c>
      <c r="F3025" t="str">
        <f>"43608"</f>
        <v>43608</v>
      </c>
      <c r="G3025" t="str">
        <f t="shared" si="93"/>
        <v>545044</v>
      </c>
      <c r="H3025" s="2">
        <f>2.73</f>
        <v>2.73</v>
      </c>
      <c r="I3025" t="s">
        <v>27</v>
      </c>
      <c r="J3025" t="s">
        <v>28</v>
      </c>
      <c r="K3025" t="str">
        <f>"518821"</f>
        <v>518821</v>
      </c>
    </row>
    <row r="3026" spans="1:11" x14ac:dyDescent="0.25">
      <c r="A3026">
        <v>2022</v>
      </c>
      <c r="B3026" t="s">
        <v>9232</v>
      </c>
      <c r="C3026" t="s">
        <v>9234</v>
      </c>
      <c r="D3026" t="s">
        <v>19</v>
      </c>
      <c r="E3026" t="s">
        <v>20</v>
      </c>
      <c r="F3026" t="str">
        <f>"43608"</f>
        <v>43608</v>
      </c>
      <c r="G3026" t="str">
        <f t="shared" si="93"/>
        <v>545044</v>
      </c>
      <c r="H3026" s="2">
        <f>1.82</f>
        <v>1.82</v>
      </c>
      <c r="I3026" t="s">
        <v>27</v>
      </c>
      <c r="J3026" t="s">
        <v>28</v>
      </c>
      <c r="K3026" t="str">
        <f>"518864"</f>
        <v>518864</v>
      </c>
    </row>
    <row r="3027" spans="1:11" x14ac:dyDescent="0.25">
      <c r="A3027">
        <v>2022</v>
      </c>
      <c r="B3027" t="s">
        <v>9232</v>
      </c>
      <c r="C3027" t="s">
        <v>9234</v>
      </c>
      <c r="D3027" t="s">
        <v>19</v>
      </c>
      <c r="E3027" t="s">
        <v>20</v>
      </c>
      <c r="F3027" t="str">
        <f>"43608"</f>
        <v>43608</v>
      </c>
      <c r="G3027" t="str">
        <f t="shared" si="93"/>
        <v>545044</v>
      </c>
      <c r="H3027" s="2">
        <f>4.55</f>
        <v>4.55</v>
      </c>
      <c r="I3027" t="s">
        <v>27</v>
      </c>
      <c r="J3027" t="s">
        <v>28</v>
      </c>
      <c r="K3027" t="str">
        <f>"520460"</f>
        <v>520460</v>
      </c>
    </row>
    <row r="3028" spans="1:11" x14ac:dyDescent="0.25">
      <c r="A3028">
        <v>2022</v>
      </c>
      <c r="B3028" t="s">
        <v>9232</v>
      </c>
      <c r="C3028" t="s">
        <v>9234</v>
      </c>
      <c r="D3028" t="s">
        <v>19</v>
      </c>
      <c r="E3028" t="s">
        <v>20</v>
      </c>
      <c r="F3028" t="str">
        <f>"43608"</f>
        <v>43608</v>
      </c>
      <c r="G3028" t="str">
        <f t="shared" si="93"/>
        <v>545044</v>
      </c>
      <c r="H3028" s="2">
        <f>4.55</f>
        <v>4.55</v>
      </c>
      <c r="I3028" t="s">
        <v>27</v>
      </c>
      <c r="J3028" t="s">
        <v>28</v>
      </c>
      <c r="K3028" t="str">
        <f>"519853"</f>
        <v>519853</v>
      </c>
    </row>
    <row r="3029" spans="1:11" x14ac:dyDescent="0.25">
      <c r="A3029">
        <v>2022</v>
      </c>
      <c r="B3029" t="s">
        <v>9232</v>
      </c>
      <c r="C3029" t="s">
        <v>9234</v>
      </c>
      <c r="D3029" t="s">
        <v>19</v>
      </c>
      <c r="E3029" t="s">
        <v>20</v>
      </c>
      <c r="F3029" t="str">
        <f>"43608"</f>
        <v>43608</v>
      </c>
      <c r="G3029" t="str">
        <f t="shared" si="93"/>
        <v>545044</v>
      </c>
      <c r="H3029" s="2">
        <f>5</f>
        <v>5</v>
      </c>
      <c r="I3029" t="s">
        <v>27</v>
      </c>
      <c r="J3029" t="s">
        <v>28</v>
      </c>
      <c r="K3029" t="str">
        <f>"519675"</f>
        <v>519675</v>
      </c>
    </row>
    <row r="3030" spans="1:11" x14ac:dyDescent="0.25">
      <c r="A3030">
        <v>2022</v>
      </c>
      <c r="B3030" t="s">
        <v>9240</v>
      </c>
      <c r="C3030" t="s">
        <v>9241</v>
      </c>
      <c r="D3030" t="s">
        <v>422</v>
      </c>
      <c r="E3030" t="s">
        <v>887</v>
      </c>
      <c r="F3030" t="str">
        <f>"37323"</f>
        <v>37323</v>
      </c>
      <c r="G3030" t="str">
        <f>"Je11032022"</f>
        <v>Je11032022</v>
      </c>
      <c r="H3030" s="2">
        <f>20.32</f>
        <v>20.32</v>
      </c>
      <c r="I3030" t="s">
        <v>15</v>
      </c>
      <c r="J3030" t="s">
        <v>234</v>
      </c>
      <c r="K3030" t="str">
        <f>"60054449"</f>
        <v>60054449</v>
      </c>
    </row>
    <row r="3031" spans="1:11" x14ac:dyDescent="0.25">
      <c r="A3031">
        <v>2022</v>
      </c>
      <c r="B3031" t="s">
        <v>9242</v>
      </c>
      <c r="C3031" t="s">
        <v>9243</v>
      </c>
      <c r="D3031" t="s">
        <v>771</v>
      </c>
      <c r="E3031" t="s">
        <v>20</v>
      </c>
      <c r="F3031" t="str">
        <f>"43460"</f>
        <v>43460</v>
      </c>
      <c r="G3031" t="str">
        <f>"545043"</f>
        <v>545043</v>
      </c>
      <c r="H3031" s="2">
        <f>53.1</f>
        <v>53.1</v>
      </c>
      <c r="I3031" t="s">
        <v>27</v>
      </c>
      <c r="J3031" t="s">
        <v>77</v>
      </c>
      <c r="K3031" t="str">
        <f>"333661"</f>
        <v>333661</v>
      </c>
    </row>
    <row r="3032" spans="1:11" x14ac:dyDescent="0.25">
      <c r="A3032">
        <v>2022</v>
      </c>
      <c r="B3032" t="s">
        <v>9261</v>
      </c>
      <c r="C3032" t="s">
        <v>9262</v>
      </c>
      <c r="D3032" t="s">
        <v>19</v>
      </c>
      <c r="E3032" t="s">
        <v>20</v>
      </c>
      <c r="F3032" t="str">
        <f>"43613-5128"</f>
        <v>43613-5128</v>
      </c>
      <c r="G3032" t="str">
        <f>"545101"</f>
        <v>545101</v>
      </c>
      <c r="H3032" s="2">
        <f>10</f>
        <v>10</v>
      </c>
      <c r="I3032" t="s">
        <v>27</v>
      </c>
      <c r="J3032" t="s">
        <v>51</v>
      </c>
      <c r="K3032" t="str">
        <f>"117847"</f>
        <v>117847</v>
      </c>
    </row>
    <row r="3033" spans="1:11" x14ac:dyDescent="0.25">
      <c r="A3033">
        <v>2022</v>
      </c>
      <c r="B3033" t="s">
        <v>9282</v>
      </c>
      <c r="C3033" t="s">
        <v>9283</v>
      </c>
      <c r="D3033" t="s">
        <v>19</v>
      </c>
      <c r="E3033" t="s">
        <v>20</v>
      </c>
      <c r="F3033" t="str">
        <f>"43617-1632"</f>
        <v>43617-1632</v>
      </c>
      <c r="G3033" t="str">
        <f>"545101"</f>
        <v>545101</v>
      </c>
      <c r="H3033" s="2">
        <f>80</f>
        <v>80</v>
      </c>
      <c r="I3033" t="s">
        <v>27</v>
      </c>
      <c r="J3033" t="s">
        <v>51</v>
      </c>
      <c r="K3033" t="str">
        <f>"117119"</f>
        <v>117119</v>
      </c>
    </row>
    <row r="3034" spans="1:11" x14ac:dyDescent="0.25">
      <c r="A3034">
        <v>2022</v>
      </c>
      <c r="B3034" t="s">
        <v>9301</v>
      </c>
      <c r="C3034" t="s">
        <v>9302</v>
      </c>
      <c r="D3034" t="s">
        <v>9303</v>
      </c>
      <c r="E3034" t="s">
        <v>985</v>
      </c>
      <c r="F3034" t="str">
        <f>"80123"</f>
        <v>80123</v>
      </c>
      <c r="G3034" t="str">
        <f>"545075"</f>
        <v>545075</v>
      </c>
      <c r="H3034" s="2">
        <f>6.2</f>
        <v>6.2</v>
      </c>
      <c r="I3034" t="s">
        <v>27</v>
      </c>
      <c r="J3034" t="s">
        <v>31</v>
      </c>
      <c r="K3034" t="str">
        <f>"11004076"</f>
        <v>11004076</v>
      </c>
    </row>
    <row r="3035" spans="1:11" x14ac:dyDescent="0.25">
      <c r="A3035">
        <v>2022</v>
      </c>
      <c r="B3035" t="s">
        <v>9307</v>
      </c>
      <c r="C3035" t="s">
        <v>9308</v>
      </c>
      <c r="D3035" t="s">
        <v>420</v>
      </c>
      <c r="E3035" t="s">
        <v>14</v>
      </c>
      <c r="F3035" t="str">
        <f>"48336"</f>
        <v>48336</v>
      </c>
      <c r="G3035" t="str">
        <f t="shared" ref="G3035:G3043" si="94">"545044"</f>
        <v>545044</v>
      </c>
      <c r="H3035" s="2">
        <f>2.5</f>
        <v>2.5</v>
      </c>
      <c r="I3035" t="s">
        <v>27</v>
      </c>
      <c r="J3035" t="s">
        <v>28</v>
      </c>
      <c r="K3035" t="str">
        <f>"518343"</f>
        <v>518343</v>
      </c>
    </row>
    <row r="3036" spans="1:11" x14ac:dyDescent="0.25">
      <c r="A3036">
        <v>2022</v>
      </c>
      <c r="B3036" t="s">
        <v>9307</v>
      </c>
      <c r="C3036" t="s">
        <v>9308</v>
      </c>
      <c r="D3036" t="s">
        <v>420</v>
      </c>
      <c r="E3036" t="s">
        <v>14</v>
      </c>
      <c r="F3036" t="str">
        <f>"48336"</f>
        <v>48336</v>
      </c>
      <c r="G3036" t="str">
        <f t="shared" si="94"/>
        <v>545044</v>
      </c>
      <c r="H3036" s="2">
        <f>2.5</f>
        <v>2.5</v>
      </c>
      <c r="I3036" t="s">
        <v>27</v>
      </c>
      <c r="J3036" t="s">
        <v>28</v>
      </c>
      <c r="K3036" t="str">
        <f>"520502"</f>
        <v>520502</v>
      </c>
    </row>
    <row r="3037" spans="1:11" x14ac:dyDescent="0.25">
      <c r="A3037">
        <v>2022</v>
      </c>
      <c r="B3037" t="s">
        <v>9307</v>
      </c>
      <c r="C3037" t="s">
        <v>9308</v>
      </c>
      <c r="D3037" t="s">
        <v>420</v>
      </c>
      <c r="E3037" t="s">
        <v>14</v>
      </c>
      <c r="F3037" t="str">
        <f>"48336"</f>
        <v>48336</v>
      </c>
      <c r="G3037" t="str">
        <f t="shared" si="94"/>
        <v>545044</v>
      </c>
      <c r="H3037" s="2">
        <f>2.5</f>
        <v>2.5</v>
      </c>
      <c r="I3037" t="s">
        <v>27</v>
      </c>
      <c r="J3037" t="s">
        <v>28</v>
      </c>
      <c r="K3037" t="str">
        <f>"518829"</f>
        <v>518829</v>
      </c>
    </row>
    <row r="3038" spans="1:11" x14ac:dyDescent="0.25">
      <c r="A3038">
        <v>2022</v>
      </c>
      <c r="B3038" t="s">
        <v>9307</v>
      </c>
      <c r="C3038" t="s">
        <v>9308</v>
      </c>
      <c r="D3038" t="s">
        <v>420</v>
      </c>
      <c r="E3038" t="s">
        <v>14</v>
      </c>
      <c r="F3038" t="str">
        <f>"48336"</f>
        <v>48336</v>
      </c>
      <c r="G3038" t="str">
        <f t="shared" si="94"/>
        <v>545044</v>
      </c>
      <c r="H3038" s="2">
        <f>2.5</f>
        <v>2.5</v>
      </c>
      <c r="I3038" t="s">
        <v>27</v>
      </c>
      <c r="J3038" t="s">
        <v>28</v>
      </c>
      <c r="K3038" t="str">
        <f>"518576"</f>
        <v>518576</v>
      </c>
    </row>
    <row r="3039" spans="1:11" x14ac:dyDescent="0.25">
      <c r="A3039">
        <v>2022</v>
      </c>
      <c r="B3039" t="s">
        <v>9309</v>
      </c>
      <c r="C3039" t="s">
        <v>9310</v>
      </c>
      <c r="D3039" t="s">
        <v>19</v>
      </c>
      <c r="E3039" t="s">
        <v>20</v>
      </c>
      <c r="F3039" t="str">
        <f>"43609"</f>
        <v>43609</v>
      </c>
      <c r="G3039" t="str">
        <f t="shared" si="94"/>
        <v>545044</v>
      </c>
      <c r="H3039" s="2">
        <f>1.82</f>
        <v>1.82</v>
      </c>
      <c r="I3039" t="s">
        <v>27</v>
      </c>
      <c r="J3039" t="s">
        <v>28</v>
      </c>
      <c r="K3039" t="str">
        <f>"518380"</f>
        <v>518380</v>
      </c>
    </row>
    <row r="3040" spans="1:11" x14ac:dyDescent="0.25">
      <c r="A3040">
        <v>2022</v>
      </c>
      <c r="B3040" t="s">
        <v>9309</v>
      </c>
      <c r="C3040" t="s">
        <v>9310</v>
      </c>
      <c r="D3040" t="s">
        <v>19</v>
      </c>
      <c r="E3040" t="s">
        <v>20</v>
      </c>
      <c r="F3040" t="str">
        <f>"43609"</f>
        <v>43609</v>
      </c>
      <c r="G3040" t="str">
        <f t="shared" si="94"/>
        <v>545044</v>
      </c>
      <c r="H3040" s="2">
        <f>2.73</f>
        <v>2.73</v>
      </c>
      <c r="I3040" t="s">
        <v>27</v>
      </c>
      <c r="J3040" t="s">
        <v>28</v>
      </c>
      <c r="K3040" t="str">
        <f>"518607"</f>
        <v>518607</v>
      </c>
    </row>
    <row r="3041" spans="1:11" x14ac:dyDescent="0.25">
      <c r="A3041">
        <v>2022</v>
      </c>
      <c r="B3041" t="s">
        <v>9309</v>
      </c>
      <c r="C3041" t="s">
        <v>9310</v>
      </c>
      <c r="D3041" t="s">
        <v>19</v>
      </c>
      <c r="E3041" t="s">
        <v>20</v>
      </c>
      <c r="F3041" t="str">
        <f>"43609"</f>
        <v>43609</v>
      </c>
      <c r="G3041" t="str">
        <f t="shared" si="94"/>
        <v>545044</v>
      </c>
      <c r="H3041" s="2">
        <f>4.55</f>
        <v>4.55</v>
      </c>
      <c r="I3041" t="s">
        <v>27</v>
      </c>
      <c r="J3041" t="s">
        <v>28</v>
      </c>
      <c r="K3041" t="str">
        <f>"520458"</f>
        <v>520458</v>
      </c>
    </row>
    <row r="3042" spans="1:11" x14ac:dyDescent="0.25">
      <c r="A3042">
        <v>2022</v>
      </c>
      <c r="B3042" t="s">
        <v>9309</v>
      </c>
      <c r="C3042" t="s">
        <v>9310</v>
      </c>
      <c r="D3042" t="s">
        <v>19</v>
      </c>
      <c r="E3042" t="s">
        <v>20</v>
      </c>
      <c r="F3042" t="str">
        <f>"43609"</f>
        <v>43609</v>
      </c>
      <c r="G3042" t="str">
        <f t="shared" si="94"/>
        <v>545044</v>
      </c>
      <c r="H3042" s="2">
        <f>5</f>
        <v>5</v>
      </c>
      <c r="I3042" t="s">
        <v>27</v>
      </c>
      <c r="J3042" t="s">
        <v>28</v>
      </c>
      <c r="K3042" t="str">
        <f>"519673"</f>
        <v>519673</v>
      </c>
    </row>
    <row r="3043" spans="1:11" x14ac:dyDescent="0.25">
      <c r="A3043">
        <v>2022</v>
      </c>
      <c r="B3043" t="s">
        <v>9309</v>
      </c>
      <c r="C3043" t="s">
        <v>9310</v>
      </c>
      <c r="D3043" t="s">
        <v>19</v>
      </c>
      <c r="E3043" t="s">
        <v>20</v>
      </c>
      <c r="F3043" t="str">
        <f>"43609"</f>
        <v>43609</v>
      </c>
      <c r="G3043" t="str">
        <f t="shared" si="94"/>
        <v>545044</v>
      </c>
      <c r="H3043" s="2">
        <f>4.55</f>
        <v>4.55</v>
      </c>
      <c r="I3043" t="s">
        <v>27</v>
      </c>
      <c r="J3043" t="s">
        <v>28</v>
      </c>
      <c r="K3043" t="str">
        <f>"519851"</f>
        <v>519851</v>
      </c>
    </row>
    <row r="3044" spans="1:11" x14ac:dyDescent="0.25">
      <c r="A3044">
        <v>2022</v>
      </c>
      <c r="B3044" t="s">
        <v>9317</v>
      </c>
      <c r="C3044" t="s">
        <v>2787</v>
      </c>
      <c r="D3044" t="s">
        <v>19</v>
      </c>
      <c r="E3044" t="s">
        <v>20</v>
      </c>
      <c r="F3044" t="str">
        <f>"43623-2212"</f>
        <v>43623-2212</v>
      </c>
      <c r="G3044" t="str">
        <f>"545101"</f>
        <v>545101</v>
      </c>
      <c r="H3044" s="2">
        <f>10</f>
        <v>10</v>
      </c>
      <c r="I3044" t="s">
        <v>27</v>
      </c>
      <c r="J3044" t="s">
        <v>51</v>
      </c>
      <c r="K3044" t="str">
        <f>"116095"</f>
        <v>116095</v>
      </c>
    </row>
    <row r="3045" spans="1:11" x14ac:dyDescent="0.25">
      <c r="A3045">
        <v>2022</v>
      </c>
      <c r="B3045" t="s">
        <v>9330</v>
      </c>
      <c r="C3045" t="s">
        <v>9331</v>
      </c>
      <c r="D3045" t="s">
        <v>19</v>
      </c>
      <c r="E3045" t="s">
        <v>20</v>
      </c>
      <c r="F3045" t="str">
        <f>"43609"</f>
        <v>43609</v>
      </c>
      <c r="G3045" t="str">
        <f>"545044"</f>
        <v>545044</v>
      </c>
      <c r="H3045" s="2">
        <f>6</f>
        <v>6</v>
      </c>
      <c r="I3045" t="s">
        <v>27</v>
      </c>
      <c r="J3045" t="s">
        <v>28</v>
      </c>
      <c r="K3045" t="str">
        <f>"520125"</f>
        <v>520125</v>
      </c>
    </row>
    <row r="3046" spans="1:11" x14ac:dyDescent="0.25">
      <c r="A3046">
        <v>2022</v>
      </c>
      <c r="B3046" t="s">
        <v>9330</v>
      </c>
      <c r="C3046" t="s">
        <v>9331</v>
      </c>
      <c r="D3046" t="s">
        <v>19</v>
      </c>
      <c r="E3046" t="s">
        <v>20</v>
      </c>
      <c r="F3046" t="str">
        <f>"43609"</f>
        <v>43609</v>
      </c>
      <c r="G3046" t="str">
        <f>"545044"</f>
        <v>545044</v>
      </c>
      <c r="H3046" s="2">
        <f>9</f>
        <v>9</v>
      </c>
      <c r="I3046" t="s">
        <v>27</v>
      </c>
      <c r="J3046" t="s">
        <v>28</v>
      </c>
      <c r="K3046" t="str">
        <f>"518407"</f>
        <v>518407</v>
      </c>
    </row>
    <row r="3047" spans="1:11" x14ac:dyDescent="0.25">
      <c r="A3047">
        <v>2022</v>
      </c>
      <c r="B3047" t="s">
        <v>9333</v>
      </c>
      <c r="C3047" t="s">
        <v>9334</v>
      </c>
      <c r="D3047" t="s">
        <v>1931</v>
      </c>
      <c r="E3047" t="s">
        <v>985</v>
      </c>
      <c r="F3047" t="str">
        <f>"80014"</f>
        <v>80014</v>
      </c>
      <c r="G3047" t="str">
        <f>"Je010722"</f>
        <v>Je010722</v>
      </c>
      <c r="H3047" s="2">
        <f>2218.6</f>
        <v>2218.6</v>
      </c>
      <c r="I3047" t="s">
        <v>15</v>
      </c>
      <c r="J3047" t="s">
        <v>90</v>
      </c>
      <c r="K3047" t="str">
        <f>"60028094"</f>
        <v>60028094</v>
      </c>
    </row>
    <row r="3048" spans="1:11" x14ac:dyDescent="0.25">
      <c r="A3048">
        <v>2022</v>
      </c>
      <c r="B3048" t="s">
        <v>9343</v>
      </c>
      <c r="C3048" t="s">
        <v>9344</v>
      </c>
      <c r="D3048" t="s">
        <v>9345</v>
      </c>
      <c r="E3048" t="s">
        <v>923</v>
      </c>
      <c r="F3048" t="str">
        <f>"94566-9063"</f>
        <v>94566-9063</v>
      </c>
      <c r="G3048" t="str">
        <f>"Je070522"</f>
        <v>Je070522</v>
      </c>
      <c r="H3048" s="2">
        <f>202.91</f>
        <v>202.91</v>
      </c>
      <c r="I3048" t="s">
        <v>15</v>
      </c>
      <c r="J3048" t="s">
        <v>207</v>
      </c>
      <c r="K3048" t="str">
        <f>"60044923"</f>
        <v>60044923</v>
      </c>
    </row>
    <row r="3049" spans="1:11" x14ac:dyDescent="0.25">
      <c r="A3049">
        <v>2022</v>
      </c>
      <c r="B3049" t="s">
        <v>9362</v>
      </c>
      <c r="C3049" t="s">
        <v>9363</v>
      </c>
      <c r="D3049" t="s">
        <v>19</v>
      </c>
      <c r="E3049" t="s">
        <v>20</v>
      </c>
      <c r="F3049" t="str">
        <f>"43604"</f>
        <v>43604</v>
      </c>
      <c r="G3049" t="str">
        <f>"545042"</f>
        <v>545042</v>
      </c>
      <c r="H3049" s="2">
        <f>10.5</f>
        <v>10.5</v>
      </c>
      <c r="I3049" t="s">
        <v>27</v>
      </c>
      <c r="J3049" t="s">
        <v>257</v>
      </c>
      <c r="K3049" t="str">
        <f>"38052"</f>
        <v>38052</v>
      </c>
    </row>
    <row r="3050" spans="1:11" x14ac:dyDescent="0.25">
      <c r="A3050">
        <v>2022</v>
      </c>
      <c r="B3050" t="s">
        <v>9368</v>
      </c>
      <c r="C3050" t="s">
        <v>1004</v>
      </c>
      <c r="D3050" t="s">
        <v>1005</v>
      </c>
      <c r="E3050" t="s">
        <v>20</v>
      </c>
      <c r="F3050" t="str">
        <f>"44139"</f>
        <v>44139</v>
      </c>
      <c r="G3050" t="str">
        <f>"545042"</f>
        <v>545042</v>
      </c>
      <c r="H3050" s="2">
        <f>550</f>
        <v>550</v>
      </c>
      <c r="I3050" t="s">
        <v>27</v>
      </c>
      <c r="J3050" t="s">
        <v>257</v>
      </c>
      <c r="K3050" t="str">
        <f>"36228"</f>
        <v>36228</v>
      </c>
    </row>
    <row r="3051" spans="1:11" x14ac:dyDescent="0.25">
      <c r="A3051">
        <v>2022</v>
      </c>
      <c r="B3051" t="s">
        <v>9368</v>
      </c>
      <c r="C3051" t="s">
        <v>1004</v>
      </c>
      <c r="D3051" t="s">
        <v>1005</v>
      </c>
      <c r="E3051" t="s">
        <v>20</v>
      </c>
      <c r="F3051" t="str">
        <f>"44139"</f>
        <v>44139</v>
      </c>
      <c r="G3051" t="str">
        <f>"545042"</f>
        <v>545042</v>
      </c>
      <c r="H3051" s="2">
        <f>103.35</f>
        <v>103.35</v>
      </c>
      <c r="I3051" t="s">
        <v>27</v>
      </c>
      <c r="J3051" t="s">
        <v>257</v>
      </c>
      <c r="K3051" t="str">
        <f>"38094"</f>
        <v>38094</v>
      </c>
    </row>
    <row r="3052" spans="1:11" x14ac:dyDescent="0.25">
      <c r="A3052">
        <v>2022</v>
      </c>
      <c r="B3052" t="s">
        <v>9393</v>
      </c>
      <c r="C3052" t="s">
        <v>9394</v>
      </c>
      <c r="D3052" t="s">
        <v>105</v>
      </c>
      <c r="E3052" t="s">
        <v>20</v>
      </c>
      <c r="F3052" t="str">
        <f>"43528"</f>
        <v>43528</v>
      </c>
      <c r="G3052" t="str">
        <f>"545044"</f>
        <v>545044</v>
      </c>
      <c r="H3052" s="2">
        <f>25</f>
        <v>25</v>
      </c>
      <c r="I3052" t="s">
        <v>27</v>
      </c>
      <c r="J3052" t="s">
        <v>28</v>
      </c>
      <c r="K3052" t="str">
        <f>"519902"</f>
        <v>519902</v>
      </c>
    </row>
    <row r="3053" spans="1:11" x14ac:dyDescent="0.25">
      <c r="A3053">
        <v>2022</v>
      </c>
      <c r="B3053" t="s">
        <v>9403</v>
      </c>
      <c r="C3053" t="s">
        <v>9404</v>
      </c>
      <c r="D3053" t="s">
        <v>19</v>
      </c>
      <c r="E3053" t="s">
        <v>20</v>
      </c>
      <c r="F3053" t="str">
        <f>"43611"</f>
        <v>43611</v>
      </c>
      <c r="G3053" t="str">
        <f>"545043"</f>
        <v>545043</v>
      </c>
      <c r="H3053" s="2">
        <f>1.2</f>
        <v>1.2</v>
      </c>
      <c r="I3053" t="s">
        <v>27</v>
      </c>
      <c r="J3053" t="s">
        <v>77</v>
      </c>
      <c r="K3053" t="str">
        <f>"333338"</f>
        <v>333338</v>
      </c>
    </row>
    <row r="3054" spans="1:11" x14ac:dyDescent="0.25">
      <c r="A3054">
        <v>2022</v>
      </c>
      <c r="B3054" t="s">
        <v>9419</v>
      </c>
      <c r="C3054" t="s">
        <v>9420</v>
      </c>
      <c r="D3054" t="s">
        <v>19</v>
      </c>
      <c r="E3054" t="s">
        <v>20</v>
      </c>
      <c r="F3054" t="str">
        <f>"43612"</f>
        <v>43612</v>
      </c>
      <c r="G3054" t="str">
        <f>"545044"</f>
        <v>545044</v>
      </c>
      <c r="H3054" s="2">
        <f>162</f>
        <v>162</v>
      </c>
      <c r="I3054" t="s">
        <v>27</v>
      </c>
      <c r="J3054" t="s">
        <v>28</v>
      </c>
      <c r="K3054" t="str">
        <f>"518637"</f>
        <v>518637</v>
      </c>
    </row>
    <row r="3055" spans="1:11" x14ac:dyDescent="0.25">
      <c r="A3055">
        <v>2022</v>
      </c>
      <c r="B3055" t="s">
        <v>9424</v>
      </c>
      <c r="C3055" t="s">
        <v>9425</v>
      </c>
      <c r="D3055" t="s">
        <v>19</v>
      </c>
      <c r="E3055" t="s">
        <v>20</v>
      </c>
      <c r="F3055" t="str">
        <f>"43604"</f>
        <v>43604</v>
      </c>
      <c r="G3055" t="str">
        <f>"545044"</f>
        <v>545044</v>
      </c>
      <c r="H3055" s="2">
        <f>15</f>
        <v>15</v>
      </c>
      <c r="I3055" t="s">
        <v>27</v>
      </c>
      <c r="J3055" t="s">
        <v>28</v>
      </c>
      <c r="K3055" t="str">
        <f>"518850"</f>
        <v>518850</v>
      </c>
    </row>
    <row r="3056" spans="1:11" x14ac:dyDescent="0.25">
      <c r="A3056">
        <v>2022</v>
      </c>
      <c r="B3056" t="s">
        <v>9424</v>
      </c>
      <c r="C3056" t="s">
        <v>9425</v>
      </c>
      <c r="D3056" t="s">
        <v>19</v>
      </c>
      <c r="E3056" t="s">
        <v>20</v>
      </c>
      <c r="F3056" t="str">
        <f>"43604"</f>
        <v>43604</v>
      </c>
      <c r="G3056" t="str">
        <f>"545044"</f>
        <v>545044</v>
      </c>
      <c r="H3056" s="2">
        <f>8</f>
        <v>8</v>
      </c>
      <c r="I3056" t="s">
        <v>27</v>
      </c>
      <c r="J3056" t="s">
        <v>28</v>
      </c>
      <c r="K3056" t="str">
        <f>"518369"</f>
        <v>518369</v>
      </c>
    </row>
    <row r="3057" spans="1:11" x14ac:dyDescent="0.25">
      <c r="A3057">
        <v>2022</v>
      </c>
      <c r="B3057" t="s">
        <v>9447</v>
      </c>
      <c r="C3057" t="s">
        <v>9449</v>
      </c>
      <c r="D3057" t="s">
        <v>19</v>
      </c>
      <c r="E3057" t="s">
        <v>20</v>
      </c>
      <c r="F3057" t="str">
        <f>"43613"</f>
        <v>43613</v>
      </c>
      <c r="G3057" t="str">
        <f>"545044"</f>
        <v>545044</v>
      </c>
      <c r="H3057" s="2">
        <f>50</f>
        <v>50</v>
      </c>
      <c r="I3057" t="s">
        <v>27</v>
      </c>
      <c r="J3057" t="s">
        <v>28</v>
      </c>
      <c r="K3057" t="str">
        <f>"519827"</f>
        <v>519827</v>
      </c>
    </row>
    <row r="3058" spans="1:11" x14ac:dyDescent="0.25">
      <c r="A3058">
        <v>2022</v>
      </c>
      <c r="B3058" t="s">
        <v>9531</v>
      </c>
      <c r="C3058" t="s">
        <v>9532</v>
      </c>
      <c r="D3058" t="s">
        <v>1074</v>
      </c>
      <c r="E3058" t="s">
        <v>20</v>
      </c>
      <c r="F3058" t="str">
        <f>"43551"</f>
        <v>43551</v>
      </c>
      <c r="G3058" t="str">
        <f>"Je010722"</f>
        <v>Je010722</v>
      </c>
      <c r="H3058" s="2">
        <f>65.77</f>
        <v>65.77</v>
      </c>
      <c r="I3058" t="s">
        <v>15</v>
      </c>
      <c r="J3058" t="s">
        <v>90</v>
      </c>
      <c r="K3058" t="str">
        <f>"60026759"</f>
        <v>60026759</v>
      </c>
    </row>
    <row r="3059" spans="1:11" x14ac:dyDescent="0.25">
      <c r="A3059">
        <v>2022</v>
      </c>
      <c r="B3059" t="s">
        <v>9531</v>
      </c>
      <c r="C3059" t="s">
        <v>9532</v>
      </c>
      <c r="D3059" t="s">
        <v>1074</v>
      </c>
      <c r="E3059" t="s">
        <v>20</v>
      </c>
      <c r="F3059" t="str">
        <f>"43551"</f>
        <v>43551</v>
      </c>
      <c r="G3059" t="str">
        <f>"Je031622"</f>
        <v>Je031622</v>
      </c>
      <c r="H3059" s="2">
        <f>65.77</f>
        <v>65.77</v>
      </c>
      <c r="I3059" t="s">
        <v>15</v>
      </c>
      <c r="J3059" t="s">
        <v>117</v>
      </c>
      <c r="K3059" t="str">
        <f>"60037297"</f>
        <v>60037297</v>
      </c>
    </row>
    <row r="3060" spans="1:11" x14ac:dyDescent="0.25">
      <c r="A3060">
        <v>2022</v>
      </c>
      <c r="B3060" t="s">
        <v>9537</v>
      </c>
      <c r="C3060" t="s">
        <v>9538</v>
      </c>
      <c r="D3060" t="s">
        <v>19</v>
      </c>
      <c r="E3060" t="s">
        <v>20</v>
      </c>
      <c r="F3060" t="str">
        <f>"43615"</f>
        <v>43615</v>
      </c>
      <c r="G3060" t="str">
        <f>"545043"</f>
        <v>545043</v>
      </c>
      <c r="H3060" s="2">
        <f>9.1</f>
        <v>9.1</v>
      </c>
      <c r="I3060" t="s">
        <v>27</v>
      </c>
      <c r="J3060" t="s">
        <v>77</v>
      </c>
      <c r="K3060" t="str">
        <f>"333262"</f>
        <v>333262</v>
      </c>
    </row>
    <row r="3061" spans="1:11" x14ac:dyDescent="0.25">
      <c r="A3061">
        <v>2022</v>
      </c>
      <c r="B3061" t="s">
        <v>9543</v>
      </c>
      <c r="C3061" t="s">
        <v>9544</v>
      </c>
      <c r="D3061" t="s">
        <v>19</v>
      </c>
      <c r="E3061" t="s">
        <v>20</v>
      </c>
      <c r="F3061" t="str">
        <f>"43607"</f>
        <v>43607</v>
      </c>
      <c r="G3061" t="str">
        <f>"545043"</f>
        <v>545043</v>
      </c>
      <c r="H3061" s="2">
        <f>11</f>
        <v>11</v>
      </c>
      <c r="I3061" t="s">
        <v>27</v>
      </c>
      <c r="J3061" t="s">
        <v>77</v>
      </c>
      <c r="K3061" t="str">
        <f>"333658"</f>
        <v>333658</v>
      </c>
    </row>
    <row r="3062" spans="1:11" x14ac:dyDescent="0.25">
      <c r="A3062">
        <v>2022</v>
      </c>
      <c r="B3062" t="s">
        <v>9567</v>
      </c>
      <c r="C3062" t="s">
        <v>9568</v>
      </c>
      <c r="D3062" t="s">
        <v>19</v>
      </c>
      <c r="E3062" t="s">
        <v>20</v>
      </c>
      <c r="F3062" t="str">
        <f>"43606"</f>
        <v>43606</v>
      </c>
      <c r="G3062" t="str">
        <f>"Je010722"</f>
        <v>Je010722</v>
      </c>
      <c r="H3062" s="2">
        <f>15</f>
        <v>15</v>
      </c>
      <c r="I3062" t="s">
        <v>15</v>
      </c>
      <c r="J3062" t="s">
        <v>90</v>
      </c>
      <c r="K3062" t="str">
        <f>"60033452"</f>
        <v>60033452</v>
      </c>
    </row>
    <row r="3063" spans="1:11" x14ac:dyDescent="0.25">
      <c r="A3063">
        <v>2022</v>
      </c>
      <c r="B3063" t="s">
        <v>9598</v>
      </c>
      <c r="C3063" t="s">
        <v>9599</v>
      </c>
      <c r="D3063" t="s">
        <v>19</v>
      </c>
      <c r="E3063" t="s">
        <v>20</v>
      </c>
      <c r="F3063" t="str">
        <f>"43604"</f>
        <v>43604</v>
      </c>
      <c r="G3063" t="str">
        <f>"Je031622"</f>
        <v>Je031622</v>
      </c>
      <c r="H3063" s="2">
        <f>836.25</f>
        <v>836.25</v>
      </c>
      <c r="I3063" t="s">
        <v>15</v>
      </c>
      <c r="J3063" t="s">
        <v>117</v>
      </c>
      <c r="K3063" t="str">
        <f>"60042509"</f>
        <v>60042509</v>
      </c>
    </row>
    <row r="3064" spans="1:11" x14ac:dyDescent="0.25">
      <c r="A3064">
        <v>2022</v>
      </c>
      <c r="B3064" t="s">
        <v>9628</v>
      </c>
      <c r="C3064" t="s">
        <v>9629</v>
      </c>
      <c r="D3064" t="s">
        <v>899</v>
      </c>
      <c r="E3064" t="s">
        <v>20</v>
      </c>
      <c r="F3064" t="str">
        <f>"43412"</f>
        <v>43412</v>
      </c>
      <c r="G3064" t="str">
        <f>"Je031622"</f>
        <v>Je031622</v>
      </c>
      <c r="H3064" s="2">
        <f>307.64</f>
        <v>307.64</v>
      </c>
      <c r="I3064" t="s">
        <v>15</v>
      </c>
      <c r="J3064" t="s">
        <v>117</v>
      </c>
      <c r="K3064" t="str">
        <f>"60043012"</f>
        <v>60043012</v>
      </c>
    </row>
    <row r="3065" spans="1:11" x14ac:dyDescent="0.25">
      <c r="A3065">
        <v>2022</v>
      </c>
      <c r="B3065" t="s">
        <v>9630</v>
      </c>
      <c r="C3065" t="s">
        <v>9631</v>
      </c>
      <c r="D3065" t="s">
        <v>19</v>
      </c>
      <c r="E3065" t="s">
        <v>20</v>
      </c>
      <c r="F3065" t="str">
        <f>"43605"</f>
        <v>43605</v>
      </c>
      <c r="G3065" t="str">
        <f>"545075"</f>
        <v>545075</v>
      </c>
      <c r="H3065" s="2">
        <f>1</f>
        <v>1</v>
      </c>
      <c r="I3065" t="s">
        <v>27</v>
      </c>
      <c r="J3065" t="s">
        <v>31</v>
      </c>
      <c r="K3065" t="str">
        <f>"44008630"</f>
        <v>44008630</v>
      </c>
    </row>
    <row r="3066" spans="1:11" x14ac:dyDescent="0.25">
      <c r="A3066">
        <v>2022</v>
      </c>
      <c r="B3066" t="s">
        <v>9635</v>
      </c>
      <c r="C3066" t="s">
        <v>9636</v>
      </c>
      <c r="D3066" t="s">
        <v>19</v>
      </c>
      <c r="E3066" t="s">
        <v>20</v>
      </c>
      <c r="F3066" t="str">
        <f>"43615-9223"</f>
        <v>43615-9223</v>
      </c>
      <c r="G3066" t="str">
        <f>"545101"</f>
        <v>545101</v>
      </c>
      <c r="H3066" s="2">
        <f>10</f>
        <v>10</v>
      </c>
      <c r="I3066" t="s">
        <v>27</v>
      </c>
      <c r="J3066" t="s">
        <v>51</v>
      </c>
      <c r="K3066" t="str">
        <f>"116226"</f>
        <v>116226</v>
      </c>
    </row>
    <row r="3067" spans="1:11" x14ac:dyDescent="0.25">
      <c r="A3067">
        <v>2022</v>
      </c>
      <c r="B3067" t="s">
        <v>9643</v>
      </c>
      <c r="C3067" t="s">
        <v>9644</v>
      </c>
      <c r="D3067" t="s">
        <v>19</v>
      </c>
      <c r="E3067" t="s">
        <v>20</v>
      </c>
      <c r="F3067" t="str">
        <f>"43606-1240"</f>
        <v>43606-1240</v>
      </c>
      <c r="G3067" t="str">
        <f>"545101"</f>
        <v>545101</v>
      </c>
      <c r="H3067" s="2">
        <f>20</f>
        <v>20</v>
      </c>
      <c r="I3067" t="s">
        <v>27</v>
      </c>
      <c r="J3067" t="s">
        <v>51</v>
      </c>
      <c r="K3067" t="str">
        <f>"116336"</f>
        <v>116336</v>
      </c>
    </row>
    <row r="3068" spans="1:11" x14ac:dyDescent="0.25">
      <c r="A3068">
        <v>2022</v>
      </c>
      <c r="B3068" t="s">
        <v>9699</v>
      </c>
      <c r="C3068" t="s">
        <v>9700</v>
      </c>
      <c r="D3068" t="s">
        <v>19</v>
      </c>
      <c r="E3068" t="s">
        <v>20</v>
      </c>
      <c r="F3068" t="str">
        <f>"43615-1100"</f>
        <v>43615-1100</v>
      </c>
      <c r="G3068" t="str">
        <f>"545101"</f>
        <v>545101</v>
      </c>
      <c r="H3068" s="2">
        <f>10</f>
        <v>10</v>
      </c>
      <c r="I3068" t="s">
        <v>27</v>
      </c>
      <c r="J3068" t="s">
        <v>51</v>
      </c>
      <c r="K3068" t="str">
        <f>"116131"</f>
        <v>116131</v>
      </c>
    </row>
    <row r="3069" spans="1:11" x14ac:dyDescent="0.25">
      <c r="A3069">
        <v>2022</v>
      </c>
      <c r="B3069" t="s">
        <v>9726</v>
      </c>
      <c r="C3069" t="s">
        <v>9727</v>
      </c>
      <c r="D3069" t="s">
        <v>9728</v>
      </c>
      <c r="E3069" t="s">
        <v>9729</v>
      </c>
      <c r="F3069" t="str">
        <f>"02180-2835"</f>
        <v>02180-2835</v>
      </c>
      <c r="G3069" t="str">
        <f>"Je11032022"</f>
        <v>Je11032022</v>
      </c>
      <c r="H3069" s="2">
        <f>12760</f>
        <v>12760</v>
      </c>
      <c r="I3069" t="s">
        <v>15</v>
      </c>
      <c r="J3069" t="s">
        <v>234</v>
      </c>
      <c r="K3069" t="str">
        <f>"60055967"</f>
        <v>60055967</v>
      </c>
    </row>
    <row r="3070" spans="1:11" x14ac:dyDescent="0.25">
      <c r="A3070">
        <v>2022</v>
      </c>
      <c r="B3070" t="s">
        <v>9732</v>
      </c>
      <c r="C3070" t="s">
        <v>9733</v>
      </c>
      <c r="D3070" t="s">
        <v>19</v>
      </c>
      <c r="E3070" t="s">
        <v>20</v>
      </c>
      <c r="F3070" t="str">
        <f>"43604"</f>
        <v>43604</v>
      </c>
      <c r="G3070" t="str">
        <f>"Je031622"</f>
        <v>Je031622</v>
      </c>
      <c r="H3070" s="2">
        <f>25</f>
        <v>25</v>
      </c>
      <c r="I3070" t="s">
        <v>15</v>
      </c>
      <c r="J3070" t="s">
        <v>117</v>
      </c>
      <c r="K3070" t="str">
        <f>"60038559"</f>
        <v>60038559</v>
      </c>
    </row>
    <row r="3071" spans="1:11" x14ac:dyDescent="0.25">
      <c r="A3071">
        <v>2022</v>
      </c>
      <c r="B3071" t="s">
        <v>9737</v>
      </c>
      <c r="C3071" t="s">
        <v>9739</v>
      </c>
      <c r="D3071" t="s">
        <v>19</v>
      </c>
      <c r="E3071" t="s">
        <v>20</v>
      </c>
      <c r="F3071" t="str">
        <f>"43635"</f>
        <v>43635</v>
      </c>
      <c r="G3071" t="str">
        <f>"Je031622"</f>
        <v>Je031622</v>
      </c>
      <c r="H3071" s="2">
        <f>750</f>
        <v>750</v>
      </c>
      <c r="I3071" t="s">
        <v>15</v>
      </c>
      <c r="J3071" t="s">
        <v>117</v>
      </c>
      <c r="K3071" t="str">
        <f>"60040370"</f>
        <v>60040370</v>
      </c>
    </row>
    <row r="3072" spans="1:11" x14ac:dyDescent="0.25">
      <c r="A3072">
        <v>2022</v>
      </c>
      <c r="B3072" t="s">
        <v>9760</v>
      </c>
      <c r="C3072" t="s">
        <v>9761</v>
      </c>
      <c r="D3072" t="s">
        <v>19</v>
      </c>
      <c r="E3072" t="s">
        <v>20</v>
      </c>
      <c r="F3072" t="str">
        <f>"43612"</f>
        <v>43612</v>
      </c>
      <c r="G3072" t="str">
        <f>"545044"</f>
        <v>545044</v>
      </c>
      <c r="H3072" s="2">
        <f>5.56</f>
        <v>5.56</v>
      </c>
      <c r="I3072" t="s">
        <v>27</v>
      </c>
      <c r="J3072" t="s">
        <v>28</v>
      </c>
      <c r="K3072" t="str">
        <f>"519250"</f>
        <v>519250</v>
      </c>
    </row>
    <row r="3073" spans="1:11" x14ac:dyDescent="0.25">
      <c r="A3073">
        <v>2022</v>
      </c>
      <c r="B3073" t="s">
        <v>9821</v>
      </c>
      <c r="C3073" t="s">
        <v>9822</v>
      </c>
      <c r="D3073" t="s">
        <v>19</v>
      </c>
      <c r="E3073" t="s">
        <v>20</v>
      </c>
      <c r="F3073" t="str">
        <f>"43611-1457"</f>
        <v>43611-1457</v>
      </c>
      <c r="G3073" t="str">
        <f>"545101"</f>
        <v>545101</v>
      </c>
      <c r="H3073" s="2">
        <f>10</f>
        <v>10</v>
      </c>
      <c r="I3073" t="s">
        <v>27</v>
      </c>
      <c r="J3073" t="s">
        <v>51</v>
      </c>
      <c r="K3073" t="str">
        <f>"118008"</f>
        <v>118008</v>
      </c>
    </row>
    <row r="3074" spans="1:11" x14ac:dyDescent="0.25">
      <c r="A3074">
        <v>2022</v>
      </c>
      <c r="B3074" t="s">
        <v>9823</v>
      </c>
      <c r="C3074" t="s">
        <v>9824</v>
      </c>
      <c r="D3074" t="s">
        <v>19</v>
      </c>
      <c r="E3074" t="s">
        <v>20</v>
      </c>
      <c r="F3074" t="str">
        <f>"43612"</f>
        <v>43612</v>
      </c>
      <c r="G3074" t="str">
        <f>"545043"</f>
        <v>545043</v>
      </c>
      <c r="H3074" s="2">
        <f>19</f>
        <v>19</v>
      </c>
      <c r="I3074" t="s">
        <v>27</v>
      </c>
      <c r="J3074" t="s">
        <v>77</v>
      </c>
      <c r="K3074" t="str">
        <f>"333635"</f>
        <v>333635</v>
      </c>
    </row>
    <row r="3075" spans="1:11" x14ac:dyDescent="0.25">
      <c r="A3075">
        <v>2022</v>
      </c>
      <c r="B3075" t="s">
        <v>9836</v>
      </c>
      <c r="C3075" t="s">
        <v>9837</v>
      </c>
      <c r="D3075" t="s">
        <v>1074</v>
      </c>
      <c r="E3075" t="s">
        <v>20</v>
      </c>
      <c r="F3075" t="str">
        <f>"43551"</f>
        <v>43551</v>
      </c>
      <c r="G3075" t="str">
        <f>"545042"</f>
        <v>545042</v>
      </c>
      <c r="H3075" s="2">
        <f>81.5</f>
        <v>81.5</v>
      </c>
      <c r="I3075" t="s">
        <v>27</v>
      </c>
      <c r="J3075" t="s">
        <v>257</v>
      </c>
      <c r="K3075" t="str">
        <f>"36782"</f>
        <v>36782</v>
      </c>
    </row>
    <row r="3076" spans="1:11" x14ac:dyDescent="0.25">
      <c r="A3076">
        <v>2022</v>
      </c>
      <c r="B3076" t="s">
        <v>9844</v>
      </c>
      <c r="C3076" t="s">
        <v>282</v>
      </c>
      <c r="D3076" t="s">
        <v>19</v>
      </c>
      <c r="E3076" t="s">
        <v>20</v>
      </c>
      <c r="F3076" t="str">
        <f>"43608"</f>
        <v>43608</v>
      </c>
      <c r="G3076" t="str">
        <f>"Je11032022"</f>
        <v>Je11032022</v>
      </c>
      <c r="H3076" s="2">
        <f>30</f>
        <v>30</v>
      </c>
      <c r="I3076" t="s">
        <v>15</v>
      </c>
      <c r="J3076" t="s">
        <v>234</v>
      </c>
      <c r="K3076" t="str">
        <f>"60053967"</f>
        <v>60053967</v>
      </c>
    </row>
    <row r="3077" spans="1:11" x14ac:dyDescent="0.25">
      <c r="A3077">
        <v>2022</v>
      </c>
      <c r="B3077" t="s">
        <v>9847</v>
      </c>
      <c r="C3077" t="s">
        <v>9848</v>
      </c>
      <c r="D3077" t="s">
        <v>422</v>
      </c>
      <c r="E3077" t="s">
        <v>20</v>
      </c>
      <c r="F3077" t="str">
        <f>"44114"</f>
        <v>44114</v>
      </c>
      <c r="G3077" t="str">
        <f>"545042"</f>
        <v>545042</v>
      </c>
      <c r="H3077" s="2">
        <f>2.12</f>
        <v>2.12</v>
      </c>
      <c r="I3077" t="s">
        <v>27</v>
      </c>
      <c r="J3077" t="s">
        <v>257</v>
      </c>
      <c r="K3077" t="str">
        <f>"37640"</f>
        <v>37640</v>
      </c>
    </row>
    <row r="3078" spans="1:11" x14ac:dyDescent="0.25">
      <c r="A3078">
        <v>2022</v>
      </c>
      <c r="B3078" t="s">
        <v>9853</v>
      </c>
      <c r="C3078" t="s">
        <v>9854</v>
      </c>
      <c r="D3078" t="s">
        <v>19</v>
      </c>
      <c r="E3078" t="s">
        <v>20</v>
      </c>
      <c r="F3078" t="str">
        <f>"43605"</f>
        <v>43605</v>
      </c>
      <c r="G3078" t="str">
        <f>"545044"</f>
        <v>545044</v>
      </c>
      <c r="H3078" s="2">
        <f>45</f>
        <v>45</v>
      </c>
      <c r="I3078" t="s">
        <v>27</v>
      </c>
      <c r="J3078" t="s">
        <v>28</v>
      </c>
      <c r="K3078" t="str">
        <f>"518470"</f>
        <v>518470</v>
      </c>
    </row>
    <row r="3079" spans="1:11" x14ac:dyDescent="0.25">
      <c r="A3079">
        <v>2022</v>
      </c>
      <c r="B3079" t="s">
        <v>9857</v>
      </c>
      <c r="C3079" t="s">
        <v>245</v>
      </c>
      <c r="D3079" t="s">
        <v>19</v>
      </c>
      <c r="E3079" t="s">
        <v>20</v>
      </c>
      <c r="F3079" t="str">
        <f>"43617"</f>
        <v>43617</v>
      </c>
      <c r="G3079" t="str">
        <f>"545042"</f>
        <v>545042</v>
      </c>
      <c r="H3079" s="2">
        <f>17.1</f>
        <v>17.100000000000001</v>
      </c>
      <c r="I3079" t="s">
        <v>27</v>
      </c>
      <c r="J3079" t="s">
        <v>257</v>
      </c>
      <c r="K3079" t="str">
        <f>"37556"</f>
        <v>37556</v>
      </c>
    </row>
    <row r="3080" spans="1:11" x14ac:dyDescent="0.25">
      <c r="A3080">
        <v>2022</v>
      </c>
      <c r="B3080" t="s">
        <v>9879</v>
      </c>
      <c r="C3080" t="s">
        <v>9880</v>
      </c>
      <c r="D3080" t="s">
        <v>4326</v>
      </c>
      <c r="E3080" t="s">
        <v>20</v>
      </c>
      <c r="F3080" t="str">
        <f>"44131"</f>
        <v>44131</v>
      </c>
      <c r="G3080" t="str">
        <f>"545042"</f>
        <v>545042</v>
      </c>
      <c r="H3080" s="2">
        <f>2.78</f>
        <v>2.78</v>
      </c>
      <c r="I3080" t="s">
        <v>27</v>
      </c>
      <c r="J3080" t="s">
        <v>257</v>
      </c>
      <c r="K3080" t="str">
        <f>"37641"</f>
        <v>37641</v>
      </c>
    </row>
    <row r="3081" spans="1:11" x14ac:dyDescent="0.25">
      <c r="A3081">
        <v>2022</v>
      </c>
      <c r="B3081" t="s">
        <v>9893</v>
      </c>
      <c r="C3081" t="s">
        <v>9894</v>
      </c>
      <c r="D3081" t="s">
        <v>19</v>
      </c>
      <c r="E3081" t="s">
        <v>20</v>
      </c>
      <c r="F3081" t="str">
        <f>"43617"</f>
        <v>43617</v>
      </c>
      <c r="G3081" t="str">
        <f>"545042"</f>
        <v>545042</v>
      </c>
      <c r="H3081" s="2">
        <f>3.6</f>
        <v>3.6</v>
      </c>
      <c r="I3081" t="s">
        <v>27</v>
      </c>
      <c r="J3081" t="s">
        <v>257</v>
      </c>
      <c r="K3081" t="str">
        <f>"38051"</f>
        <v>38051</v>
      </c>
    </row>
    <row r="3082" spans="1:11" x14ac:dyDescent="0.25">
      <c r="A3082">
        <v>2022</v>
      </c>
      <c r="B3082" t="s">
        <v>9893</v>
      </c>
      <c r="C3082" t="s">
        <v>8265</v>
      </c>
      <c r="D3082" t="s">
        <v>19</v>
      </c>
      <c r="E3082" t="s">
        <v>20</v>
      </c>
      <c r="F3082" t="str">
        <f>"43617"</f>
        <v>43617</v>
      </c>
      <c r="G3082" t="str">
        <f>"545042"</f>
        <v>545042</v>
      </c>
      <c r="H3082" s="2">
        <f>13.1</f>
        <v>13.1</v>
      </c>
      <c r="I3082" t="s">
        <v>27</v>
      </c>
      <c r="J3082" t="s">
        <v>257</v>
      </c>
      <c r="K3082" t="str">
        <f>"37404"</f>
        <v>37404</v>
      </c>
    </row>
    <row r="3083" spans="1:11" x14ac:dyDescent="0.25">
      <c r="A3083">
        <v>2022</v>
      </c>
      <c r="B3083" t="s">
        <v>9893</v>
      </c>
      <c r="C3083" t="s">
        <v>9895</v>
      </c>
      <c r="D3083" t="s">
        <v>19</v>
      </c>
      <c r="E3083" t="s">
        <v>20</v>
      </c>
      <c r="F3083" t="str">
        <f>"43617"</f>
        <v>43617</v>
      </c>
      <c r="G3083" t="str">
        <f>"545042"</f>
        <v>545042</v>
      </c>
      <c r="H3083" s="2">
        <f>17.1</f>
        <v>17.100000000000001</v>
      </c>
      <c r="I3083" t="s">
        <v>27</v>
      </c>
      <c r="J3083" t="s">
        <v>257</v>
      </c>
      <c r="K3083" t="str">
        <f>"37028"</f>
        <v>37028</v>
      </c>
    </row>
    <row r="3084" spans="1:11" x14ac:dyDescent="0.25">
      <c r="A3084">
        <v>2022</v>
      </c>
      <c r="B3084" t="s">
        <v>9906</v>
      </c>
      <c r="C3084" t="s">
        <v>9907</v>
      </c>
      <c r="D3084" t="s">
        <v>19</v>
      </c>
      <c r="E3084" t="s">
        <v>20</v>
      </c>
      <c r="F3084" t="str">
        <f>"43606"</f>
        <v>43606</v>
      </c>
      <c r="G3084" t="str">
        <f>"545043"</f>
        <v>545043</v>
      </c>
      <c r="H3084" s="2">
        <f>18.85</f>
        <v>18.850000000000001</v>
      </c>
      <c r="I3084" t="s">
        <v>27</v>
      </c>
      <c r="J3084" t="s">
        <v>77</v>
      </c>
      <c r="K3084" t="str">
        <f>"333674"</f>
        <v>333674</v>
      </c>
    </row>
    <row r="3085" spans="1:11" x14ac:dyDescent="0.25">
      <c r="A3085">
        <v>2022</v>
      </c>
      <c r="B3085" t="s">
        <v>9936</v>
      </c>
      <c r="C3085" t="s">
        <v>9937</v>
      </c>
      <c r="D3085" t="s">
        <v>58</v>
      </c>
      <c r="E3085" t="s">
        <v>20</v>
      </c>
      <c r="F3085" t="str">
        <f>"43616"</f>
        <v>43616</v>
      </c>
      <c r="G3085" t="str">
        <f>"Je010722"</f>
        <v>Je010722</v>
      </c>
      <c r="H3085" s="2">
        <f>10</f>
        <v>10</v>
      </c>
      <c r="I3085" t="s">
        <v>15</v>
      </c>
      <c r="J3085" t="s">
        <v>90</v>
      </c>
      <c r="K3085" t="str">
        <f>"60035495"</f>
        <v>60035495</v>
      </c>
    </row>
    <row r="3086" spans="1:11" x14ac:dyDescent="0.25">
      <c r="A3086">
        <v>2022</v>
      </c>
      <c r="B3086" t="s">
        <v>9938</v>
      </c>
      <c r="C3086" t="s">
        <v>9939</v>
      </c>
      <c r="D3086" t="s">
        <v>19</v>
      </c>
      <c r="E3086" t="s">
        <v>20</v>
      </c>
      <c r="F3086" t="str">
        <f>"43613"</f>
        <v>43613</v>
      </c>
      <c r="G3086" t="str">
        <f>"Je031622"</f>
        <v>Je031622</v>
      </c>
      <c r="H3086" s="2">
        <f>183.42</f>
        <v>183.42</v>
      </c>
      <c r="I3086" t="s">
        <v>15</v>
      </c>
      <c r="J3086" t="s">
        <v>117</v>
      </c>
      <c r="K3086" t="str">
        <f>"60043013"</f>
        <v>60043013</v>
      </c>
    </row>
    <row r="3087" spans="1:11" x14ac:dyDescent="0.25">
      <c r="A3087">
        <v>2022</v>
      </c>
      <c r="B3087" t="s">
        <v>9944</v>
      </c>
      <c r="C3087" t="s">
        <v>9945</v>
      </c>
      <c r="D3087" t="s">
        <v>19</v>
      </c>
      <c r="E3087" t="s">
        <v>20</v>
      </c>
      <c r="F3087" t="str">
        <f>"43613-2740"</f>
        <v>43613-2740</v>
      </c>
      <c r="G3087" t="str">
        <f>"545101"</f>
        <v>545101</v>
      </c>
      <c r="H3087" s="2">
        <f>40</f>
        <v>40</v>
      </c>
      <c r="I3087" t="s">
        <v>27</v>
      </c>
      <c r="J3087" t="s">
        <v>51</v>
      </c>
      <c r="K3087" t="str">
        <f>"117096"</f>
        <v>117096</v>
      </c>
    </row>
    <row r="3088" spans="1:11" x14ac:dyDescent="0.25">
      <c r="A3088">
        <v>2022</v>
      </c>
      <c r="B3088" t="s">
        <v>9946</v>
      </c>
      <c r="C3088" t="s">
        <v>9947</v>
      </c>
      <c r="D3088" t="s">
        <v>19</v>
      </c>
      <c r="E3088" t="s">
        <v>20</v>
      </c>
      <c r="F3088" t="str">
        <f>"43615-4902"</f>
        <v>43615-4902</v>
      </c>
      <c r="G3088" t="str">
        <f>"545101"</f>
        <v>545101</v>
      </c>
      <c r="H3088" s="2">
        <f>30</f>
        <v>30</v>
      </c>
      <c r="I3088" t="s">
        <v>27</v>
      </c>
      <c r="J3088" t="s">
        <v>51</v>
      </c>
      <c r="K3088" t="str">
        <f>"117122"</f>
        <v>117122</v>
      </c>
    </row>
    <row r="3089" spans="1:11" x14ac:dyDescent="0.25">
      <c r="A3089">
        <v>2022</v>
      </c>
      <c r="B3089" t="s">
        <v>9958</v>
      </c>
      <c r="C3089" t="s">
        <v>9959</v>
      </c>
      <c r="D3089" t="s">
        <v>19</v>
      </c>
      <c r="E3089" t="s">
        <v>20</v>
      </c>
      <c r="F3089" t="str">
        <f>"43606-1859"</f>
        <v>43606-1859</v>
      </c>
      <c r="G3089" t="str">
        <f>"545101"</f>
        <v>545101</v>
      </c>
      <c r="H3089" s="2">
        <f>40</f>
        <v>40</v>
      </c>
      <c r="I3089" t="s">
        <v>27</v>
      </c>
      <c r="J3089" t="s">
        <v>51</v>
      </c>
      <c r="K3089" t="str">
        <f>"116130"</f>
        <v>116130</v>
      </c>
    </row>
    <row r="3090" spans="1:11" x14ac:dyDescent="0.25">
      <c r="A3090">
        <v>2022</v>
      </c>
      <c r="B3090" t="s">
        <v>9960</v>
      </c>
      <c r="C3090" t="s">
        <v>9961</v>
      </c>
      <c r="D3090" t="s">
        <v>50</v>
      </c>
      <c r="E3090" t="s">
        <v>20</v>
      </c>
      <c r="F3090" t="str">
        <f>"43560-8628"</f>
        <v>43560-8628</v>
      </c>
      <c r="G3090" t="str">
        <f>"545101"</f>
        <v>545101</v>
      </c>
      <c r="H3090" s="2">
        <f>10</f>
        <v>10</v>
      </c>
      <c r="I3090" t="s">
        <v>27</v>
      </c>
      <c r="J3090" t="s">
        <v>51</v>
      </c>
      <c r="K3090" t="str">
        <f>"117088"</f>
        <v>117088</v>
      </c>
    </row>
    <row r="3091" spans="1:11" x14ac:dyDescent="0.25">
      <c r="A3091">
        <v>2022</v>
      </c>
      <c r="B3091" t="s">
        <v>9978</v>
      </c>
      <c r="C3091" t="s">
        <v>9979</v>
      </c>
      <c r="D3091" t="s">
        <v>19</v>
      </c>
      <c r="E3091" t="s">
        <v>20</v>
      </c>
      <c r="F3091" t="str">
        <f>"43623"</f>
        <v>43623</v>
      </c>
      <c r="G3091" t="str">
        <f>"Je031622"</f>
        <v>Je031622</v>
      </c>
      <c r="H3091" s="2">
        <f>343.19</f>
        <v>343.19</v>
      </c>
      <c r="I3091" t="s">
        <v>15</v>
      </c>
      <c r="J3091" t="s">
        <v>117</v>
      </c>
      <c r="K3091" t="str">
        <f>"60043014"</f>
        <v>60043014</v>
      </c>
    </row>
    <row r="3092" spans="1:11" x14ac:dyDescent="0.25">
      <c r="A3092">
        <v>2022</v>
      </c>
      <c r="B3092" t="s">
        <v>9982</v>
      </c>
      <c r="C3092" t="s">
        <v>9983</v>
      </c>
      <c r="D3092" t="s">
        <v>19</v>
      </c>
      <c r="E3092" t="s">
        <v>20</v>
      </c>
      <c r="F3092" t="str">
        <f>"43613"</f>
        <v>43613</v>
      </c>
      <c r="G3092" t="str">
        <f>"545075"</f>
        <v>545075</v>
      </c>
      <c r="H3092" s="2">
        <f>3</f>
        <v>3</v>
      </c>
      <c r="I3092" t="s">
        <v>27</v>
      </c>
      <c r="J3092" t="s">
        <v>31</v>
      </c>
      <c r="K3092" t="str">
        <f>"33010945"</f>
        <v>33010945</v>
      </c>
    </row>
    <row r="3093" spans="1:11" x14ac:dyDescent="0.25">
      <c r="A3093">
        <v>2022</v>
      </c>
      <c r="B3093" t="s">
        <v>9996</v>
      </c>
      <c r="C3093" t="s">
        <v>9997</v>
      </c>
      <c r="D3093" t="s">
        <v>19</v>
      </c>
      <c r="E3093" t="s">
        <v>20</v>
      </c>
      <c r="F3093" t="str">
        <f>"43623"</f>
        <v>43623</v>
      </c>
      <c r="G3093" t="str">
        <f>"Je031622"</f>
        <v>Je031622</v>
      </c>
      <c r="H3093" s="2">
        <f>25</f>
        <v>25</v>
      </c>
      <c r="I3093" t="s">
        <v>15</v>
      </c>
      <c r="J3093" t="s">
        <v>117</v>
      </c>
      <c r="K3093" t="str">
        <f>"60038561"</f>
        <v>60038561</v>
      </c>
    </row>
    <row r="3094" spans="1:11" x14ac:dyDescent="0.25">
      <c r="A3094">
        <v>2022</v>
      </c>
      <c r="B3094" t="s">
        <v>10078</v>
      </c>
      <c r="C3094" t="s">
        <v>10079</v>
      </c>
      <c r="D3094" t="s">
        <v>19</v>
      </c>
      <c r="E3094" t="s">
        <v>20</v>
      </c>
      <c r="F3094" t="str">
        <f>"43609"</f>
        <v>43609</v>
      </c>
      <c r="G3094" t="str">
        <f>"Je11032022"</f>
        <v>Je11032022</v>
      </c>
      <c r="H3094" s="2">
        <f>25</f>
        <v>25</v>
      </c>
      <c r="I3094" t="s">
        <v>15</v>
      </c>
      <c r="J3094" t="s">
        <v>234</v>
      </c>
      <c r="K3094" t="str">
        <f>"60053897"</f>
        <v>60053897</v>
      </c>
    </row>
    <row r="3095" spans="1:11" x14ac:dyDescent="0.25">
      <c r="A3095">
        <v>2022</v>
      </c>
      <c r="B3095" t="s">
        <v>10105</v>
      </c>
      <c r="C3095" t="s">
        <v>282</v>
      </c>
      <c r="D3095" t="s">
        <v>19</v>
      </c>
      <c r="E3095" t="s">
        <v>20</v>
      </c>
      <c r="F3095" t="str">
        <f>"43608"</f>
        <v>43608</v>
      </c>
      <c r="G3095" t="str">
        <f>"Je11032022"</f>
        <v>Je11032022</v>
      </c>
      <c r="H3095" s="2">
        <f>1</f>
        <v>1</v>
      </c>
      <c r="I3095" t="s">
        <v>15</v>
      </c>
      <c r="J3095" t="s">
        <v>234</v>
      </c>
      <c r="K3095" t="str">
        <f>"60053353"</f>
        <v>60053353</v>
      </c>
    </row>
    <row r="3096" spans="1:11" x14ac:dyDescent="0.25">
      <c r="A3096">
        <v>2022</v>
      </c>
      <c r="B3096" t="s">
        <v>10106</v>
      </c>
      <c r="C3096" t="s">
        <v>10107</v>
      </c>
      <c r="D3096" t="s">
        <v>19</v>
      </c>
      <c r="E3096" t="s">
        <v>20</v>
      </c>
      <c r="F3096" t="str">
        <f>"43605-3519"</f>
        <v>43605-3519</v>
      </c>
      <c r="G3096" t="str">
        <f>"545101"</f>
        <v>545101</v>
      </c>
      <c r="H3096" s="2">
        <f>40</f>
        <v>40</v>
      </c>
      <c r="I3096" t="s">
        <v>27</v>
      </c>
      <c r="J3096" t="s">
        <v>51</v>
      </c>
      <c r="K3096" t="str">
        <f>"116154"</f>
        <v>116154</v>
      </c>
    </row>
    <row r="3097" spans="1:11" x14ac:dyDescent="0.25">
      <c r="A3097">
        <v>2022</v>
      </c>
      <c r="B3097" t="s">
        <v>10114</v>
      </c>
      <c r="C3097" t="s">
        <v>10115</v>
      </c>
      <c r="D3097" t="s">
        <v>19</v>
      </c>
      <c r="E3097" t="s">
        <v>20</v>
      </c>
      <c r="F3097" t="str">
        <f>"43609"</f>
        <v>43609</v>
      </c>
      <c r="G3097" t="str">
        <f>"Je031622"</f>
        <v>Je031622</v>
      </c>
      <c r="H3097" s="2">
        <f>298.36</f>
        <v>298.36</v>
      </c>
      <c r="I3097" t="s">
        <v>15</v>
      </c>
      <c r="J3097" t="s">
        <v>117</v>
      </c>
      <c r="K3097" t="str">
        <f>"60043015"</f>
        <v>60043015</v>
      </c>
    </row>
    <row r="3098" spans="1:11" x14ac:dyDescent="0.25">
      <c r="A3098">
        <v>2022</v>
      </c>
      <c r="B3098" t="s">
        <v>10137</v>
      </c>
      <c r="C3098" t="s">
        <v>10138</v>
      </c>
      <c r="D3098" t="s">
        <v>19</v>
      </c>
      <c r="E3098" t="s">
        <v>20</v>
      </c>
      <c r="F3098" t="str">
        <f>"43615"</f>
        <v>43615</v>
      </c>
      <c r="G3098" t="str">
        <f>"545043"</f>
        <v>545043</v>
      </c>
      <c r="H3098" s="2">
        <f>17</f>
        <v>17</v>
      </c>
      <c r="I3098" t="s">
        <v>27</v>
      </c>
      <c r="J3098" t="s">
        <v>77</v>
      </c>
      <c r="K3098" t="str">
        <f>"332761"</f>
        <v>332761</v>
      </c>
    </row>
    <row r="3099" spans="1:11" x14ac:dyDescent="0.25">
      <c r="A3099">
        <v>2022</v>
      </c>
      <c r="B3099" t="s">
        <v>10159</v>
      </c>
      <c r="C3099" t="s">
        <v>10160</v>
      </c>
      <c r="D3099" t="s">
        <v>19</v>
      </c>
      <c r="E3099" t="s">
        <v>20</v>
      </c>
      <c r="F3099" t="str">
        <f>"43616"</f>
        <v>43616</v>
      </c>
      <c r="G3099" t="str">
        <f>"545044"</f>
        <v>545044</v>
      </c>
      <c r="H3099" s="2">
        <f>160</f>
        <v>160</v>
      </c>
      <c r="I3099" t="s">
        <v>27</v>
      </c>
      <c r="J3099" t="s">
        <v>28</v>
      </c>
      <c r="K3099" t="str">
        <f>"518936"</f>
        <v>518936</v>
      </c>
    </row>
    <row r="3100" spans="1:11" x14ac:dyDescent="0.25">
      <c r="A3100">
        <v>2022</v>
      </c>
      <c r="B3100" t="s">
        <v>10159</v>
      </c>
      <c r="C3100" t="s">
        <v>10160</v>
      </c>
      <c r="D3100" t="s">
        <v>19</v>
      </c>
      <c r="E3100" t="s">
        <v>20</v>
      </c>
      <c r="F3100" t="str">
        <f>"43616"</f>
        <v>43616</v>
      </c>
      <c r="G3100" t="str">
        <f>"545044"</f>
        <v>545044</v>
      </c>
      <c r="H3100" s="2">
        <f>40</f>
        <v>40</v>
      </c>
      <c r="I3100" t="s">
        <v>27</v>
      </c>
      <c r="J3100" t="s">
        <v>28</v>
      </c>
      <c r="K3100" t="str">
        <f>"518349"</f>
        <v>518349</v>
      </c>
    </row>
    <row r="3101" spans="1:11" x14ac:dyDescent="0.25">
      <c r="A3101">
        <v>2022</v>
      </c>
      <c r="B3101" t="s">
        <v>10171</v>
      </c>
      <c r="C3101" t="s">
        <v>10172</v>
      </c>
      <c r="D3101" t="s">
        <v>19</v>
      </c>
      <c r="E3101" t="s">
        <v>20</v>
      </c>
      <c r="F3101" t="str">
        <f>"43608"</f>
        <v>43608</v>
      </c>
      <c r="G3101" t="str">
        <f>"545044"</f>
        <v>545044</v>
      </c>
      <c r="H3101" s="2">
        <f>500</f>
        <v>500</v>
      </c>
      <c r="I3101" t="s">
        <v>27</v>
      </c>
      <c r="J3101" t="s">
        <v>28</v>
      </c>
      <c r="K3101" t="str">
        <f>"519843"</f>
        <v>519843</v>
      </c>
    </row>
    <row r="3102" spans="1:11" x14ac:dyDescent="0.25">
      <c r="A3102">
        <v>2022</v>
      </c>
      <c r="B3102" t="s">
        <v>10171</v>
      </c>
      <c r="C3102" t="s">
        <v>10172</v>
      </c>
      <c r="D3102" t="s">
        <v>19</v>
      </c>
      <c r="E3102" t="s">
        <v>20</v>
      </c>
      <c r="F3102" t="str">
        <f>"43608"</f>
        <v>43608</v>
      </c>
      <c r="G3102" t="str">
        <f>"545044"</f>
        <v>545044</v>
      </c>
      <c r="H3102" s="2">
        <f>700</f>
        <v>700</v>
      </c>
      <c r="I3102" t="s">
        <v>27</v>
      </c>
      <c r="J3102" t="s">
        <v>28</v>
      </c>
      <c r="K3102" t="str">
        <f>"519926"</f>
        <v>519926</v>
      </c>
    </row>
    <row r="3103" spans="1:11" x14ac:dyDescent="0.25">
      <c r="A3103">
        <v>2022</v>
      </c>
      <c r="B3103" t="s">
        <v>10192</v>
      </c>
      <c r="C3103" t="s">
        <v>10193</v>
      </c>
      <c r="D3103" t="s">
        <v>19</v>
      </c>
      <c r="E3103" t="s">
        <v>20</v>
      </c>
      <c r="F3103" t="str">
        <f>"43615"</f>
        <v>43615</v>
      </c>
      <c r="G3103" t="str">
        <f>"Je010722"</f>
        <v>Je010722</v>
      </c>
      <c r="H3103" s="2">
        <f>15</f>
        <v>15</v>
      </c>
      <c r="I3103" t="s">
        <v>15</v>
      </c>
      <c r="J3103" t="s">
        <v>90</v>
      </c>
      <c r="K3103" t="str">
        <f>"60033529"</f>
        <v>60033529</v>
      </c>
    </row>
    <row r="3104" spans="1:11" x14ac:dyDescent="0.25">
      <c r="A3104">
        <v>2022</v>
      </c>
      <c r="B3104" t="s">
        <v>10198</v>
      </c>
      <c r="C3104" t="s">
        <v>10199</v>
      </c>
      <c r="D3104" t="s">
        <v>19</v>
      </c>
      <c r="E3104" t="s">
        <v>20</v>
      </c>
      <c r="F3104" t="str">
        <f>"43607"</f>
        <v>43607</v>
      </c>
      <c r="G3104" t="str">
        <f>"545044"</f>
        <v>545044</v>
      </c>
      <c r="H3104" s="2">
        <f>250</f>
        <v>250</v>
      </c>
      <c r="I3104" t="s">
        <v>27</v>
      </c>
      <c r="J3104" t="s">
        <v>28</v>
      </c>
      <c r="K3104" t="str">
        <f>"520475"</f>
        <v>520475</v>
      </c>
    </row>
    <row r="3105" spans="1:11" x14ac:dyDescent="0.25">
      <c r="A3105">
        <v>2022</v>
      </c>
      <c r="B3105" t="s">
        <v>10207</v>
      </c>
      <c r="C3105" t="s">
        <v>10208</v>
      </c>
      <c r="D3105" t="s">
        <v>1239</v>
      </c>
      <c r="E3105" t="s">
        <v>20</v>
      </c>
      <c r="F3105" t="str">
        <f>"43402"</f>
        <v>43402</v>
      </c>
      <c r="G3105" t="str">
        <f>"Je010722"</f>
        <v>Je010722</v>
      </c>
      <c r="H3105" s="2">
        <f>15.08</f>
        <v>15.08</v>
      </c>
      <c r="I3105" t="s">
        <v>15</v>
      </c>
      <c r="J3105" t="s">
        <v>90</v>
      </c>
      <c r="K3105" t="str">
        <f>"60029561"</f>
        <v>60029561</v>
      </c>
    </row>
    <row r="3106" spans="1:11" x14ac:dyDescent="0.25">
      <c r="A3106">
        <v>2022</v>
      </c>
      <c r="B3106" t="s">
        <v>10215</v>
      </c>
      <c r="C3106" t="s">
        <v>10216</v>
      </c>
      <c r="D3106" t="s">
        <v>58</v>
      </c>
      <c r="E3106" t="s">
        <v>20</v>
      </c>
      <c r="F3106" t="str">
        <f>"43616-2441"</f>
        <v>43616-2441</v>
      </c>
      <c r="G3106" t="str">
        <f>"545101"</f>
        <v>545101</v>
      </c>
      <c r="H3106" s="2">
        <f>80</f>
        <v>80</v>
      </c>
      <c r="I3106" t="s">
        <v>27</v>
      </c>
      <c r="J3106" t="s">
        <v>51</v>
      </c>
      <c r="K3106" t="str">
        <f>"116772"</f>
        <v>116772</v>
      </c>
    </row>
    <row r="3107" spans="1:11" x14ac:dyDescent="0.25">
      <c r="A3107">
        <v>2022</v>
      </c>
      <c r="B3107" t="s">
        <v>10269</v>
      </c>
      <c r="C3107" t="s">
        <v>10270</v>
      </c>
      <c r="D3107" t="s">
        <v>19</v>
      </c>
      <c r="E3107" t="s">
        <v>20</v>
      </c>
      <c r="F3107" t="str">
        <f>"43615"</f>
        <v>43615</v>
      </c>
      <c r="G3107" t="str">
        <f>"545044"</f>
        <v>545044</v>
      </c>
      <c r="H3107" s="2">
        <f>200</f>
        <v>200</v>
      </c>
      <c r="I3107" t="s">
        <v>27</v>
      </c>
      <c r="J3107" t="s">
        <v>28</v>
      </c>
      <c r="K3107" t="str">
        <f>"519299"</f>
        <v>519299</v>
      </c>
    </row>
    <row r="3108" spans="1:11" x14ac:dyDescent="0.25">
      <c r="A3108">
        <v>2022</v>
      </c>
      <c r="B3108" t="s">
        <v>10283</v>
      </c>
      <c r="C3108" t="s">
        <v>10284</v>
      </c>
      <c r="D3108" t="s">
        <v>19</v>
      </c>
      <c r="E3108" t="s">
        <v>20</v>
      </c>
      <c r="F3108" t="str">
        <f>"43607"</f>
        <v>43607</v>
      </c>
      <c r="G3108" t="str">
        <f>"545042"</f>
        <v>545042</v>
      </c>
      <c r="H3108" s="2">
        <f>6</f>
        <v>6</v>
      </c>
      <c r="I3108" t="s">
        <v>27</v>
      </c>
      <c r="J3108" t="s">
        <v>257</v>
      </c>
      <c r="K3108" t="str">
        <f>"38259"</f>
        <v>38259</v>
      </c>
    </row>
    <row r="3109" spans="1:11" x14ac:dyDescent="0.25">
      <c r="A3109">
        <v>2022</v>
      </c>
      <c r="B3109" t="s">
        <v>10307</v>
      </c>
      <c r="C3109" t="s">
        <v>10308</v>
      </c>
      <c r="D3109" t="s">
        <v>19</v>
      </c>
      <c r="E3109" t="s">
        <v>20</v>
      </c>
      <c r="F3109" t="str">
        <f>"43615"</f>
        <v>43615</v>
      </c>
      <c r="G3109" t="str">
        <f>"Je010722"</f>
        <v>Je010722</v>
      </c>
      <c r="H3109" s="2">
        <f>59.91</f>
        <v>59.91</v>
      </c>
      <c r="I3109" t="s">
        <v>15</v>
      </c>
      <c r="J3109" t="s">
        <v>90</v>
      </c>
      <c r="K3109" t="str">
        <f>"60025817"</f>
        <v>60025817</v>
      </c>
    </row>
    <row r="3110" spans="1:11" x14ac:dyDescent="0.25">
      <c r="A3110">
        <v>2022</v>
      </c>
      <c r="B3110" t="s">
        <v>10355</v>
      </c>
      <c r="C3110" t="s">
        <v>10356</v>
      </c>
      <c r="D3110" t="s">
        <v>125</v>
      </c>
      <c r="E3110" t="s">
        <v>20</v>
      </c>
      <c r="F3110" t="str">
        <f>"43537"</f>
        <v>43537</v>
      </c>
      <c r="G3110" t="str">
        <f>"Je031622"</f>
        <v>Je031622</v>
      </c>
      <c r="H3110" s="2">
        <f>135.36</f>
        <v>135.36000000000001</v>
      </c>
      <c r="I3110" t="s">
        <v>15</v>
      </c>
      <c r="J3110" t="s">
        <v>117</v>
      </c>
      <c r="K3110" t="str">
        <f>"60043016"</f>
        <v>60043016</v>
      </c>
    </row>
    <row r="3111" spans="1:11" x14ac:dyDescent="0.25">
      <c r="A3111">
        <v>2022</v>
      </c>
      <c r="B3111" t="s">
        <v>10357</v>
      </c>
      <c r="C3111" t="s">
        <v>10358</v>
      </c>
      <c r="D3111" t="s">
        <v>50</v>
      </c>
      <c r="E3111" t="s">
        <v>20</v>
      </c>
      <c r="F3111" t="str">
        <f>"43560-2619"</f>
        <v>43560-2619</v>
      </c>
      <c r="G3111" t="str">
        <f>"545101"</f>
        <v>545101</v>
      </c>
      <c r="H3111" s="2">
        <f>10</f>
        <v>10</v>
      </c>
      <c r="I3111" t="s">
        <v>27</v>
      </c>
      <c r="J3111" t="s">
        <v>51</v>
      </c>
      <c r="K3111" t="str">
        <f>"117852"</f>
        <v>117852</v>
      </c>
    </row>
    <row r="3112" spans="1:11" x14ac:dyDescent="0.25">
      <c r="A3112">
        <v>2022</v>
      </c>
      <c r="B3112" t="s">
        <v>10359</v>
      </c>
      <c r="C3112" t="s">
        <v>10360</v>
      </c>
      <c r="D3112" t="s">
        <v>19</v>
      </c>
      <c r="E3112" t="s">
        <v>20</v>
      </c>
      <c r="F3112" t="str">
        <f>"43607"</f>
        <v>43607</v>
      </c>
      <c r="G3112" t="str">
        <f>"545075"</f>
        <v>545075</v>
      </c>
      <c r="H3112" s="2">
        <f>3</f>
        <v>3</v>
      </c>
      <c r="I3112" t="s">
        <v>27</v>
      </c>
      <c r="J3112" t="s">
        <v>31</v>
      </c>
      <c r="K3112" t="str">
        <f>"11004065"</f>
        <v>11004065</v>
      </c>
    </row>
    <row r="3113" spans="1:11" x14ac:dyDescent="0.25">
      <c r="A3113">
        <v>2022</v>
      </c>
      <c r="B3113" t="s">
        <v>10361</v>
      </c>
      <c r="C3113" t="s">
        <v>10362</v>
      </c>
      <c r="D3113" t="s">
        <v>19</v>
      </c>
      <c r="E3113" t="s">
        <v>20</v>
      </c>
      <c r="F3113" t="str">
        <f>"43611"</f>
        <v>43611</v>
      </c>
      <c r="G3113" t="str">
        <f>"Je031622"</f>
        <v>Je031622</v>
      </c>
      <c r="H3113" s="2">
        <f>50</f>
        <v>50</v>
      </c>
      <c r="I3113" t="s">
        <v>15</v>
      </c>
      <c r="J3113" t="s">
        <v>117</v>
      </c>
      <c r="K3113" t="str">
        <f>"60038562"</f>
        <v>60038562</v>
      </c>
    </row>
    <row r="3114" spans="1:11" x14ac:dyDescent="0.25">
      <c r="A3114">
        <v>2022</v>
      </c>
      <c r="B3114" t="s">
        <v>10408</v>
      </c>
      <c r="C3114" t="s">
        <v>10409</v>
      </c>
      <c r="D3114" t="s">
        <v>1729</v>
      </c>
      <c r="E3114" t="s">
        <v>20</v>
      </c>
      <c r="F3114" t="str">
        <f>"45420"</f>
        <v>45420</v>
      </c>
      <c r="G3114" t="str">
        <f>"Je031622"</f>
        <v>Je031622</v>
      </c>
      <c r="H3114" s="2">
        <f>132.75</f>
        <v>132.75</v>
      </c>
      <c r="I3114" t="s">
        <v>15</v>
      </c>
      <c r="J3114" t="s">
        <v>117</v>
      </c>
      <c r="K3114" t="str">
        <f>"60042272"</f>
        <v>60042272</v>
      </c>
    </row>
    <row r="3115" spans="1:11" x14ac:dyDescent="0.25">
      <c r="A3115">
        <v>2022</v>
      </c>
      <c r="B3115" t="s">
        <v>10435</v>
      </c>
      <c r="C3115" t="s">
        <v>10436</v>
      </c>
      <c r="D3115" t="s">
        <v>19</v>
      </c>
      <c r="E3115" t="s">
        <v>20</v>
      </c>
      <c r="F3115" t="str">
        <f>"43615-3807"</f>
        <v>43615-3807</v>
      </c>
      <c r="G3115" t="str">
        <f>"545101"</f>
        <v>545101</v>
      </c>
      <c r="H3115" s="2">
        <f>20</f>
        <v>20</v>
      </c>
      <c r="I3115" t="s">
        <v>27</v>
      </c>
      <c r="J3115" t="s">
        <v>51</v>
      </c>
      <c r="K3115" t="str">
        <f>"116978"</f>
        <v>116978</v>
      </c>
    </row>
    <row r="3116" spans="1:11" x14ac:dyDescent="0.25">
      <c r="A3116">
        <v>2022</v>
      </c>
      <c r="B3116" t="s">
        <v>10437</v>
      </c>
      <c r="C3116" t="s">
        <v>10438</v>
      </c>
      <c r="D3116" t="s">
        <v>7916</v>
      </c>
      <c r="E3116" t="s">
        <v>20</v>
      </c>
      <c r="F3116" t="str">
        <f>"43465"</f>
        <v>43465</v>
      </c>
      <c r="G3116" t="str">
        <f>"Je031622"</f>
        <v>Je031622</v>
      </c>
      <c r="H3116" s="2">
        <f>3.06</f>
        <v>3.06</v>
      </c>
      <c r="I3116" t="s">
        <v>15</v>
      </c>
      <c r="J3116" t="s">
        <v>117</v>
      </c>
      <c r="K3116" t="str">
        <f>"60043374"</f>
        <v>60043374</v>
      </c>
    </row>
    <row r="3117" spans="1:11" x14ac:dyDescent="0.25">
      <c r="A3117">
        <v>2022</v>
      </c>
      <c r="B3117" t="s">
        <v>10449</v>
      </c>
      <c r="C3117" t="s">
        <v>10450</v>
      </c>
      <c r="D3117" t="s">
        <v>19</v>
      </c>
      <c r="E3117" t="s">
        <v>20</v>
      </c>
      <c r="F3117" t="str">
        <f>"43614"</f>
        <v>43614</v>
      </c>
      <c r="G3117" t="str">
        <f>"Je031622"</f>
        <v>Je031622</v>
      </c>
      <c r="H3117" s="2">
        <f>25</f>
        <v>25</v>
      </c>
      <c r="I3117" t="s">
        <v>15</v>
      </c>
      <c r="J3117" t="s">
        <v>117</v>
      </c>
      <c r="K3117" t="str">
        <f>"60038566"</f>
        <v>60038566</v>
      </c>
    </row>
    <row r="3118" spans="1:11" x14ac:dyDescent="0.25">
      <c r="A3118">
        <v>2022</v>
      </c>
      <c r="B3118" t="s">
        <v>10463</v>
      </c>
      <c r="C3118" t="s">
        <v>10464</v>
      </c>
      <c r="D3118" t="s">
        <v>19</v>
      </c>
      <c r="E3118" t="s">
        <v>20</v>
      </c>
      <c r="F3118" t="str">
        <f>"43605"</f>
        <v>43605</v>
      </c>
      <c r="G3118" t="str">
        <f>"545075"</f>
        <v>545075</v>
      </c>
      <c r="H3118" s="2">
        <f>2.75</f>
        <v>2.75</v>
      </c>
      <c r="I3118" t="s">
        <v>27</v>
      </c>
      <c r="J3118" t="s">
        <v>31</v>
      </c>
      <c r="K3118" t="str">
        <f>"44009003"</f>
        <v>44009003</v>
      </c>
    </row>
    <row r="3119" spans="1:11" x14ac:dyDescent="0.25">
      <c r="A3119">
        <v>2022</v>
      </c>
      <c r="B3119" t="s">
        <v>10473</v>
      </c>
      <c r="C3119" t="s">
        <v>1694</v>
      </c>
      <c r="D3119" t="s">
        <v>58</v>
      </c>
      <c r="E3119" t="s">
        <v>20</v>
      </c>
      <c r="F3119" t="str">
        <f>"43616"</f>
        <v>43616</v>
      </c>
      <c r="G3119" t="str">
        <f>"545042"</f>
        <v>545042</v>
      </c>
      <c r="H3119" s="2">
        <f>27.25</f>
        <v>27.25</v>
      </c>
      <c r="I3119" t="s">
        <v>27</v>
      </c>
      <c r="J3119" t="s">
        <v>257</v>
      </c>
      <c r="K3119" t="str">
        <f>"36900"</f>
        <v>36900</v>
      </c>
    </row>
    <row r="3120" spans="1:11" x14ac:dyDescent="0.25">
      <c r="A3120">
        <v>2022</v>
      </c>
      <c r="B3120" t="s">
        <v>10491</v>
      </c>
      <c r="C3120" t="s">
        <v>10492</v>
      </c>
      <c r="D3120" t="s">
        <v>50</v>
      </c>
      <c r="E3120" t="s">
        <v>20</v>
      </c>
      <c r="F3120" t="str">
        <f>"43560-2937"</f>
        <v>43560-2937</v>
      </c>
      <c r="G3120" t="str">
        <f>"545101"</f>
        <v>545101</v>
      </c>
      <c r="H3120" s="2">
        <f>20</f>
        <v>20</v>
      </c>
      <c r="I3120" t="s">
        <v>27</v>
      </c>
      <c r="J3120" t="s">
        <v>51</v>
      </c>
      <c r="K3120" t="str">
        <f>"117039"</f>
        <v>117039</v>
      </c>
    </row>
    <row r="3121" spans="1:11" x14ac:dyDescent="0.25">
      <c r="A3121">
        <v>2022</v>
      </c>
      <c r="B3121" t="s">
        <v>10495</v>
      </c>
      <c r="C3121" t="s">
        <v>10496</v>
      </c>
      <c r="D3121" t="s">
        <v>125</v>
      </c>
      <c r="E3121" t="s">
        <v>20</v>
      </c>
      <c r="F3121" t="str">
        <f>"43537-9514"</f>
        <v>43537-9514</v>
      </c>
      <c r="G3121" t="str">
        <f>"545101"</f>
        <v>545101</v>
      </c>
      <c r="H3121" s="2">
        <f>10</f>
        <v>10</v>
      </c>
      <c r="I3121" t="s">
        <v>27</v>
      </c>
      <c r="J3121" t="s">
        <v>51</v>
      </c>
      <c r="K3121" t="str">
        <f>"117127"</f>
        <v>117127</v>
      </c>
    </row>
    <row r="3122" spans="1:11" x14ac:dyDescent="0.25">
      <c r="A3122">
        <v>2022</v>
      </c>
      <c r="B3122" t="s">
        <v>10514</v>
      </c>
      <c r="C3122" t="s">
        <v>10515</v>
      </c>
      <c r="D3122" t="s">
        <v>19</v>
      </c>
      <c r="E3122" t="s">
        <v>20</v>
      </c>
      <c r="F3122" t="str">
        <f>"43604"</f>
        <v>43604</v>
      </c>
      <c r="G3122" t="str">
        <f>"545042"</f>
        <v>545042</v>
      </c>
      <c r="H3122" s="2">
        <f>9.38</f>
        <v>9.3800000000000008</v>
      </c>
      <c r="I3122" t="s">
        <v>27</v>
      </c>
      <c r="J3122" t="s">
        <v>257</v>
      </c>
      <c r="K3122" t="str">
        <f>"38169"</f>
        <v>38169</v>
      </c>
    </row>
    <row r="3123" spans="1:11" x14ac:dyDescent="0.25">
      <c r="A3123">
        <v>2022</v>
      </c>
      <c r="B3123" t="s">
        <v>10516</v>
      </c>
      <c r="C3123" t="s">
        <v>2762</v>
      </c>
      <c r="D3123" t="s">
        <v>19</v>
      </c>
      <c r="E3123" t="s">
        <v>20</v>
      </c>
      <c r="F3123" t="str">
        <f>"43624"</f>
        <v>43624</v>
      </c>
      <c r="G3123" t="str">
        <f>"Je11032022"</f>
        <v>Je11032022</v>
      </c>
      <c r="H3123" s="2">
        <f>25</f>
        <v>25</v>
      </c>
      <c r="I3123" t="s">
        <v>15</v>
      </c>
      <c r="J3123" t="s">
        <v>234</v>
      </c>
      <c r="K3123" t="str">
        <f>"60054188"</f>
        <v>60054188</v>
      </c>
    </row>
    <row r="3124" spans="1:11" x14ac:dyDescent="0.25">
      <c r="A3124">
        <v>2022</v>
      </c>
      <c r="B3124" t="s">
        <v>10562</v>
      </c>
      <c r="C3124" t="s">
        <v>10563</v>
      </c>
      <c r="D3124" t="s">
        <v>50</v>
      </c>
      <c r="E3124" t="s">
        <v>20</v>
      </c>
      <c r="F3124" t="str">
        <f>"43560-1115"</f>
        <v>43560-1115</v>
      </c>
      <c r="G3124" t="str">
        <f>"545101"</f>
        <v>545101</v>
      </c>
      <c r="H3124" s="2">
        <f>20</f>
        <v>20</v>
      </c>
      <c r="I3124" t="s">
        <v>27</v>
      </c>
      <c r="J3124" t="s">
        <v>51</v>
      </c>
      <c r="K3124" t="str">
        <f>"117285"</f>
        <v>117285</v>
      </c>
    </row>
    <row r="3125" spans="1:11" x14ac:dyDescent="0.25">
      <c r="A3125">
        <v>2022</v>
      </c>
      <c r="B3125" t="s">
        <v>10568</v>
      </c>
      <c r="C3125" t="s">
        <v>10569</v>
      </c>
      <c r="D3125" t="s">
        <v>19</v>
      </c>
      <c r="E3125" t="s">
        <v>20</v>
      </c>
      <c r="F3125" t="str">
        <f>"43623-2736"</f>
        <v>43623-2736</v>
      </c>
      <c r="G3125" t="str">
        <f>"545101"</f>
        <v>545101</v>
      </c>
      <c r="H3125" s="2">
        <f>10</f>
        <v>10</v>
      </c>
      <c r="I3125" t="s">
        <v>27</v>
      </c>
      <c r="J3125" t="s">
        <v>51</v>
      </c>
      <c r="K3125" t="str">
        <f>"117490"</f>
        <v>117490</v>
      </c>
    </row>
    <row r="3126" spans="1:11" x14ac:dyDescent="0.25">
      <c r="A3126">
        <v>2022</v>
      </c>
      <c r="B3126" t="s">
        <v>10597</v>
      </c>
      <c r="C3126" t="s">
        <v>10599</v>
      </c>
      <c r="D3126" t="s">
        <v>19</v>
      </c>
      <c r="E3126" t="s">
        <v>20</v>
      </c>
      <c r="F3126" t="str">
        <f>"43623"</f>
        <v>43623</v>
      </c>
      <c r="G3126" t="str">
        <f>"545043"</f>
        <v>545043</v>
      </c>
      <c r="H3126" s="2">
        <f>13.75</f>
        <v>13.75</v>
      </c>
      <c r="I3126" t="s">
        <v>27</v>
      </c>
      <c r="J3126" t="s">
        <v>77</v>
      </c>
      <c r="K3126" t="str">
        <f>"333637"</f>
        <v>333637</v>
      </c>
    </row>
    <row r="3127" spans="1:11" x14ac:dyDescent="0.25">
      <c r="A3127">
        <v>2022</v>
      </c>
      <c r="B3127" t="s">
        <v>10597</v>
      </c>
      <c r="C3127" t="s">
        <v>10599</v>
      </c>
      <c r="D3127" t="s">
        <v>19</v>
      </c>
      <c r="E3127" t="s">
        <v>20</v>
      </c>
      <c r="F3127" t="str">
        <f>"43623"</f>
        <v>43623</v>
      </c>
      <c r="G3127" t="str">
        <f>"545043"</f>
        <v>545043</v>
      </c>
      <c r="H3127" s="2">
        <f>27.27</f>
        <v>27.27</v>
      </c>
      <c r="I3127" t="s">
        <v>27</v>
      </c>
      <c r="J3127" t="s">
        <v>77</v>
      </c>
      <c r="K3127" t="str">
        <f>"333652"</f>
        <v>333652</v>
      </c>
    </row>
    <row r="3128" spans="1:11" x14ac:dyDescent="0.25">
      <c r="A3128">
        <v>2022</v>
      </c>
      <c r="B3128" t="s">
        <v>10604</v>
      </c>
      <c r="C3128" t="s">
        <v>10605</v>
      </c>
      <c r="D3128" t="s">
        <v>19</v>
      </c>
      <c r="E3128" t="s">
        <v>20</v>
      </c>
      <c r="F3128" t="str">
        <f>"43613"</f>
        <v>43613</v>
      </c>
      <c r="G3128" t="str">
        <f>"545042"</f>
        <v>545042</v>
      </c>
      <c r="H3128" s="2">
        <f>13.25</f>
        <v>13.25</v>
      </c>
      <c r="I3128" t="s">
        <v>27</v>
      </c>
      <c r="J3128" t="s">
        <v>257</v>
      </c>
      <c r="K3128" t="str">
        <f>"38261"</f>
        <v>38261</v>
      </c>
    </row>
    <row r="3129" spans="1:11" x14ac:dyDescent="0.25">
      <c r="A3129">
        <v>2022</v>
      </c>
      <c r="B3129" t="s">
        <v>10612</v>
      </c>
      <c r="C3129" t="s">
        <v>10613</v>
      </c>
      <c r="D3129" t="s">
        <v>10614</v>
      </c>
      <c r="E3129" t="s">
        <v>436</v>
      </c>
      <c r="F3129" t="str">
        <f>"15108"</f>
        <v>15108</v>
      </c>
      <c r="G3129" t="str">
        <f>"Je010722"</f>
        <v>Je010722</v>
      </c>
      <c r="H3129" s="2">
        <f>2280.64</f>
        <v>2280.64</v>
      </c>
      <c r="I3129" t="s">
        <v>15</v>
      </c>
      <c r="J3129" t="s">
        <v>90</v>
      </c>
      <c r="K3129" t="str">
        <f>"60025948"</f>
        <v>60025948</v>
      </c>
    </row>
    <row r="3130" spans="1:11" x14ac:dyDescent="0.25">
      <c r="A3130">
        <v>2022</v>
      </c>
      <c r="B3130" t="s">
        <v>10622</v>
      </c>
      <c r="C3130" t="s">
        <v>10623</v>
      </c>
      <c r="D3130" t="s">
        <v>19</v>
      </c>
      <c r="E3130" t="s">
        <v>20</v>
      </c>
      <c r="F3130" t="str">
        <f>"43612-1038"</f>
        <v>43612-1038</v>
      </c>
      <c r="G3130" t="str">
        <f>"545101"</f>
        <v>545101</v>
      </c>
      <c r="H3130" s="2">
        <f>10</f>
        <v>10</v>
      </c>
      <c r="I3130" t="s">
        <v>27</v>
      </c>
      <c r="J3130" t="s">
        <v>51</v>
      </c>
      <c r="K3130" t="str">
        <f>"117639"</f>
        <v>117639</v>
      </c>
    </row>
    <row r="3131" spans="1:11" x14ac:dyDescent="0.25">
      <c r="A3131">
        <v>2022</v>
      </c>
      <c r="B3131" t="s">
        <v>10638</v>
      </c>
      <c r="C3131" t="s">
        <v>10639</v>
      </c>
      <c r="D3131" t="s">
        <v>19</v>
      </c>
      <c r="E3131" t="s">
        <v>20</v>
      </c>
      <c r="F3131" t="str">
        <f>"43605"</f>
        <v>43605</v>
      </c>
      <c r="G3131" t="str">
        <f>"Je010722"</f>
        <v>Je010722</v>
      </c>
      <c r="H3131" s="2">
        <f>10</f>
        <v>10</v>
      </c>
      <c r="I3131" t="s">
        <v>15</v>
      </c>
      <c r="J3131" t="s">
        <v>90</v>
      </c>
      <c r="K3131" t="str">
        <f>"60035515"</f>
        <v>60035515</v>
      </c>
    </row>
    <row r="3132" spans="1:11" x14ac:dyDescent="0.25">
      <c r="A3132">
        <v>2022</v>
      </c>
      <c r="B3132" t="s">
        <v>10660</v>
      </c>
      <c r="C3132" t="s">
        <v>10661</v>
      </c>
      <c r="D3132" t="s">
        <v>19</v>
      </c>
      <c r="E3132" t="s">
        <v>20</v>
      </c>
      <c r="F3132" t="str">
        <f>"43613"</f>
        <v>43613</v>
      </c>
      <c r="G3132" t="str">
        <f>"545043"</f>
        <v>545043</v>
      </c>
      <c r="H3132" s="2">
        <f>8.3</f>
        <v>8.3000000000000007</v>
      </c>
      <c r="I3132" t="s">
        <v>27</v>
      </c>
      <c r="J3132" t="s">
        <v>77</v>
      </c>
      <c r="K3132" t="str">
        <f>"333036"</f>
        <v>333036</v>
      </c>
    </row>
    <row r="3133" spans="1:11" x14ac:dyDescent="0.25">
      <c r="A3133">
        <v>2022</v>
      </c>
      <c r="B3133" t="s">
        <v>10662</v>
      </c>
      <c r="C3133" t="s">
        <v>10663</v>
      </c>
      <c r="D3133" t="s">
        <v>1074</v>
      </c>
      <c r="E3133" t="s">
        <v>20</v>
      </c>
      <c r="F3133" t="str">
        <f>"43551"</f>
        <v>43551</v>
      </c>
      <c r="G3133" t="str">
        <f>"Je031622"</f>
        <v>Je031622</v>
      </c>
      <c r="H3133" s="2">
        <f>67.87</f>
        <v>67.87</v>
      </c>
      <c r="I3133" t="s">
        <v>15</v>
      </c>
      <c r="J3133" t="s">
        <v>117</v>
      </c>
      <c r="K3133" t="str">
        <f>"60042288"</f>
        <v>60042288</v>
      </c>
    </row>
    <row r="3134" spans="1:11" x14ac:dyDescent="0.25">
      <c r="A3134">
        <v>2022</v>
      </c>
      <c r="B3134" t="s">
        <v>10673</v>
      </c>
      <c r="C3134" t="s">
        <v>10674</v>
      </c>
      <c r="D3134" t="s">
        <v>19</v>
      </c>
      <c r="E3134" t="s">
        <v>20</v>
      </c>
      <c r="F3134" t="str">
        <f t="shared" ref="F3134:F3142" si="95">"43614"</f>
        <v>43614</v>
      </c>
      <c r="G3134" t="str">
        <f>"Je11032022"</f>
        <v>Je11032022</v>
      </c>
      <c r="H3134" s="2">
        <f t="shared" ref="H3134:H3142" si="96">15.08</f>
        <v>15.08</v>
      </c>
      <c r="I3134" t="s">
        <v>15</v>
      </c>
      <c r="J3134" t="s">
        <v>234</v>
      </c>
      <c r="K3134" t="str">
        <f>"60052045"</f>
        <v>60052045</v>
      </c>
    </row>
    <row r="3135" spans="1:11" x14ac:dyDescent="0.25">
      <c r="A3135">
        <v>2022</v>
      </c>
      <c r="B3135" t="s">
        <v>10673</v>
      </c>
      <c r="C3135" t="s">
        <v>10674</v>
      </c>
      <c r="D3135" t="s">
        <v>19</v>
      </c>
      <c r="E3135" t="s">
        <v>20</v>
      </c>
      <c r="F3135" t="str">
        <f t="shared" si="95"/>
        <v>43614</v>
      </c>
      <c r="G3135" t="str">
        <f>"Je11032022"</f>
        <v>Je11032022</v>
      </c>
      <c r="H3135" s="2">
        <f t="shared" si="96"/>
        <v>15.08</v>
      </c>
      <c r="I3135" t="s">
        <v>15</v>
      </c>
      <c r="J3135" t="s">
        <v>234</v>
      </c>
      <c r="K3135" t="str">
        <f>"60058040"</f>
        <v>60058040</v>
      </c>
    </row>
    <row r="3136" spans="1:11" x14ac:dyDescent="0.25">
      <c r="A3136">
        <v>2022</v>
      </c>
      <c r="B3136" t="s">
        <v>10673</v>
      </c>
      <c r="C3136" t="s">
        <v>10674</v>
      </c>
      <c r="D3136" t="s">
        <v>19</v>
      </c>
      <c r="E3136" t="s">
        <v>20</v>
      </c>
      <c r="F3136" t="str">
        <f t="shared" si="95"/>
        <v>43614</v>
      </c>
      <c r="G3136" t="str">
        <f>"Je11032022"</f>
        <v>Je11032022</v>
      </c>
      <c r="H3136" s="2">
        <f t="shared" si="96"/>
        <v>15.08</v>
      </c>
      <c r="I3136" t="s">
        <v>15</v>
      </c>
      <c r="J3136" t="s">
        <v>234</v>
      </c>
      <c r="K3136" t="str">
        <f>"60055315"</f>
        <v>60055315</v>
      </c>
    </row>
    <row r="3137" spans="1:11" x14ac:dyDescent="0.25">
      <c r="A3137">
        <v>2022</v>
      </c>
      <c r="B3137" t="s">
        <v>10673</v>
      </c>
      <c r="C3137" t="s">
        <v>10674</v>
      </c>
      <c r="D3137" t="s">
        <v>19</v>
      </c>
      <c r="E3137" t="s">
        <v>20</v>
      </c>
      <c r="F3137" t="str">
        <f t="shared" si="95"/>
        <v>43614</v>
      </c>
      <c r="G3137" t="str">
        <f>"Je031622"</f>
        <v>Je031622</v>
      </c>
      <c r="H3137" s="2">
        <f t="shared" si="96"/>
        <v>15.08</v>
      </c>
      <c r="I3137" t="s">
        <v>15</v>
      </c>
      <c r="J3137" t="s">
        <v>117</v>
      </c>
      <c r="K3137" t="str">
        <f>"60042290"</f>
        <v>60042290</v>
      </c>
    </row>
    <row r="3138" spans="1:11" x14ac:dyDescent="0.25">
      <c r="A3138">
        <v>2022</v>
      </c>
      <c r="B3138" t="s">
        <v>10673</v>
      </c>
      <c r="C3138" t="s">
        <v>10674</v>
      </c>
      <c r="D3138" t="s">
        <v>19</v>
      </c>
      <c r="E3138" t="s">
        <v>20</v>
      </c>
      <c r="F3138" t="str">
        <f t="shared" si="95"/>
        <v>43614</v>
      </c>
      <c r="G3138" t="str">
        <f>"Je031622"</f>
        <v>Je031622</v>
      </c>
      <c r="H3138" s="2">
        <f t="shared" si="96"/>
        <v>15.08</v>
      </c>
      <c r="I3138" t="s">
        <v>15</v>
      </c>
      <c r="J3138" t="s">
        <v>117</v>
      </c>
      <c r="K3138" t="str">
        <f>"60039932"</f>
        <v>60039932</v>
      </c>
    </row>
    <row r="3139" spans="1:11" x14ac:dyDescent="0.25">
      <c r="A3139">
        <v>2022</v>
      </c>
      <c r="B3139" t="s">
        <v>10673</v>
      </c>
      <c r="C3139" t="s">
        <v>10674</v>
      </c>
      <c r="D3139" t="s">
        <v>19</v>
      </c>
      <c r="E3139" t="s">
        <v>20</v>
      </c>
      <c r="F3139" t="str">
        <f t="shared" si="95"/>
        <v>43614</v>
      </c>
      <c r="G3139" t="str">
        <f>"Je031622"</f>
        <v>Je031622</v>
      </c>
      <c r="H3139" s="2">
        <f t="shared" si="96"/>
        <v>15.08</v>
      </c>
      <c r="I3139" t="s">
        <v>15</v>
      </c>
      <c r="J3139" t="s">
        <v>117</v>
      </c>
      <c r="K3139" t="str">
        <f>"60037364"</f>
        <v>60037364</v>
      </c>
    </row>
    <row r="3140" spans="1:11" x14ac:dyDescent="0.25">
      <c r="A3140">
        <v>2022</v>
      </c>
      <c r="B3140" t="s">
        <v>10673</v>
      </c>
      <c r="C3140" t="s">
        <v>10674</v>
      </c>
      <c r="D3140" t="s">
        <v>19</v>
      </c>
      <c r="E3140" t="s">
        <v>20</v>
      </c>
      <c r="F3140" t="str">
        <f t="shared" si="95"/>
        <v>43614</v>
      </c>
      <c r="G3140" t="str">
        <f t="shared" ref="G3140:G3145" si="97">"Je010722"</f>
        <v>Je010722</v>
      </c>
      <c r="H3140" s="2">
        <f t="shared" si="96"/>
        <v>15.08</v>
      </c>
      <c r="I3140" t="s">
        <v>15</v>
      </c>
      <c r="J3140" t="s">
        <v>90</v>
      </c>
      <c r="K3140" t="str">
        <f>"60026827"</f>
        <v>60026827</v>
      </c>
    </row>
    <row r="3141" spans="1:11" x14ac:dyDescent="0.25">
      <c r="A3141">
        <v>2022</v>
      </c>
      <c r="B3141" t="s">
        <v>10673</v>
      </c>
      <c r="C3141" t="s">
        <v>10674</v>
      </c>
      <c r="D3141" t="s">
        <v>19</v>
      </c>
      <c r="E3141" t="s">
        <v>20</v>
      </c>
      <c r="F3141" t="str">
        <f t="shared" si="95"/>
        <v>43614</v>
      </c>
      <c r="G3141" t="str">
        <f t="shared" si="97"/>
        <v>Je010722</v>
      </c>
      <c r="H3141" s="2">
        <f t="shared" si="96"/>
        <v>15.08</v>
      </c>
      <c r="I3141" t="s">
        <v>15</v>
      </c>
      <c r="J3141" t="s">
        <v>90</v>
      </c>
      <c r="K3141" t="str">
        <f>"60029587"</f>
        <v>60029587</v>
      </c>
    </row>
    <row r="3142" spans="1:11" x14ac:dyDescent="0.25">
      <c r="A3142">
        <v>2022</v>
      </c>
      <c r="B3142" t="s">
        <v>10673</v>
      </c>
      <c r="C3142" t="s">
        <v>10674</v>
      </c>
      <c r="D3142" t="s">
        <v>19</v>
      </c>
      <c r="E3142" t="s">
        <v>20</v>
      </c>
      <c r="F3142" t="str">
        <f t="shared" si="95"/>
        <v>43614</v>
      </c>
      <c r="G3142" t="str">
        <f t="shared" si="97"/>
        <v>Je010722</v>
      </c>
      <c r="H3142" s="2">
        <f t="shared" si="96"/>
        <v>15.08</v>
      </c>
      <c r="I3142" t="s">
        <v>15</v>
      </c>
      <c r="J3142" t="s">
        <v>90</v>
      </c>
      <c r="K3142" t="str">
        <f>"60034918"</f>
        <v>60034918</v>
      </c>
    </row>
    <row r="3143" spans="1:11" x14ac:dyDescent="0.25">
      <c r="A3143">
        <v>2022</v>
      </c>
      <c r="B3143" t="s">
        <v>10687</v>
      </c>
      <c r="C3143" t="s">
        <v>10688</v>
      </c>
      <c r="D3143" t="s">
        <v>19</v>
      </c>
      <c r="E3143" t="s">
        <v>20</v>
      </c>
      <c r="F3143" t="str">
        <f t="shared" ref="F3143:F3148" si="98">"43608"</f>
        <v>43608</v>
      </c>
      <c r="G3143" t="str">
        <f t="shared" si="97"/>
        <v>Je010722</v>
      </c>
      <c r="H3143" s="2">
        <f t="shared" ref="H3143:H3148" si="99">62.15</f>
        <v>62.15</v>
      </c>
      <c r="I3143" t="s">
        <v>15</v>
      </c>
      <c r="J3143" t="s">
        <v>90</v>
      </c>
      <c r="K3143" t="str">
        <f>"60034919"</f>
        <v>60034919</v>
      </c>
    </row>
    <row r="3144" spans="1:11" x14ac:dyDescent="0.25">
      <c r="A3144">
        <v>2022</v>
      </c>
      <c r="B3144" t="s">
        <v>10687</v>
      </c>
      <c r="C3144" t="s">
        <v>10688</v>
      </c>
      <c r="D3144" t="s">
        <v>19</v>
      </c>
      <c r="E3144" t="s">
        <v>20</v>
      </c>
      <c r="F3144" t="str">
        <f t="shared" si="98"/>
        <v>43608</v>
      </c>
      <c r="G3144" t="str">
        <f t="shared" si="97"/>
        <v>Je010722</v>
      </c>
      <c r="H3144" s="2">
        <f t="shared" si="99"/>
        <v>62.15</v>
      </c>
      <c r="I3144" t="s">
        <v>15</v>
      </c>
      <c r="J3144" t="s">
        <v>90</v>
      </c>
      <c r="K3144" t="str">
        <f>"60029588"</f>
        <v>60029588</v>
      </c>
    </row>
    <row r="3145" spans="1:11" x14ac:dyDescent="0.25">
      <c r="A3145">
        <v>2022</v>
      </c>
      <c r="B3145" t="s">
        <v>10687</v>
      </c>
      <c r="C3145" t="s">
        <v>10688</v>
      </c>
      <c r="D3145" t="s">
        <v>19</v>
      </c>
      <c r="E3145" t="s">
        <v>20</v>
      </c>
      <c r="F3145" t="str">
        <f t="shared" si="98"/>
        <v>43608</v>
      </c>
      <c r="G3145" t="str">
        <f t="shared" si="97"/>
        <v>Je010722</v>
      </c>
      <c r="H3145" s="2">
        <f t="shared" si="99"/>
        <v>62.15</v>
      </c>
      <c r="I3145" t="s">
        <v>15</v>
      </c>
      <c r="J3145" t="s">
        <v>90</v>
      </c>
      <c r="K3145" t="str">
        <f>"60026828"</f>
        <v>60026828</v>
      </c>
    </row>
    <row r="3146" spans="1:11" x14ac:dyDescent="0.25">
      <c r="A3146">
        <v>2022</v>
      </c>
      <c r="B3146" t="s">
        <v>10687</v>
      </c>
      <c r="C3146" t="s">
        <v>10688</v>
      </c>
      <c r="D3146" t="s">
        <v>19</v>
      </c>
      <c r="E3146" t="s">
        <v>20</v>
      </c>
      <c r="F3146" t="str">
        <f t="shared" si="98"/>
        <v>43608</v>
      </c>
      <c r="G3146" t="str">
        <f>"Je031622"</f>
        <v>Je031622</v>
      </c>
      <c r="H3146" s="2">
        <f t="shared" si="99"/>
        <v>62.15</v>
      </c>
      <c r="I3146" t="s">
        <v>15</v>
      </c>
      <c r="J3146" t="s">
        <v>117</v>
      </c>
      <c r="K3146" t="str">
        <f>"60037365"</f>
        <v>60037365</v>
      </c>
    </row>
    <row r="3147" spans="1:11" x14ac:dyDescent="0.25">
      <c r="A3147">
        <v>2022</v>
      </c>
      <c r="B3147" t="s">
        <v>10687</v>
      </c>
      <c r="C3147" t="s">
        <v>10688</v>
      </c>
      <c r="D3147" t="s">
        <v>19</v>
      </c>
      <c r="E3147" t="s">
        <v>20</v>
      </c>
      <c r="F3147" t="str">
        <f t="shared" si="98"/>
        <v>43608</v>
      </c>
      <c r="G3147" t="str">
        <f>"Je031622"</f>
        <v>Je031622</v>
      </c>
      <c r="H3147" s="2">
        <f t="shared" si="99"/>
        <v>62.15</v>
      </c>
      <c r="I3147" t="s">
        <v>15</v>
      </c>
      <c r="J3147" t="s">
        <v>117</v>
      </c>
      <c r="K3147" t="str">
        <f>"60039933"</f>
        <v>60039933</v>
      </c>
    </row>
    <row r="3148" spans="1:11" x14ac:dyDescent="0.25">
      <c r="A3148">
        <v>2022</v>
      </c>
      <c r="B3148" t="s">
        <v>10687</v>
      </c>
      <c r="C3148" t="s">
        <v>10688</v>
      </c>
      <c r="D3148" t="s">
        <v>19</v>
      </c>
      <c r="E3148" t="s">
        <v>20</v>
      </c>
      <c r="F3148" t="str">
        <f t="shared" si="98"/>
        <v>43608</v>
      </c>
      <c r="G3148" t="str">
        <f>"Je031622"</f>
        <v>Je031622</v>
      </c>
      <c r="H3148" s="2">
        <f t="shared" si="99"/>
        <v>62.15</v>
      </c>
      <c r="I3148" t="s">
        <v>15</v>
      </c>
      <c r="J3148" t="s">
        <v>117</v>
      </c>
      <c r="K3148" t="str">
        <f>"60042291"</f>
        <v>60042291</v>
      </c>
    </row>
    <row r="3149" spans="1:11" x14ac:dyDescent="0.25">
      <c r="A3149">
        <v>2022</v>
      </c>
      <c r="B3149" t="s">
        <v>10715</v>
      </c>
      <c r="C3149" t="s">
        <v>10716</v>
      </c>
      <c r="D3149" t="s">
        <v>19</v>
      </c>
      <c r="E3149" t="s">
        <v>20</v>
      </c>
      <c r="F3149" t="str">
        <f>"43613"</f>
        <v>43613</v>
      </c>
      <c r="G3149" t="str">
        <f>"545043"</f>
        <v>545043</v>
      </c>
      <c r="H3149" s="2">
        <f>62.98</f>
        <v>62.98</v>
      </c>
      <c r="I3149" t="s">
        <v>27</v>
      </c>
      <c r="J3149" t="s">
        <v>77</v>
      </c>
      <c r="K3149" t="str">
        <f>"333362"</f>
        <v>333362</v>
      </c>
    </row>
    <row r="3150" spans="1:11" x14ac:dyDescent="0.25">
      <c r="A3150">
        <v>2022</v>
      </c>
      <c r="B3150" t="s">
        <v>10751</v>
      </c>
      <c r="C3150" t="s">
        <v>10752</v>
      </c>
      <c r="D3150" t="s">
        <v>19</v>
      </c>
      <c r="E3150" t="s">
        <v>20</v>
      </c>
      <c r="F3150" t="str">
        <f>"43623"</f>
        <v>43623</v>
      </c>
      <c r="G3150" t="str">
        <f>"Je010722"</f>
        <v>Je010722</v>
      </c>
      <c r="H3150" s="2">
        <f>15</f>
        <v>15</v>
      </c>
      <c r="I3150" t="s">
        <v>15</v>
      </c>
      <c r="J3150" t="s">
        <v>90</v>
      </c>
      <c r="K3150" t="str">
        <f>"60033601"</f>
        <v>60033601</v>
      </c>
    </row>
    <row r="3151" spans="1:11" x14ac:dyDescent="0.25">
      <c r="A3151">
        <v>2022</v>
      </c>
      <c r="B3151" t="s">
        <v>10766</v>
      </c>
      <c r="C3151" t="s">
        <v>10767</v>
      </c>
      <c r="D3151" t="s">
        <v>19</v>
      </c>
      <c r="E3151" t="s">
        <v>20</v>
      </c>
      <c r="F3151" t="str">
        <f>"43614"</f>
        <v>43614</v>
      </c>
      <c r="G3151" t="str">
        <f>"Je031622"</f>
        <v>Je031622</v>
      </c>
      <c r="H3151" s="2">
        <f>25</f>
        <v>25</v>
      </c>
      <c r="I3151" t="s">
        <v>15</v>
      </c>
      <c r="J3151" t="s">
        <v>117</v>
      </c>
      <c r="K3151" t="str">
        <f>"60038568"</f>
        <v>60038568</v>
      </c>
    </row>
    <row r="3152" spans="1:11" x14ac:dyDescent="0.25">
      <c r="A3152">
        <v>2022</v>
      </c>
      <c r="B3152" t="s">
        <v>10777</v>
      </c>
      <c r="C3152" t="s">
        <v>10778</v>
      </c>
      <c r="D3152" t="s">
        <v>19</v>
      </c>
      <c r="E3152" t="s">
        <v>20</v>
      </c>
      <c r="F3152" t="str">
        <f>"43608"</f>
        <v>43608</v>
      </c>
      <c r="G3152" t="str">
        <f>"545075"</f>
        <v>545075</v>
      </c>
      <c r="H3152" s="2">
        <f>2</f>
        <v>2</v>
      </c>
      <c r="I3152" t="s">
        <v>27</v>
      </c>
      <c r="J3152" t="s">
        <v>31</v>
      </c>
      <c r="K3152" t="str">
        <f>"44008650"</f>
        <v>44008650</v>
      </c>
    </row>
    <row r="3153" spans="1:11" x14ac:dyDescent="0.25">
      <c r="A3153">
        <v>2022</v>
      </c>
      <c r="B3153" t="s">
        <v>10814</v>
      </c>
      <c r="C3153" t="s">
        <v>10815</v>
      </c>
      <c r="D3153" t="s">
        <v>19</v>
      </c>
      <c r="E3153" t="s">
        <v>20</v>
      </c>
      <c r="F3153" t="str">
        <f>"43614"</f>
        <v>43614</v>
      </c>
      <c r="G3153" t="str">
        <f>"Je031622"</f>
        <v>Je031622</v>
      </c>
      <c r="H3153" s="2">
        <f>25</f>
        <v>25</v>
      </c>
      <c r="I3153" t="s">
        <v>15</v>
      </c>
      <c r="J3153" t="s">
        <v>117</v>
      </c>
      <c r="K3153" t="str">
        <f>"60038573"</f>
        <v>60038573</v>
      </c>
    </row>
    <row r="3154" spans="1:11" x14ac:dyDescent="0.25">
      <c r="A3154">
        <v>2022</v>
      </c>
      <c r="B3154" t="s">
        <v>10814</v>
      </c>
      <c r="C3154" t="s">
        <v>10816</v>
      </c>
      <c r="D3154" t="s">
        <v>19</v>
      </c>
      <c r="E3154" t="s">
        <v>20</v>
      </c>
      <c r="F3154" t="str">
        <f>"43605"</f>
        <v>43605</v>
      </c>
      <c r="G3154" t="str">
        <f>"Je031622"</f>
        <v>Je031622</v>
      </c>
      <c r="H3154" s="2">
        <f>25</f>
        <v>25</v>
      </c>
      <c r="I3154" t="s">
        <v>15</v>
      </c>
      <c r="J3154" t="s">
        <v>117</v>
      </c>
      <c r="K3154" t="str">
        <f>"60038578"</f>
        <v>60038578</v>
      </c>
    </row>
    <row r="3155" spans="1:11" x14ac:dyDescent="0.25">
      <c r="A3155">
        <v>2022</v>
      </c>
      <c r="B3155" t="s">
        <v>10838</v>
      </c>
      <c r="C3155" t="s">
        <v>10839</v>
      </c>
      <c r="D3155" t="s">
        <v>58</v>
      </c>
      <c r="E3155" t="s">
        <v>20</v>
      </c>
      <c r="F3155" t="str">
        <f>"43616"</f>
        <v>43616</v>
      </c>
      <c r="G3155" t="str">
        <f>"562222"</f>
        <v>562222</v>
      </c>
      <c r="H3155" s="2">
        <f>2</f>
        <v>2</v>
      </c>
      <c r="I3155" t="s">
        <v>519</v>
      </c>
      <c r="J3155" t="s">
        <v>811</v>
      </c>
      <c r="K3155" t="str">
        <f>"11224"</f>
        <v>11224</v>
      </c>
    </row>
    <row r="3156" spans="1:11" x14ac:dyDescent="0.25">
      <c r="A3156">
        <v>2022</v>
      </c>
      <c r="B3156" t="s">
        <v>10852</v>
      </c>
      <c r="C3156" t="s">
        <v>10853</v>
      </c>
      <c r="D3156" t="s">
        <v>10854</v>
      </c>
      <c r="E3156" t="s">
        <v>418</v>
      </c>
      <c r="F3156" t="str">
        <f>"60197-4517"</f>
        <v>60197-4517</v>
      </c>
      <c r="G3156" t="str">
        <f>"Je031622"</f>
        <v>Je031622</v>
      </c>
      <c r="H3156" s="2">
        <f>2351.85</f>
        <v>2351.85</v>
      </c>
      <c r="I3156" t="s">
        <v>15</v>
      </c>
      <c r="J3156" t="s">
        <v>117</v>
      </c>
      <c r="K3156" t="str">
        <f>"60041275"</f>
        <v>60041275</v>
      </c>
    </row>
    <row r="3157" spans="1:11" x14ac:dyDescent="0.25">
      <c r="A3157">
        <v>2022</v>
      </c>
      <c r="B3157" t="s">
        <v>10896</v>
      </c>
      <c r="C3157" t="s">
        <v>10897</v>
      </c>
      <c r="D3157" t="s">
        <v>19</v>
      </c>
      <c r="E3157" t="s">
        <v>20</v>
      </c>
      <c r="F3157" t="str">
        <f>"43617"</f>
        <v>43617</v>
      </c>
      <c r="G3157" t="str">
        <f>"Je010722"</f>
        <v>Je010722</v>
      </c>
      <c r="H3157" s="2">
        <f>50</f>
        <v>50</v>
      </c>
      <c r="I3157" t="s">
        <v>15</v>
      </c>
      <c r="J3157" t="s">
        <v>90</v>
      </c>
      <c r="K3157" t="str">
        <f>"60033627"</f>
        <v>60033627</v>
      </c>
    </row>
    <row r="3158" spans="1:11" x14ac:dyDescent="0.25">
      <c r="A3158">
        <v>2022</v>
      </c>
      <c r="B3158" t="s">
        <v>10903</v>
      </c>
      <c r="C3158" t="s">
        <v>10904</v>
      </c>
      <c r="D3158" t="s">
        <v>58</v>
      </c>
      <c r="E3158" t="s">
        <v>20</v>
      </c>
      <c r="F3158" t="str">
        <f>"43616"</f>
        <v>43616</v>
      </c>
      <c r="G3158" t="str">
        <f>"545042"</f>
        <v>545042</v>
      </c>
      <c r="H3158" s="2">
        <f>3.98</f>
        <v>3.98</v>
      </c>
      <c r="I3158" t="s">
        <v>27</v>
      </c>
      <c r="J3158" t="s">
        <v>257</v>
      </c>
      <c r="K3158" t="str">
        <f>"36653"</f>
        <v>36653</v>
      </c>
    </row>
    <row r="3159" spans="1:11" x14ac:dyDescent="0.25">
      <c r="A3159">
        <v>2022</v>
      </c>
      <c r="B3159" t="s">
        <v>10918</v>
      </c>
      <c r="C3159" t="s">
        <v>10919</v>
      </c>
      <c r="D3159" t="s">
        <v>10920</v>
      </c>
      <c r="E3159" t="s">
        <v>600</v>
      </c>
      <c r="F3159" t="str">
        <f>"41017"</f>
        <v>41017</v>
      </c>
      <c r="G3159" t="str">
        <f>"545042"</f>
        <v>545042</v>
      </c>
      <c r="H3159" s="2">
        <f>170</f>
        <v>170</v>
      </c>
      <c r="I3159" t="s">
        <v>27</v>
      </c>
      <c r="J3159" t="s">
        <v>257</v>
      </c>
      <c r="K3159" t="str">
        <f>"37934"</f>
        <v>37934</v>
      </c>
    </row>
    <row r="3160" spans="1:11" x14ac:dyDescent="0.25">
      <c r="A3160">
        <v>2022</v>
      </c>
      <c r="B3160" t="s">
        <v>10921</v>
      </c>
      <c r="C3160" t="s">
        <v>10922</v>
      </c>
      <c r="D3160" t="s">
        <v>19</v>
      </c>
      <c r="E3160" t="s">
        <v>20</v>
      </c>
      <c r="F3160" t="str">
        <f t="shared" ref="F3160:F3165" si="100">"43607"</f>
        <v>43607</v>
      </c>
      <c r="G3160" t="str">
        <f t="shared" ref="G3160:G3165" si="101">"545044"</f>
        <v>545044</v>
      </c>
      <c r="H3160" s="2">
        <f>1.82</f>
        <v>1.82</v>
      </c>
      <c r="I3160" t="s">
        <v>27</v>
      </c>
      <c r="J3160" t="s">
        <v>28</v>
      </c>
      <c r="K3160" t="str">
        <f>"518381"</f>
        <v>518381</v>
      </c>
    </row>
    <row r="3161" spans="1:11" x14ac:dyDescent="0.25">
      <c r="A3161">
        <v>2022</v>
      </c>
      <c r="B3161" t="s">
        <v>10921</v>
      </c>
      <c r="C3161" t="s">
        <v>10922</v>
      </c>
      <c r="D3161" t="s">
        <v>19</v>
      </c>
      <c r="E3161" t="s">
        <v>20</v>
      </c>
      <c r="F3161" t="str">
        <f t="shared" si="100"/>
        <v>43607</v>
      </c>
      <c r="G3161" t="str">
        <f t="shared" si="101"/>
        <v>545044</v>
      </c>
      <c r="H3161" s="2">
        <f>1.82</f>
        <v>1.82</v>
      </c>
      <c r="I3161" t="s">
        <v>27</v>
      </c>
      <c r="J3161" t="s">
        <v>28</v>
      </c>
      <c r="K3161" t="str">
        <f>"518863"</f>
        <v>518863</v>
      </c>
    </row>
    <row r="3162" spans="1:11" x14ac:dyDescent="0.25">
      <c r="A3162">
        <v>2022</v>
      </c>
      <c r="B3162" t="s">
        <v>10921</v>
      </c>
      <c r="C3162" t="s">
        <v>10922</v>
      </c>
      <c r="D3162" t="s">
        <v>19</v>
      </c>
      <c r="E3162" t="s">
        <v>20</v>
      </c>
      <c r="F3162" t="str">
        <f t="shared" si="100"/>
        <v>43607</v>
      </c>
      <c r="G3162" t="str">
        <f t="shared" si="101"/>
        <v>545044</v>
      </c>
      <c r="H3162" s="2">
        <f>2.73</f>
        <v>2.73</v>
      </c>
      <c r="I3162" t="s">
        <v>27</v>
      </c>
      <c r="J3162" t="s">
        <v>28</v>
      </c>
      <c r="K3162" t="str">
        <f>"518608"</f>
        <v>518608</v>
      </c>
    </row>
    <row r="3163" spans="1:11" x14ac:dyDescent="0.25">
      <c r="A3163">
        <v>2022</v>
      </c>
      <c r="B3163" t="s">
        <v>10921</v>
      </c>
      <c r="C3163" t="s">
        <v>10922</v>
      </c>
      <c r="D3163" t="s">
        <v>19</v>
      </c>
      <c r="E3163" t="s">
        <v>20</v>
      </c>
      <c r="F3163" t="str">
        <f t="shared" si="100"/>
        <v>43607</v>
      </c>
      <c r="G3163" t="str">
        <f t="shared" si="101"/>
        <v>545044</v>
      </c>
      <c r="H3163" s="2">
        <f>4.55</f>
        <v>4.55</v>
      </c>
      <c r="I3163" t="s">
        <v>27</v>
      </c>
      <c r="J3163" t="s">
        <v>28</v>
      </c>
      <c r="K3163" t="str">
        <f>"519852"</f>
        <v>519852</v>
      </c>
    </row>
    <row r="3164" spans="1:11" x14ac:dyDescent="0.25">
      <c r="A3164">
        <v>2022</v>
      </c>
      <c r="B3164" t="s">
        <v>10921</v>
      </c>
      <c r="C3164" t="s">
        <v>10922</v>
      </c>
      <c r="D3164" t="s">
        <v>19</v>
      </c>
      <c r="E3164" t="s">
        <v>20</v>
      </c>
      <c r="F3164" t="str">
        <f t="shared" si="100"/>
        <v>43607</v>
      </c>
      <c r="G3164" t="str">
        <f t="shared" si="101"/>
        <v>545044</v>
      </c>
      <c r="H3164" s="2">
        <f>5</f>
        <v>5</v>
      </c>
      <c r="I3164" t="s">
        <v>27</v>
      </c>
      <c r="J3164" t="s">
        <v>28</v>
      </c>
      <c r="K3164" t="str">
        <f>"519674"</f>
        <v>519674</v>
      </c>
    </row>
    <row r="3165" spans="1:11" x14ac:dyDescent="0.25">
      <c r="A3165">
        <v>2022</v>
      </c>
      <c r="B3165" t="s">
        <v>10921</v>
      </c>
      <c r="C3165" t="s">
        <v>10922</v>
      </c>
      <c r="D3165" t="s">
        <v>19</v>
      </c>
      <c r="E3165" t="s">
        <v>20</v>
      </c>
      <c r="F3165" t="str">
        <f t="shared" si="100"/>
        <v>43607</v>
      </c>
      <c r="G3165" t="str">
        <f t="shared" si="101"/>
        <v>545044</v>
      </c>
      <c r="H3165" s="2">
        <f>4.55</f>
        <v>4.55</v>
      </c>
      <c r="I3165" t="s">
        <v>27</v>
      </c>
      <c r="J3165" t="s">
        <v>28</v>
      </c>
      <c r="K3165" t="str">
        <f>"520459"</f>
        <v>520459</v>
      </c>
    </row>
    <row r="3166" spans="1:11" x14ac:dyDescent="0.25">
      <c r="A3166">
        <v>2022</v>
      </c>
      <c r="B3166" t="s">
        <v>10925</v>
      </c>
      <c r="C3166" t="s">
        <v>10926</v>
      </c>
      <c r="D3166" t="s">
        <v>19</v>
      </c>
      <c r="E3166" t="s">
        <v>20</v>
      </c>
      <c r="F3166" t="str">
        <f>"43614"</f>
        <v>43614</v>
      </c>
      <c r="G3166" t="str">
        <f>"Je010722"</f>
        <v>Je010722</v>
      </c>
      <c r="H3166" s="2">
        <f>210</f>
        <v>210</v>
      </c>
      <c r="I3166" t="s">
        <v>15</v>
      </c>
      <c r="J3166" t="s">
        <v>90</v>
      </c>
      <c r="K3166" t="str">
        <f>"60033643"</f>
        <v>60033643</v>
      </c>
    </row>
    <row r="3167" spans="1:11" x14ac:dyDescent="0.25">
      <c r="A3167">
        <v>2022</v>
      </c>
      <c r="B3167" t="s">
        <v>10948</v>
      </c>
      <c r="C3167" t="s">
        <v>10949</v>
      </c>
      <c r="D3167" t="s">
        <v>58</v>
      </c>
      <c r="E3167" t="s">
        <v>20</v>
      </c>
      <c r="F3167" t="str">
        <f>"43616"</f>
        <v>43616</v>
      </c>
      <c r="G3167" t="str">
        <f>"Je031622"</f>
        <v>Je031622</v>
      </c>
      <c r="H3167" s="2">
        <f>3184.02</f>
        <v>3184.02</v>
      </c>
      <c r="I3167" t="s">
        <v>15</v>
      </c>
      <c r="J3167" t="s">
        <v>117</v>
      </c>
      <c r="K3167" t="str">
        <f>"60043017"</f>
        <v>60043017</v>
      </c>
    </row>
    <row r="3168" spans="1:11" x14ac:dyDescent="0.25">
      <c r="A3168">
        <v>2022</v>
      </c>
      <c r="B3168" t="s">
        <v>10950</v>
      </c>
      <c r="C3168" t="s">
        <v>10951</v>
      </c>
      <c r="D3168" t="s">
        <v>10952</v>
      </c>
      <c r="E3168" t="s">
        <v>462</v>
      </c>
      <c r="F3168" t="str">
        <f>"33010-4808"</f>
        <v>33010-4808</v>
      </c>
      <c r="G3168" t="str">
        <f>"Je010722"</f>
        <v>Je010722</v>
      </c>
      <c r="H3168" s="2">
        <f>334</f>
        <v>334</v>
      </c>
      <c r="I3168" t="s">
        <v>15</v>
      </c>
      <c r="J3168" t="s">
        <v>90</v>
      </c>
      <c r="K3168" t="str">
        <f>"60030673"</f>
        <v>60030673</v>
      </c>
    </row>
    <row r="3169" spans="1:11" x14ac:dyDescent="0.25">
      <c r="A3169">
        <v>2022</v>
      </c>
      <c r="B3169" t="s">
        <v>10959</v>
      </c>
      <c r="C3169" t="s">
        <v>10960</v>
      </c>
      <c r="D3169" t="s">
        <v>19</v>
      </c>
      <c r="E3169" t="s">
        <v>20</v>
      </c>
      <c r="F3169" t="str">
        <f>"43611-1807"</f>
        <v>43611-1807</v>
      </c>
      <c r="G3169" t="str">
        <f>"545101"</f>
        <v>545101</v>
      </c>
      <c r="H3169" s="2">
        <f>10</f>
        <v>10</v>
      </c>
      <c r="I3169" t="s">
        <v>27</v>
      </c>
      <c r="J3169" t="s">
        <v>51</v>
      </c>
      <c r="K3169" t="str">
        <f>"116777"</f>
        <v>116777</v>
      </c>
    </row>
    <row r="3170" spans="1:11" x14ac:dyDescent="0.25">
      <c r="A3170">
        <v>2022</v>
      </c>
      <c r="B3170" t="s">
        <v>10969</v>
      </c>
      <c r="C3170" t="s">
        <v>10970</v>
      </c>
      <c r="D3170" t="s">
        <v>2499</v>
      </c>
      <c r="E3170" t="s">
        <v>887</v>
      </c>
      <c r="F3170" t="str">
        <f>"37221"</f>
        <v>37221</v>
      </c>
      <c r="G3170" t="str">
        <f>"545075"</f>
        <v>545075</v>
      </c>
      <c r="H3170" s="2">
        <f>82.5</f>
        <v>82.5</v>
      </c>
      <c r="I3170" t="s">
        <v>27</v>
      </c>
      <c r="J3170" t="s">
        <v>31</v>
      </c>
      <c r="K3170" t="str">
        <f>"44008455"</f>
        <v>44008455</v>
      </c>
    </row>
    <row r="3171" spans="1:11" x14ac:dyDescent="0.25">
      <c r="A3171">
        <v>2022</v>
      </c>
      <c r="B3171" t="s">
        <v>10996</v>
      </c>
      <c r="C3171" t="s">
        <v>10997</v>
      </c>
      <c r="D3171" t="s">
        <v>19</v>
      </c>
      <c r="E3171" t="s">
        <v>20</v>
      </c>
      <c r="F3171" t="str">
        <f>"43616"</f>
        <v>43616</v>
      </c>
      <c r="G3171" t="str">
        <f>"545044"</f>
        <v>545044</v>
      </c>
      <c r="H3171" s="2">
        <f>13.33</f>
        <v>13.33</v>
      </c>
      <c r="I3171" t="s">
        <v>27</v>
      </c>
      <c r="J3171" t="s">
        <v>28</v>
      </c>
      <c r="K3171" t="str">
        <f>"518665"</f>
        <v>518665</v>
      </c>
    </row>
    <row r="3172" spans="1:11" x14ac:dyDescent="0.25">
      <c r="A3172">
        <v>2022</v>
      </c>
      <c r="B3172" t="s">
        <v>10998</v>
      </c>
      <c r="C3172" t="s">
        <v>10999</v>
      </c>
      <c r="D3172" t="s">
        <v>105</v>
      </c>
      <c r="E3172" t="s">
        <v>20</v>
      </c>
      <c r="F3172" t="str">
        <f>"43528"</f>
        <v>43528</v>
      </c>
      <c r="G3172" t="str">
        <f>"Je11032022"</f>
        <v>Je11032022</v>
      </c>
      <c r="H3172" s="2">
        <f>24</f>
        <v>24</v>
      </c>
      <c r="I3172" t="s">
        <v>15</v>
      </c>
      <c r="J3172" t="s">
        <v>234</v>
      </c>
      <c r="K3172" t="str">
        <f>"60053031"</f>
        <v>60053031</v>
      </c>
    </row>
    <row r="3173" spans="1:11" x14ac:dyDescent="0.25">
      <c r="A3173">
        <v>2022</v>
      </c>
      <c r="B3173" t="s">
        <v>11000</v>
      </c>
      <c r="C3173" t="s">
        <v>11001</v>
      </c>
      <c r="D3173" t="s">
        <v>11002</v>
      </c>
      <c r="E3173" t="s">
        <v>436</v>
      </c>
      <c r="F3173" t="str">
        <f>"19122"</f>
        <v>19122</v>
      </c>
      <c r="G3173" t="str">
        <f>"545044"</f>
        <v>545044</v>
      </c>
      <c r="H3173" s="2">
        <f>12.5</f>
        <v>12.5</v>
      </c>
      <c r="I3173" t="s">
        <v>27</v>
      </c>
      <c r="J3173" t="s">
        <v>28</v>
      </c>
      <c r="K3173" t="str">
        <f>"520401"</f>
        <v>520401</v>
      </c>
    </row>
    <row r="3174" spans="1:11" x14ac:dyDescent="0.25">
      <c r="A3174">
        <v>2022</v>
      </c>
      <c r="B3174" t="s">
        <v>11000</v>
      </c>
      <c r="C3174" t="s">
        <v>11001</v>
      </c>
      <c r="D3174" t="s">
        <v>11002</v>
      </c>
      <c r="E3174" t="s">
        <v>436</v>
      </c>
      <c r="F3174" t="str">
        <f>"19122"</f>
        <v>19122</v>
      </c>
      <c r="G3174" t="str">
        <f>"545044"</f>
        <v>545044</v>
      </c>
      <c r="H3174" s="2">
        <f>12.5</f>
        <v>12.5</v>
      </c>
      <c r="I3174" t="s">
        <v>27</v>
      </c>
      <c r="J3174" t="s">
        <v>28</v>
      </c>
      <c r="K3174" t="str">
        <f>"520078"</f>
        <v>520078</v>
      </c>
    </row>
    <row r="3175" spans="1:11" x14ac:dyDescent="0.25">
      <c r="A3175">
        <v>2022</v>
      </c>
      <c r="B3175" t="s">
        <v>11000</v>
      </c>
      <c r="C3175" t="s">
        <v>11001</v>
      </c>
      <c r="D3175" t="s">
        <v>11002</v>
      </c>
      <c r="E3175" t="s">
        <v>436</v>
      </c>
      <c r="F3175" t="str">
        <f>"19122"</f>
        <v>19122</v>
      </c>
      <c r="G3175" t="str">
        <f>"545044"</f>
        <v>545044</v>
      </c>
      <c r="H3175" s="2">
        <f>12.5</f>
        <v>12.5</v>
      </c>
      <c r="I3175" t="s">
        <v>27</v>
      </c>
      <c r="J3175" t="s">
        <v>28</v>
      </c>
      <c r="K3175" t="str">
        <f>"519974"</f>
        <v>519974</v>
      </c>
    </row>
    <row r="3176" spans="1:11" x14ac:dyDescent="0.25">
      <c r="A3176">
        <v>2022</v>
      </c>
      <c r="B3176" t="s">
        <v>11000</v>
      </c>
      <c r="C3176" t="s">
        <v>11001</v>
      </c>
      <c r="D3176" t="s">
        <v>11002</v>
      </c>
      <c r="E3176" t="s">
        <v>436</v>
      </c>
      <c r="F3176" t="str">
        <f>"19122"</f>
        <v>19122</v>
      </c>
      <c r="G3176" t="str">
        <f>"545044"</f>
        <v>545044</v>
      </c>
      <c r="H3176" s="2">
        <f>12.5</f>
        <v>12.5</v>
      </c>
      <c r="I3176" t="s">
        <v>27</v>
      </c>
      <c r="J3176" t="s">
        <v>28</v>
      </c>
      <c r="K3176" t="str">
        <f>"519711"</f>
        <v>519711</v>
      </c>
    </row>
    <row r="3177" spans="1:11" x14ac:dyDescent="0.25">
      <c r="A3177">
        <v>2022</v>
      </c>
      <c r="B3177" t="s">
        <v>11015</v>
      </c>
      <c r="C3177" t="s">
        <v>11016</v>
      </c>
      <c r="D3177" t="s">
        <v>19</v>
      </c>
      <c r="E3177" t="s">
        <v>20</v>
      </c>
      <c r="F3177" t="str">
        <f>"43613"</f>
        <v>43613</v>
      </c>
      <c r="G3177" t="str">
        <f>"545101"</f>
        <v>545101</v>
      </c>
      <c r="H3177" s="2">
        <f>10</f>
        <v>10</v>
      </c>
      <c r="I3177" t="s">
        <v>27</v>
      </c>
      <c r="J3177" t="s">
        <v>51</v>
      </c>
      <c r="K3177" t="str">
        <f>"116973"</f>
        <v>116973</v>
      </c>
    </row>
    <row r="3178" spans="1:11" x14ac:dyDescent="0.25">
      <c r="A3178">
        <v>2022</v>
      </c>
      <c r="B3178" t="s">
        <v>11020</v>
      </c>
      <c r="C3178" t="s">
        <v>11021</v>
      </c>
      <c r="D3178" t="s">
        <v>19</v>
      </c>
      <c r="E3178" t="s">
        <v>20</v>
      </c>
      <c r="F3178" t="str">
        <f>"43611"</f>
        <v>43611</v>
      </c>
      <c r="G3178" t="str">
        <f>"545042"</f>
        <v>545042</v>
      </c>
      <c r="H3178" s="2">
        <f>92</f>
        <v>92</v>
      </c>
      <c r="I3178" t="s">
        <v>27</v>
      </c>
      <c r="J3178" t="s">
        <v>257</v>
      </c>
      <c r="K3178" t="str">
        <f>"38467"</f>
        <v>38467</v>
      </c>
    </row>
    <row r="3179" spans="1:11" x14ac:dyDescent="0.25">
      <c r="A3179">
        <v>2022</v>
      </c>
      <c r="B3179" t="s">
        <v>11040</v>
      </c>
      <c r="C3179" t="s">
        <v>11041</v>
      </c>
      <c r="D3179" t="s">
        <v>19</v>
      </c>
      <c r="E3179" t="s">
        <v>20</v>
      </c>
      <c r="F3179" t="str">
        <f t="shared" ref="F3179:F3184" si="102">"43606"</f>
        <v>43606</v>
      </c>
      <c r="G3179" t="str">
        <f t="shared" ref="G3179:G3184" si="103">"545044"</f>
        <v>545044</v>
      </c>
      <c r="H3179" s="2">
        <f>5</f>
        <v>5</v>
      </c>
      <c r="I3179" t="s">
        <v>27</v>
      </c>
      <c r="J3179" t="s">
        <v>28</v>
      </c>
      <c r="K3179" t="str">
        <f>"519677"</f>
        <v>519677</v>
      </c>
    </row>
    <row r="3180" spans="1:11" x14ac:dyDescent="0.25">
      <c r="A3180">
        <v>2022</v>
      </c>
      <c r="B3180" t="s">
        <v>11040</v>
      </c>
      <c r="C3180" t="s">
        <v>11041</v>
      </c>
      <c r="D3180" t="s">
        <v>19</v>
      </c>
      <c r="E3180" t="s">
        <v>20</v>
      </c>
      <c r="F3180" t="str">
        <f t="shared" si="102"/>
        <v>43606</v>
      </c>
      <c r="G3180" t="str">
        <f t="shared" si="103"/>
        <v>545044</v>
      </c>
      <c r="H3180" s="2">
        <f>4.55</f>
        <v>4.55</v>
      </c>
      <c r="I3180" t="s">
        <v>27</v>
      </c>
      <c r="J3180" t="s">
        <v>28</v>
      </c>
      <c r="K3180" t="str">
        <f>"519855"</f>
        <v>519855</v>
      </c>
    </row>
    <row r="3181" spans="1:11" x14ac:dyDescent="0.25">
      <c r="A3181">
        <v>2022</v>
      </c>
      <c r="B3181" t="s">
        <v>11040</v>
      </c>
      <c r="C3181" t="s">
        <v>11041</v>
      </c>
      <c r="D3181" t="s">
        <v>19</v>
      </c>
      <c r="E3181" t="s">
        <v>20</v>
      </c>
      <c r="F3181" t="str">
        <f t="shared" si="102"/>
        <v>43606</v>
      </c>
      <c r="G3181" t="str">
        <f t="shared" si="103"/>
        <v>545044</v>
      </c>
      <c r="H3181" s="2">
        <f>4.55</f>
        <v>4.55</v>
      </c>
      <c r="I3181" t="s">
        <v>27</v>
      </c>
      <c r="J3181" t="s">
        <v>28</v>
      </c>
      <c r="K3181" t="str">
        <f>"520462"</f>
        <v>520462</v>
      </c>
    </row>
    <row r="3182" spans="1:11" x14ac:dyDescent="0.25">
      <c r="A3182">
        <v>2022</v>
      </c>
      <c r="B3182" t="s">
        <v>11040</v>
      </c>
      <c r="C3182" t="s">
        <v>11041</v>
      </c>
      <c r="D3182" t="s">
        <v>19</v>
      </c>
      <c r="E3182" t="s">
        <v>20</v>
      </c>
      <c r="F3182" t="str">
        <f t="shared" si="102"/>
        <v>43606</v>
      </c>
      <c r="G3182" t="str">
        <f t="shared" si="103"/>
        <v>545044</v>
      </c>
      <c r="H3182" s="2">
        <f>2.73</f>
        <v>2.73</v>
      </c>
      <c r="I3182" t="s">
        <v>27</v>
      </c>
      <c r="J3182" t="s">
        <v>28</v>
      </c>
      <c r="K3182" t="str">
        <f>"518611"</f>
        <v>518611</v>
      </c>
    </row>
    <row r="3183" spans="1:11" x14ac:dyDescent="0.25">
      <c r="A3183">
        <v>2022</v>
      </c>
      <c r="B3183" t="s">
        <v>11040</v>
      </c>
      <c r="C3183" t="s">
        <v>11041</v>
      </c>
      <c r="D3183" t="s">
        <v>19</v>
      </c>
      <c r="E3183" t="s">
        <v>20</v>
      </c>
      <c r="F3183" t="str">
        <f t="shared" si="102"/>
        <v>43606</v>
      </c>
      <c r="G3183" t="str">
        <f t="shared" si="103"/>
        <v>545044</v>
      </c>
      <c r="H3183" s="2">
        <f>1.82</f>
        <v>1.82</v>
      </c>
      <c r="I3183" t="s">
        <v>27</v>
      </c>
      <c r="J3183" t="s">
        <v>28</v>
      </c>
      <c r="K3183" t="str">
        <f>"518866"</f>
        <v>518866</v>
      </c>
    </row>
    <row r="3184" spans="1:11" x14ac:dyDescent="0.25">
      <c r="A3184">
        <v>2022</v>
      </c>
      <c r="B3184" t="s">
        <v>11040</v>
      </c>
      <c r="C3184" t="s">
        <v>11041</v>
      </c>
      <c r="D3184" t="s">
        <v>19</v>
      </c>
      <c r="E3184" t="s">
        <v>20</v>
      </c>
      <c r="F3184" t="str">
        <f t="shared" si="102"/>
        <v>43606</v>
      </c>
      <c r="G3184" t="str">
        <f t="shared" si="103"/>
        <v>545044</v>
      </c>
      <c r="H3184" s="2">
        <f>1.82</f>
        <v>1.82</v>
      </c>
      <c r="I3184" t="s">
        <v>27</v>
      </c>
      <c r="J3184" t="s">
        <v>28</v>
      </c>
      <c r="K3184" t="str">
        <f>"518384"</f>
        <v>518384</v>
      </c>
    </row>
    <row r="3185" spans="1:11" x14ac:dyDescent="0.25">
      <c r="A3185">
        <v>2022</v>
      </c>
      <c r="B3185" t="s">
        <v>11044</v>
      </c>
      <c r="C3185" t="s">
        <v>11045</v>
      </c>
      <c r="D3185" t="s">
        <v>11046</v>
      </c>
      <c r="E3185" t="s">
        <v>923</v>
      </c>
      <c r="F3185" t="str">
        <f>"92320"</f>
        <v>92320</v>
      </c>
      <c r="G3185" t="str">
        <f>"467224"</f>
        <v>467224</v>
      </c>
      <c r="H3185" s="2">
        <f>1184.58</f>
        <v>1184.58</v>
      </c>
      <c r="I3185" t="s">
        <v>148</v>
      </c>
      <c r="J3185" t="s">
        <v>11047</v>
      </c>
      <c r="K3185" t="str">
        <f>"25403"</f>
        <v>25403</v>
      </c>
    </row>
    <row r="3186" spans="1:11" x14ac:dyDescent="0.25">
      <c r="A3186">
        <v>2022</v>
      </c>
      <c r="B3186" t="s">
        <v>11062</v>
      </c>
      <c r="C3186" t="s">
        <v>11063</v>
      </c>
      <c r="D3186" t="s">
        <v>19</v>
      </c>
      <c r="E3186" t="s">
        <v>20</v>
      </c>
      <c r="F3186" t="str">
        <f>"43613"</f>
        <v>43613</v>
      </c>
      <c r="G3186" t="str">
        <f>"Je11032022"</f>
        <v>Je11032022</v>
      </c>
      <c r="H3186" s="2">
        <f>25</f>
        <v>25</v>
      </c>
      <c r="I3186" t="s">
        <v>15</v>
      </c>
      <c r="J3186" t="s">
        <v>234</v>
      </c>
      <c r="K3186" t="str">
        <f>"60053921"</f>
        <v>60053921</v>
      </c>
    </row>
    <row r="3187" spans="1:11" x14ac:dyDescent="0.25">
      <c r="A3187">
        <v>2022</v>
      </c>
      <c r="B3187" t="s">
        <v>11068</v>
      </c>
      <c r="C3187" t="s">
        <v>11069</v>
      </c>
      <c r="D3187" t="s">
        <v>19</v>
      </c>
      <c r="E3187" t="s">
        <v>20</v>
      </c>
      <c r="F3187" t="str">
        <f>"43614"</f>
        <v>43614</v>
      </c>
      <c r="G3187" t="str">
        <f>"Je11032022"</f>
        <v>Je11032022</v>
      </c>
      <c r="H3187" s="2">
        <f>25</f>
        <v>25</v>
      </c>
      <c r="I3187" t="s">
        <v>15</v>
      </c>
      <c r="J3187" t="s">
        <v>234</v>
      </c>
      <c r="K3187" t="str">
        <f>"60054190"</f>
        <v>60054190</v>
      </c>
    </row>
    <row r="3188" spans="1:11" x14ac:dyDescent="0.25">
      <c r="A3188">
        <v>2022</v>
      </c>
      <c r="B3188" t="s">
        <v>11074</v>
      </c>
      <c r="C3188" t="s">
        <v>11075</v>
      </c>
      <c r="D3188" t="s">
        <v>364</v>
      </c>
      <c r="E3188" t="s">
        <v>14</v>
      </c>
      <c r="F3188" t="str">
        <f>"48227"</f>
        <v>48227</v>
      </c>
      <c r="G3188" t="str">
        <f>"545043"</f>
        <v>545043</v>
      </c>
      <c r="H3188" s="2">
        <f>7.1</f>
        <v>7.1</v>
      </c>
      <c r="I3188" t="s">
        <v>27</v>
      </c>
      <c r="J3188" t="s">
        <v>77</v>
      </c>
      <c r="K3188" t="str">
        <f>"333697"</f>
        <v>333697</v>
      </c>
    </row>
    <row r="3189" spans="1:11" x14ac:dyDescent="0.25">
      <c r="A3189">
        <v>2022</v>
      </c>
      <c r="B3189" t="s">
        <v>11080</v>
      </c>
      <c r="C3189" t="s">
        <v>11081</v>
      </c>
      <c r="D3189" t="s">
        <v>11082</v>
      </c>
      <c r="E3189" t="s">
        <v>14</v>
      </c>
      <c r="F3189" t="str">
        <f>"48198"</f>
        <v>48198</v>
      </c>
      <c r="G3189" t="str">
        <f>"Je031622"</f>
        <v>Je031622</v>
      </c>
      <c r="H3189" s="2">
        <f>472.17</f>
        <v>472.17</v>
      </c>
      <c r="I3189" t="s">
        <v>15</v>
      </c>
      <c r="J3189" t="s">
        <v>117</v>
      </c>
      <c r="K3189" t="str">
        <f>"60042322"</f>
        <v>60042322</v>
      </c>
    </row>
    <row r="3190" spans="1:11" x14ac:dyDescent="0.25">
      <c r="A3190">
        <v>2022</v>
      </c>
      <c r="B3190" t="s">
        <v>11110</v>
      </c>
      <c r="C3190" t="s">
        <v>11111</v>
      </c>
      <c r="D3190" t="s">
        <v>19</v>
      </c>
      <c r="E3190" t="s">
        <v>20</v>
      </c>
      <c r="F3190" t="str">
        <f>"43613"</f>
        <v>43613</v>
      </c>
      <c r="G3190" t="str">
        <f>"Je031622"</f>
        <v>Je031622</v>
      </c>
      <c r="H3190" s="2">
        <f>49.56</f>
        <v>49.56</v>
      </c>
      <c r="I3190" t="s">
        <v>15</v>
      </c>
      <c r="J3190" t="s">
        <v>117</v>
      </c>
      <c r="K3190" t="str">
        <f>"60042576"</f>
        <v>60042576</v>
      </c>
    </row>
    <row r="3191" spans="1:11" x14ac:dyDescent="0.25">
      <c r="A3191">
        <v>2022</v>
      </c>
      <c r="B3191" t="s">
        <v>11116</v>
      </c>
      <c r="C3191" t="s">
        <v>11117</v>
      </c>
      <c r="D3191" t="s">
        <v>19</v>
      </c>
      <c r="E3191" t="s">
        <v>20</v>
      </c>
      <c r="F3191" t="str">
        <f>"43612"</f>
        <v>43612</v>
      </c>
      <c r="G3191" t="str">
        <f>"545075"</f>
        <v>545075</v>
      </c>
      <c r="H3191" s="2">
        <f>5</f>
        <v>5</v>
      </c>
      <c r="I3191" t="s">
        <v>27</v>
      </c>
      <c r="J3191" t="s">
        <v>31</v>
      </c>
      <c r="K3191" t="str">
        <f>"44008434"</f>
        <v>44008434</v>
      </c>
    </row>
    <row r="3192" spans="1:11" x14ac:dyDescent="0.25">
      <c r="A3192">
        <v>2022</v>
      </c>
      <c r="B3192" t="s">
        <v>11148</v>
      </c>
      <c r="C3192" t="s">
        <v>11149</v>
      </c>
      <c r="D3192" t="s">
        <v>105</v>
      </c>
      <c r="E3192" t="s">
        <v>20</v>
      </c>
      <c r="F3192" t="str">
        <f>"43528"</f>
        <v>43528</v>
      </c>
      <c r="G3192" t="str">
        <f>"545043"</f>
        <v>545043</v>
      </c>
      <c r="H3192" s="2">
        <f>1.17</f>
        <v>1.17</v>
      </c>
      <c r="I3192" t="s">
        <v>27</v>
      </c>
      <c r="J3192" t="s">
        <v>77</v>
      </c>
      <c r="K3192" t="str">
        <f>"332850"</f>
        <v>332850</v>
      </c>
    </row>
    <row r="3193" spans="1:11" x14ac:dyDescent="0.25">
      <c r="A3193">
        <v>2022</v>
      </c>
      <c r="B3193" t="s">
        <v>11162</v>
      </c>
      <c r="C3193" t="s">
        <v>11163</v>
      </c>
      <c r="D3193" t="s">
        <v>19</v>
      </c>
      <c r="E3193" t="s">
        <v>20</v>
      </c>
      <c r="F3193" t="str">
        <f>"43615-5140"</f>
        <v>43615-5140</v>
      </c>
      <c r="G3193" t="str">
        <f>"545101"</f>
        <v>545101</v>
      </c>
      <c r="H3193" s="2">
        <f>20</f>
        <v>20</v>
      </c>
      <c r="I3193" t="s">
        <v>27</v>
      </c>
      <c r="J3193" t="s">
        <v>51</v>
      </c>
      <c r="K3193" t="str">
        <f>"116431"</f>
        <v>116431</v>
      </c>
    </row>
    <row r="3194" spans="1:11" x14ac:dyDescent="0.25">
      <c r="A3194">
        <v>2022</v>
      </c>
      <c r="B3194" t="s">
        <v>11178</v>
      </c>
      <c r="C3194" t="s">
        <v>11179</v>
      </c>
      <c r="D3194" t="s">
        <v>19</v>
      </c>
      <c r="E3194" t="s">
        <v>20</v>
      </c>
      <c r="F3194" t="str">
        <f>"43612-1603"</f>
        <v>43612-1603</v>
      </c>
      <c r="G3194" t="str">
        <f>"545101"</f>
        <v>545101</v>
      </c>
      <c r="H3194" s="2">
        <f>30</f>
        <v>30</v>
      </c>
      <c r="I3194" t="s">
        <v>27</v>
      </c>
      <c r="J3194" t="s">
        <v>51</v>
      </c>
      <c r="K3194" t="str">
        <f>"118331"</f>
        <v>118331</v>
      </c>
    </row>
    <row r="3195" spans="1:11" x14ac:dyDescent="0.25">
      <c r="A3195">
        <v>2022</v>
      </c>
      <c r="B3195" t="s">
        <v>11178</v>
      </c>
      <c r="C3195" t="s">
        <v>11179</v>
      </c>
      <c r="D3195" t="s">
        <v>19</v>
      </c>
      <c r="E3195" t="s">
        <v>20</v>
      </c>
      <c r="F3195" t="str">
        <f>"43612-1603"</f>
        <v>43612-1603</v>
      </c>
      <c r="G3195" t="str">
        <f>"545101"</f>
        <v>545101</v>
      </c>
      <c r="H3195" s="2">
        <f>50</f>
        <v>50</v>
      </c>
      <c r="I3195" t="s">
        <v>27</v>
      </c>
      <c r="J3195" t="s">
        <v>51</v>
      </c>
      <c r="K3195" t="str">
        <f>"118322"</f>
        <v>118322</v>
      </c>
    </row>
    <row r="3196" spans="1:11" x14ac:dyDescent="0.25">
      <c r="A3196">
        <v>2022</v>
      </c>
      <c r="B3196" t="s">
        <v>11184</v>
      </c>
      <c r="C3196" t="s">
        <v>11185</v>
      </c>
      <c r="D3196" t="s">
        <v>105</v>
      </c>
      <c r="E3196" t="s">
        <v>20</v>
      </c>
      <c r="F3196" t="str">
        <f>"43528"</f>
        <v>43528</v>
      </c>
      <c r="G3196" t="str">
        <f>"545043"</f>
        <v>545043</v>
      </c>
      <c r="H3196" s="2">
        <f>11.4</f>
        <v>11.4</v>
      </c>
      <c r="I3196" t="s">
        <v>27</v>
      </c>
      <c r="J3196" t="s">
        <v>77</v>
      </c>
      <c r="K3196" t="str">
        <f>"333165"</f>
        <v>333165</v>
      </c>
    </row>
    <row r="3197" spans="1:11" x14ac:dyDescent="0.25">
      <c r="A3197">
        <v>2022</v>
      </c>
      <c r="B3197" t="s">
        <v>11194</v>
      </c>
      <c r="C3197" t="s">
        <v>11195</v>
      </c>
      <c r="D3197" t="s">
        <v>19</v>
      </c>
      <c r="E3197" t="s">
        <v>20</v>
      </c>
      <c r="F3197" t="str">
        <f>"43614"</f>
        <v>43614</v>
      </c>
      <c r="G3197" t="str">
        <f>"545075"</f>
        <v>545075</v>
      </c>
      <c r="H3197" s="2">
        <f>4</f>
        <v>4</v>
      </c>
      <c r="I3197" t="s">
        <v>27</v>
      </c>
      <c r="J3197" t="s">
        <v>31</v>
      </c>
      <c r="K3197" t="str">
        <f>"33011084"</f>
        <v>33011084</v>
      </c>
    </row>
    <row r="3198" spans="1:11" x14ac:dyDescent="0.25">
      <c r="A3198">
        <v>2022</v>
      </c>
      <c r="B3198" t="s">
        <v>11200</v>
      </c>
      <c r="C3198" t="s">
        <v>11201</v>
      </c>
      <c r="D3198" t="s">
        <v>19</v>
      </c>
      <c r="E3198" t="s">
        <v>20</v>
      </c>
      <c r="F3198" t="str">
        <f>"43608"</f>
        <v>43608</v>
      </c>
      <c r="G3198" t="str">
        <f>"545075"</f>
        <v>545075</v>
      </c>
      <c r="H3198" s="2">
        <f>3</f>
        <v>3</v>
      </c>
      <c r="I3198" t="s">
        <v>27</v>
      </c>
      <c r="J3198" t="s">
        <v>31</v>
      </c>
      <c r="K3198" t="str">
        <f>"11003942"</f>
        <v>11003942</v>
      </c>
    </row>
    <row r="3199" spans="1:11" x14ac:dyDescent="0.25">
      <c r="A3199">
        <v>2022</v>
      </c>
      <c r="B3199" t="s">
        <v>11207</v>
      </c>
      <c r="C3199" t="s">
        <v>11208</v>
      </c>
      <c r="D3199" t="s">
        <v>19</v>
      </c>
      <c r="E3199" t="s">
        <v>20</v>
      </c>
      <c r="F3199" t="str">
        <f>"43623"</f>
        <v>43623</v>
      </c>
      <c r="G3199" t="str">
        <f>"Je010722"</f>
        <v>Je010722</v>
      </c>
      <c r="H3199" s="2">
        <f>15</f>
        <v>15</v>
      </c>
      <c r="I3199" t="s">
        <v>15</v>
      </c>
      <c r="J3199" t="s">
        <v>90</v>
      </c>
      <c r="K3199" t="str">
        <f>"60033689"</f>
        <v>60033689</v>
      </c>
    </row>
    <row r="3200" spans="1:11" x14ac:dyDescent="0.25">
      <c r="A3200">
        <v>2022</v>
      </c>
      <c r="B3200" t="s">
        <v>11217</v>
      </c>
      <c r="C3200" t="s">
        <v>11218</v>
      </c>
      <c r="D3200" t="s">
        <v>19</v>
      </c>
      <c r="E3200" t="s">
        <v>20</v>
      </c>
      <c r="F3200" t="str">
        <f>"43608"</f>
        <v>43608</v>
      </c>
      <c r="G3200" t="str">
        <f>"545075"</f>
        <v>545075</v>
      </c>
      <c r="H3200" s="2">
        <f>2.64</f>
        <v>2.64</v>
      </c>
      <c r="I3200" t="s">
        <v>27</v>
      </c>
      <c r="J3200" t="s">
        <v>31</v>
      </c>
      <c r="K3200" t="str">
        <f>"11004012"</f>
        <v>11004012</v>
      </c>
    </row>
    <row r="3201" spans="1:11" x14ac:dyDescent="0.25">
      <c r="A3201">
        <v>2022</v>
      </c>
      <c r="B3201" t="s">
        <v>11219</v>
      </c>
      <c r="C3201" t="s">
        <v>11220</v>
      </c>
      <c r="D3201" t="s">
        <v>19</v>
      </c>
      <c r="E3201" t="s">
        <v>20</v>
      </c>
      <c r="F3201" t="str">
        <f>"43609"</f>
        <v>43609</v>
      </c>
      <c r="G3201" t="str">
        <f>"545044"</f>
        <v>545044</v>
      </c>
      <c r="H3201" s="2">
        <f>133.34</f>
        <v>133.34</v>
      </c>
      <c r="I3201" t="s">
        <v>27</v>
      </c>
      <c r="J3201" t="s">
        <v>28</v>
      </c>
      <c r="K3201" t="str">
        <f>"519386"</f>
        <v>519386</v>
      </c>
    </row>
    <row r="3202" spans="1:11" x14ac:dyDescent="0.25">
      <c r="A3202">
        <v>2022</v>
      </c>
      <c r="B3202" t="s">
        <v>11219</v>
      </c>
      <c r="C3202" t="s">
        <v>11221</v>
      </c>
      <c r="D3202" t="s">
        <v>19</v>
      </c>
      <c r="E3202" t="s">
        <v>20</v>
      </c>
      <c r="F3202" t="str">
        <f>"43605"</f>
        <v>43605</v>
      </c>
      <c r="G3202" t="str">
        <f>"545044"</f>
        <v>545044</v>
      </c>
      <c r="H3202" s="2">
        <f>133.33</f>
        <v>133.33000000000001</v>
      </c>
      <c r="I3202" t="s">
        <v>27</v>
      </c>
      <c r="J3202" t="s">
        <v>28</v>
      </c>
      <c r="K3202" t="str">
        <f>"519387"</f>
        <v>519387</v>
      </c>
    </row>
    <row r="3203" spans="1:11" x14ac:dyDescent="0.25">
      <c r="A3203">
        <v>2022</v>
      </c>
      <c r="B3203" t="s">
        <v>11219</v>
      </c>
      <c r="C3203" t="s">
        <v>11220</v>
      </c>
      <c r="D3203" t="s">
        <v>19</v>
      </c>
      <c r="E3203" t="s">
        <v>20</v>
      </c>
      <c r="F3203" t="str">
        <f>"43609"</f>
        <v>43609</v>
      </c>
      <c r="G3203" t="str">
        <f>"545044"</f>
        <v>545044</v>
      </c>
      <c r="H3203" s="2">
        <f>116.67</f>
        <v>116.67</v>
      </c>
      <c r="I3203" t="s">
        <v>27</v>
      </c>
      <c r="J3203" t="s">
        <v>28</v>
      </c>
      <c r="K3203" t="str">
        <f>"519528"</f>
        <v>519528</v>
      </c>
    </row>
    <row r="3204" spans="1:11" x14ac:dyDescent="0.25">
      <c r="A3204">
        <v>2022</v>
      </c>
      <c r="B3204" t="s">
        <v>11228</v>
      </c>
      <c r="C3204" t="s">
        <v>11229</v>
      </c>
      <c r="D3204" t="s">
        <v>19</v>
      </c>
      <c r="E3204" t="s">
        <v>20</v>
      </c>
      <c r="F3204" t="str">
        <f>"43620"</f>
        <v>43620</v>
      </c>
      <c r="G3204" t="str">
        <f>"Je010722"</f>
        <v>Je010722</v>
      </c>
      <c r="H3204" s="2">
        <f>15</f>
        <v>15</v>
      </c>
      <c r="I3204" t="s">
        <v>15</v>
      </c>
      <c r="J3204" t="s">
        <v>90</v>
      </c>
      <c r="K3204" t="str">
        <f>"60033708"</f>
        <v>60033708</v>
      </c>
    </row>
    <row r="3205" spans="1:11" x14ac:dyDescent="0.25">
      <c r="A3205">
        <v>2022</v>
      </c>
      <c r="B3205" t="s">
        <v>11267</v>
      </c>
      <c r="C3205" t="s">
        <v>11268</v>
      </c>
      <c r="D3205" t="s">
        <v>203</v>
      </c>
      <c r="E3205" t="s">
        <v>204</v>
      </c>
      <c r="F3205" t="str">
        <f>"30384-9211"</f>
        <v>30384-9211</v>
      </c>
      <c r="G3205" t="str">
        <f>"Je070522"</f>
        <v>Je070522</v>
      </c>
      <c r="H3205" s="2">
        <f>2507.16</f>
        <v>2507.16</v>
      </c>
      <c r="I3205" t="s">
        <v>15</v>
      </c>
      <c r="J3205" t="s">
        <v>207</v>
      </c>
      <c r="K3205" t="str">
        <f>"60049976"</f>
        <v>60049976</v>
      </c>
    </row>
    <row r="3206" spans="1:11" x14ac:dyDescent="0.25">
      <c r="A3206">
        <v>2022</v>
      </c>
      <c r="B3206" t="s">
        <v>11272</v>
      </c>
      <c r="C3206" t="s">
        <v>11273</v>
      </c>
      <c r="D3206" t="s">
        <v>19</v>
      </c>
      <c r="E3206" t="s">
        <v>20</v>
      </c>
      <c r="F3206" t="str">
        <f>"43623"</f>
        <v>43623</v>
      </c>
      <c r="G3206" t="str">
        <f>"545044"</f>
        <v>545044</v>
      </c>
      <c r="H3206" s="2">
        <f>60</f>
        <v>60</v>
      </c>
      <c r="I3206" t="s">
        <v>27</v>
      </c>
      <c r="J3206" t="s">
        <v>28</v>
      </c>
      <c r="K3206" t="str">
        <f>"518431"</f>
        <v>518431</v>
      </c>
    </row>
    <row r="3207" spans="1:11" x14ac:dyDescent="0.25">
      <c r="A3207">
        <v>2022</v>
      </c>
      <c r="B3207" t="s">
        <v>11272</v>
      </c>
      <c r="C3207" t="s">
        <v>11273</v>
      </c>
      <c r="D3207" t="s">
        <v>19</v>
      </c>
      <c r="E3207" t="s">
        <v>20</v>
      </c>
      <c r="F3207" t="str">
        <f>"43623"</f>
        <v>43623</v>
      </c>
      <c r="G3207" t="str">
        <f>"545044"</f>
        <v>545044</v>
      </c>
      <c r="H3207" s="2">
        <f>25</f>
        <v>25</v>
      </c>
      <c r="I3207" t="s">
        <v>27</v>
      </c>
      <c r="J3207" t="s">
        <v>28</v>
      </c>
      <c r="K3207" t="str">
        <f>"518913"</f>
        <v>518913</v>
      </c>
    </row>
    <row r="3208" spans="1:11" x14ac:dyDescent="0.25">
      <c r="A3208">
        <v>2022</v>
      </c>
      <c r="B3208" t="s">
        <v>11272</v>
      </c>
      <c r="C3208" t="s">
        <v>11273</v>
      </c>
      <c r="D3208" t="s">
        <v>19</v>
      </c>
      <c r="E3208" t="s">
        <v>20</v>
      </c>
      <c r="F3208" t="str">
        <f>"43623"</f>
        <v>43623</v>
      </c>
      <c r="G3208" t="str">
        <f>"545044"</f>
        <v>545044</v>
      </c>
      <c r="H3208" s="2">
        <f>20</f>
        <v>20</v>
      </c>
      <c r="I3208" t="s">
        <v>27</v>
      </c>
      <c r="J3208" t="s">
        <v>28</v>
      </c>
      <c r="K3208" t="str">
        <f>"518663"</f>
        <v>518663</v>
      </c>
    </row>
    <row r="3209" spans="1:11" x14ac:dyDescent="0.25">
      <c r="A3209">
        <v>2022</v>
      </c>
      <c r="B3209" t="s">
        <v>11293</v>
      </c>
      <c r="C3209" t="s">
        <v>11294</v>
      </c>
      <c r="D3209" t="s">
        <v>19</v>
      </c>
      <c r="E3209" t="s">
        <v>20</v>
      </c>
      <c r="F3209" t="str">
        <f>"43605"</f>
        <v>43605</v>
      </c>
      <c r="G3209" t="str">
        <f>"545075"</f>
        <v>545075</v>
      </c>
      <c r="H3209" s="2">
        <f>5</f>
        <v>5</v>
      </c>
      <c r="I3209" t="s">
        <v>27</v>
      </c>
      <c r="J3209" t="s">
        <v>31</v>
      </c>
      <c r="K3209" t="str">
        <f>"44008775"</f>
        <v>44008775</v>
      </c>
    </row>
    <row r="3210" spans="1:11" x14ac:dyDescent="0.25">
      <c r="A3210">
        <v>2022</v>
      </c>
      <c r="B3210" t="s">
        <v>11301</v>
      </c>
      <c r="C3210" t="s">
        <v>10087</v>
      </c>
      <c r="D3210" t="s">
        <v>899</v>
      </c>
      <c r="E3210" t="s">
        <v>20</v>
      </c>
      <c r="F3210" t="str">
        <f>"43412-9708"</f>
        <v>43412-9708</v>
      </c>
      <c r="G3210" t="str">
        <f>"545101"</f>
        <v>545101</v>
      </c>
      <c r="H3210" s="2">
        <f>10</f>
        <v>10</v>
      </c>
      <c r="I3210" t="s">
        <v>27</v>
      </c>
      <c r="J3210" t="s">
        <v>51</v>
      </c>
      <c r="K3210" t="str">
        <f>"116758"</f>
        <v>116758</v>
      </c>
    </row>
    <row r="3211" spans="1:11" x14ac:dyDescent="0.25">
      <c r="A3211">
        <v>2022</v>
      </c>
      <c r="B3211" t="s">
        <v>11306</v>
      </c>
      <c r="C3211" t="s">
        <v>11307</v>
      </c>
      <c r="D3211" t="s">
        <v>19</v>
      </c>
      <c r="E3211" t="s">
        <v>20</v>
      </c>
      <c r="F3211" t="str">
        <f>"43615"</f>
        <v>43615</v>
      </c>
      <c r="G3211" t="str">
        <f>"Je031622"</f>
        <v>Je031622</v>
      </c>
      <c r="H3211" s="2">
        <f>307.31</f>
        <v>307.31</v>
      </c>
      <c r="I3211" t="s">
        <v>15</v>
      </c>
      <c r="J3211" t="s">
        <v>117</v>
      </c>
      <c r="K3211" t="str">
        <f>"60043018"</f>
        <v>60043018</v>
      </c>
    </row>
    <row r="3212" spans="1:11" x14ac:dyDescent="0.25">
      <c r="A3212">
        <v>2022</v>
      </c>
      <c r="B3212" t="s">
        <v>11312</v>
      </c>
      <c r="C3212" t="s">
        <v>11313</v>
      </c>
      <c r="D3212" t="s">
        <v>19</v>
      </c>
      <c r="E3212" t="s">
        <v>20</v>
      </c>
      <c r="F3212" t="str">
        <f>"43614"</f>
        <v>43614</v>
      </c>
      <c r="G3212" t="str">
        <f>"Je010722"</f>
        <v>Je010722</v>
      </c>
      <c r="H3212" s="2">
        <f>16.59</f>
        <v>16.59</v>
      </c>
      <c r="I3212" t="s">
        <v>15</v>
      </c>
      <c r="J3212" t="s">
        <v>90</v>
      </c>
      <c r="K3212" t="str">
        <f>"60034964"</f>
        <v>60034964</v>
      </c>
    </row>
    <row r="3213" spans="1:11" x14ac:dyDescent="0.25">
      <c r="A3213">
        <v>2022</v>
      </c>
      <c r="B3213" t="s">
        <v>11312</v>
      </c>
      <c r="C3213" t="s">
        <v>11313</v>
      </c>
      <c r="D3213" t="s">
        <v>19</v>
      </c>
      <c r="E3213" t="s">
        <v>20</v>
      </c>
      <c r="F3213" t="str">
        <f>"43614"</f>
        <v>43614</v>
      </c>
      <c r="G3213" t="str">
        <f>"Je031622"</f>
        <v>Je031622</v>
      </c>
      <c r="H3213" s="2">
        <f>16.59</f>
        <v>16.59</v>
      </c>
      <c r="I3213" t="s">
        <v>15</v>
      </c>
      <c r="J3213" t="s">
        <v>117</v>
      </c>
      <c r="K3213" t="str">
        <f>"60037411"</f>
        <v>60037411</v>
      </c>
    </row>
    <row r="3214" spans="1:11" x14ac:dyDescent="0.25">
      <c r="A3214">
        <v>2022</v>
      </c>
      <c r="B3214" t="s">
        <v>11319</v>
      </c>
      <c r="C3214" t="s">
        <v>11320</v>
      </c>
      <c r="D3214" t="s">
        <v>50</v>
      </c>
      <c r="E3214" t="s">
        <v>20</v>
      </c>
      <c r="F3214" t="str">
        <f>"43560"</f>
        <v>43560</v>
      </c>
      <c r="G3214" t="str">
        <f>"Je010722"</f>
        <v>Je010722</v>
      </c>
      <c r="H3214" s="2">
        <f>10</f>
        <v>10</v>
      </c>
      <c r="I3214" t="s">
        <v>15</v>
      </c>
      <c r="J3214" t="s">
        <v>90</v>
      </c>
      <c r="K3214" t="str">
        <f>"60035535"</f>
        <v>60035535</v>
      </c>
    </row>
    <row r="3215" spans="1:11" x14ac:dyDescent="0.25">
      <c r="A3215">
        <v>2022</v>
      </c>
      <c r="B3215" t="s">
        <v>11338</v>
      </c>
      <c r="C3215" t="s">
        <v>11339</v>
      </c>
      <c r="D3215" t="s">
        <v>19</v>
      </c>
      <c r="E3215" t="s">
        <v>20</v>
      </c>
      <c r="F3215" t="str">
        <f>"43615"</f>
        <v>43615</v>
      </c>
      <c r="G3215" t="str">
        <f>"545043"</f>
        <v>545043</v>
      </c>
      <c r="H3215" s="2">
        <f>2.65</f>
        <v>2.65</v>
      </c>
      <c r="I3215" t="s">
        <v>27</v>
      </c>
      <c r="J3215" t="s">
        <v>77</v>
      </c>
      <c r="K3215" t="str">
        <f>"333735"</f>
        <v>333735</v>
      </c>
    </row>
    <row r="3216" spans="1:11" x14ac:dyDescent="0.25">
      <c r="A3216">
        <v>2022</v>
      </c>
      <c r="B3216" t="s">
        <v>11340</v>
      </c>
      <c r="C3216" t="s">
        <v>11341</v>
      </c>
      <c r="D3216" t="s">
        <v>19</v>
      </c>
      <c r="E3216" t="s">
        <v>20</v>
      </c>
      <c r="F3216" t="str">
        <f>"43615"</f>
        <v>43615</v>
      </c>
      <c r="G3216" t="str">
        <f>"Je11032022"</f>
        <v>Je11032022</v>
      </c>
      <c r="H3216" s="2">
        <f>754.62</f>
        <v>754.62</v>
      </c>
      <c r="I3216" t="s">
        <v>15</v>
      </c>
      <c r="J3216" t="s">
        <v>234</v>
      </c>
      <c r="K3216" t="str">
        <f>"60058212"</f>
        <v>60058212</v>
      </c>
    </row>
    <row r="3217" spans="1:11" x14ac:dyDescent="0.25">
      <c r="A3217">
        <v>2022</v>
      </c>
      <c r="B3217" t="s">
        <v>11342</v>
      </c>
      <c r="C3217" t="s">
        <v>11343</v>
      </c>
      <c r="D3217" t="s">
        <v>11344</v>
      </c>
      <c r="E3217" t="s">
        <v>14</v>
      </c>
      <c r="F3217" t="str">
        <f>"48601"</f>
        <v>48601</v>
      </c>
      <c r="G3217" t="str">
        <f>"545043"</f>
        <v>545043</v>
      </c>
      <c r="H3217" s="2">
        <f>8.05</f>
        <v>8.0500000000000007</v>
      </c>
      <c r="I3217" t="s">
        <v>27</v>
      </c>
      <c r="J3217" t="s">
        <v>77</v>
      </c>
      <c r="K3217" t="str">
        <f>"333680"</f>
        <v>333680</v>
      </c>
    </row>
    <row r="3218" spans="1:11" x14ac:dyDescent="0.25">
      <c r="A3218">
        <v>2022</v>
      </c>
      <c r="B3218" t="s">
        <v>11349</v>
      </c>
      <c r="C3218" t="s">
        <v>11350</v>
      </c>
      <c r="D3218" t="s">
        <v>19</v>
      </c>
      <c r="E3218" t="s">
        <v>20</v>
      </c>
      <c r="F3218" t="str">
        <f>"43617-1227"</f>
        <v>43617-1227</v>
      </c>
      <c r="G3218" t="str">
        <f>"545101"</f>
        <v>545101</v>
      </c>
      <c r="H3218" s="2">
        <f>40</f>
        <v>40</v>
      </c>
      <c r="I3218" t="s">
        <v>27</v>
      </c>
      <c r="J3218" t="s">
        <v>51</v>
      </c>
      <c r="K3218" t="str">
        <f>"118088"</f>
        <v>118088</v>
      </c>
    </row>
    <row r="3219" spans="1:11" x14ac:dyDescent="0.25">
      <c r="A3219">
        <v>2022</v>
      </c>
      <c r="B3219" t="s">
        <v>11353</v>
      </c>
      <c r="C3219" t="s">
        <v>11354</v>
      </c>
      <c r="D3219" t="s">
        <v>19</v>
      </c>
      <c r="E3219" t="s">
        <v>20</v>
      </c>
      <c r="F3219" t="str">
        <f>"43613"</f>
        <v>43613</v>
      </c>
      <c r="G3219" t="str">
        <f>"Je031622"</f>
        <v>Je031622</v>
      </c>
      <c r="H3219" s="2">
        <f>239.85</f>
        <v>239.85</v>
      </c>
      <c r="I3219" t="s">
        <v>15</v>
      </c>
      <c r="J3219" t="s">
        <v>117</v>
      </c>
      <c r="K3219" t="str">
        <f>"60042346"</f>
        <v>60042346</v>
      </c>
    </row>
    <row r="3220" spans="1:11" x14ac:dyDescent="0.25">
      <c r="A3220">
        <v>2022</v>
      </c>
      <c r="B3220" t="s">
        <v>11382</v>
      </c>
      <c r="C3220" t="s">
        <v>11383</v>
      </c>
      <c r="D3220" t="s">
        <v>19</v>
      </c>
      <c r="E3220" t="s">
        <v>20</v>
      </c>
      <c r="F3220" t="str">
        <f>"43617"</f>
        <v>43617</v>
      </c>
      <c r="G3220" t="str">
        <f>"Je031622"</f>
        <v>Je031622</v>
      </c>
      <c r="H3220" s="2">
        <f>457.96</f>
        <v>457.96</v>
      </c>
      <c r="I3220" t="s">
        <v>15</v>
      </c>
      <c r="J3220" t="s">
        <v>117</v>
      </c>
      <c r="K3220" t="str">
        <f>"60042578"</f>
        <v>60042578</v>
      </c>
    </row>
    <row r="3221" spans="1:11" x14ac:dyDescent="0.25">
      <c r="A3221">
        <v>2022</v>
      </c>
      <c r="B3221" t="s">
        <v>11384</v>
      </c>
      <c r="C3221" t="s">
        <v>11385</v>
      </c>
      <c r="D3221" t="s">
        <v>19</v>
      </c>
      <c r="E3221" t="s">
        <v>20</v>
      </c>
      <c r="F3221" t="str">
        <f>"43615-4633"</f>
        <v>43615-4633</v>
      </c>
      <c r="G3221" t="str">
        <f>"545101"</f>
        <v>545101</v>
      </c>
      <c r="H3221" s="2">
        <f>60</f>
        <v>60</v>
      </c>
      <c r="I3221" t="s">
        <v>27</v>
      </c>
      <c r="J3221" t="s">
        <v>51</v>
      </c>
      <c r="K3221" t="str">
        <f>"116239"</f>
        <v>116239</v>
      </c>
    </row>
    <row r="3222" spans="1:11" x14ac:dyDescent="0.25">
      <c r="A3222">
        <v>2022</v>
      </c>
      <c r="B3222" t="s">
        <v>11393</v>
      </c>
      <c r="C3222" t="s">
        <v>11394</v>
      </c>
      <c r="D3222" t="s">
        <v>19</v>
      </c>
      <c r="E3222" t="s">
        <v>20</v>
      </c>
      <c r="F3222" t="str">
        <f>"43611"</f>
        <v>43611</v>
      </c>
      <c r="G3222" t="str">
        <f>"Je031622"</f>
        <v>Je031622</v>
      </c>
      <c r="H3222" s="2">
        <f>25</f>
        <v>25</v>
      </c>
      <c r="I3222" t="s">
        <v>15</v>
      </c>
      <c r="J3222" t="s">
        <v>117</v>
      </c>
      <c r="K3222" t="str">
        <f>"60038586"</f>
        <v>60038586</v>
      </c>
    </row>
    <row r="3223" spans="1:11" x14ac:dyDescent="0.25">
      <c r="A3223">
        <v>2022</v>
      </c>
      <c r="B3223" t="s">
        <v>11399</v>
      </c>
      <c r="C3223" t="s">
        <v>282</v>
      </c>
      <c r="D3223" t="s">
        <v>19</v>
      </c>
      <c r="E3223" t="s">
        <v>20</v>
      </c>
      <c r="F3223" t="str">
        <f>"43608"</f>
        <v>43608</v>
      </c>
      <c r="G3223" t="str">
        <f>"Je11032022"</f>
        <v>Je11032022</v>
      </c>
      <c r="H3223" s="2">
        <f>0.41</f>
        <v>0.41</v>
      </c>
      <c r="I3223" t="s">
        <v>15</v>
      </c>
      <c r="J3223" t="s">
        <v>234</v>
      </c>
      <c r="K3223" t="str">
        <f>"60053509"</f>
        <v>60053509</v>
      </c>
    </row>
    <row r="3224" spans="1:11" x14ac:dyDescent="0.25">
      <c r="A3224">
        <v>2022</v>
      </c>
      <c r="B3224" t="s">
        <v>11413</v>
      </c>
      <c r="C3224" t="s">
        <v>11414</v>
      </c>
      <c r="D3224" t="s">
        <v>19</v>
      </c>
      <c r="E3224" t="s">
        <v>20</v>
      </c>
      <c r="F3224" t="str">
        <f>"43607"</f>
        <v>43607</v>
      </c>
      <c r="G3224" t="str">
        <f>"545075"</f>
        <v>545075</v>
      </c>
      <c r="H3224" s="2">
        <f>7</f>
        <v>7</v>
      </c>
      <c r="I3224" t="s">
        <v>27</v>
      </c>
      <c r="J3224" t="s">
        <v>31</v>
      </c>
      <c r="K3224" t="str">
        <f>"11004020"</f>
        <v>11004020</v>
      </c>
    </row>
    <row r="3225" spans="1:11" x14ac:dyDescent="0.25">
      <c r="A3225">
        <v>2022</v>
      </c>
      <c r="B3225" t="s">
        <v>11424</v>
      </c>
      <c r="C3225" t="s">
        <v>11425</v>
      </c>
      <c r="D3225" t="s">
        <v>1074</v>
      </c>
      <c r="E3225" t="s">
        <v>20</v>
      </c>
      <c r="F3225" t="str">
        <f>"43551"</f>
        <v>43551</v>
      </c>
      <c r="G3225" t="str">
        <f>"Je031622"</f>
        <v>Je031622</v>
      </c>
      <c r="H3225" s="2">
        <f>45.25</f>
        <v>45.25</v>
      </c>
      <c r="I3225" t="s">
        <v>15</v>
      </c>
      <c r="J3225" t="s">
        <v>117</v>
      </c>
      <c r="K3225" t="str">
        <f>"60042359"</f>
        <v>60042359</v>
      </c>
    </row>
    <row r="3226" spans="1:11" x14ac:dyDescent="0.25">
      <c r="A3226">
        <v>2022</v>
      </c>
      <c r="B3226" t="s">
        <v>11424</v>
      </c>
      <c r="C3226" t="s">
        <v>11425</v>
      </c>
      <c r="D3226" t="s">
        <v>1074</v>
      </c>
      <c r="E3226" t="s">
        <v>20</v>
      </c>
      <c r="F3226" t="str">
        <f>"43551"</f>
        <v>43551</v>
      </c>
      <c r="G3226" t="str">
        <f>"Je010722"</f>
        <v>Je010722</v>
      </c>
      <c r="H3226" s="2">
        <f>45.25</f>
        <v>45.25</v>
      </c>
      <c r="I3226" t="s">
        <v>15</v>
      </c>
      <c r="J3226" t="s">
        <v>90</v>
      </c>
      <c r="K3226" t="str">
        <f>"60034986"</f>
        <v>60034986</v>
      </c>
    </row>
    <row r="3227" spans="1:11" x14ac:dyDescent="0.25">
      <c r="A3227">
        <v>2022</v>
      </c>
      <c r="B3227" t="s">
        <v>11424</v>
      </c>
      <c r="C3227" t="s">
        <v>11425</v>
      </c>
      <c r="D3227" t="s">
        <v>1074</v>
      </c>
      <c r="E3227" t="s">
        <v>20</v>
      </c>
      <c r="F3227" t="str">
        <f>"43551"</f>
        <v>43551</v>
      </c>
      <c r="G3227" t="str">
        <f>"Je010722"</f>
        <v>Je010722</v>
      </c>
      <c r="H3227" s="2">
        <f>45.25</f>
        <v>45.25</v>
      </c>
      <c r="I3227" t="s">
        <v>15</v>
      </c>
      <c r="J3227" t="s">
        <v>90</v>
      </c>
      <c r="K3227" t="str">
        <f>"60029655"</f>
        <v>60029655</v>
      </c>
    </row>
    <row r="3228" spans="1:11" x14ac:dyDescent="0.25">
      <c r="A3228">
        <v>2022</v>
      </c>
      <c r="B3228" t="s">
        <v>11459</v>
      </c>
      <c r="C3228" t="s">
        <v>11460</v>
      </c>
      <c r="D3228" t="s">
        <v>11461</v>
      </c>
      <c r="E3228" t="s">
        <v>20</v>
      </c>
      <c r="F3228" t="str">
        <f>"44420"</f>
        <v>44420</v>
      </c>
      <c r="G3228" t="str">
        <f>"545042"</f>
        <v>545042</v>
      </c>
      <c r="H3228" s="2">
        <f>20</f>
        <v>20</v>
      </c>
      <c r="I3228" t="s">
        <v>27</v>
      </c>
      <c r="J3228" t="s">
        <v>257</v>
      </c>
      <c r="K3228" t="str">
        <f>"38005"</f>
        <v>38005</v>
      </c>
    </row>
    <row r="3229" spans="1:11" x14ac:dyDescent="0.25">
      <c r="A3229">
        <v>2022</v>
      </c>
      <c r="B3229" t="s">
        <v>11465</v>
      </c>
      <c r="C3229" t="s">
        <v>11466</v>
      </c>
      <c r="D3229" t="s">
        <v>19</v>
      </c>
      <c r="E3229" t="s">
        <v>20</v>
      </c>
      <c r="F3229" t="str">
        <f>"43607"</f>
        <v>43607</v>
      </c>
      <c r="G3229" t="str">
        <f>"Je070522"</f>
        <v>Je070522</v>
      </c>
      <c r="H3229" s="2">
        <f>80</f>
        <v>80</v>
      </c>
      <c r="I3229" t="s">
        <v>15</v>
      </c>
      <c r="J3229" t="s">
        <v>207</v>
      </c>
      <c r="K3229" t="str">
        <f>"60049797"</f>
        <v>60049797</v>
      </c>
    </row>
    <row r="3230" spans="1:11" x14ac:dyDescent="0.25">
      <c r="A3230">
        <v>2022</v>
      </c>
      <c r="B3230" t="s">
        <v>11472</v>
      </c>
      <c r="C3230" t="s">
        <v>11473</v>
      </c>
      <c r="D3230" t="s">
        <v>19</v>
      </c>
      <c r="E3230" t="s">
        <v>20</v>
      </c>
      <c r="F3230" t="str">
        <f>"43615"</f>
        <v>43615</v>
      </c>
      <c r="G3230" t="str">
        <f>"545043"</f>
        <v>545043</v>
      </c>
      <c r="H3230" s="2">
        <f>8.5</f>
        <v>8.5</v>
      </c>
      <c r="I3230" t="s">
        <v>27</v>
      </c>
      <c r="J3230" t="s">
        <v>77</v>
      </c>
      <c r="K3230" t="str">
        <f>"333507"</f>
        <v>333507</v>
      </c>
    </row>
    <row r="3231" spans="1:11" x14ac:dyDescent="0.25">
      <c r="A3231">
        <v>2022</v>
      </c>
      <c r="B3231" t="s">
        <v>11474</v>
      </c>
      <c r="C3231" t="s">
        <v>11475</v>
      </c>
      <c r="D3231" t="s">
        <v>58</v>
      </c>
      <c r="E3231" t="s">
        <v>20</v>
      </c>
      <c r="F3231" t="str">
        <f>"43616-2976"</f>
        <v>43616-2976</v>
      </c>
      <c r="G3231" t="str">
        <f>"545101"</f>
        <v>545101</v>
      </c>
      <c r="H3231" s="2">
        <f>10</f>
        <v>10</v>
      </c>
      <c r="I3231" t="s">
        <v>27</v>
      </c>
      <c r="J3231" t="s">
        <v>51</v>
      </c>
      <c r="K3231" t="str">
        <f>"116127"</f>
        <v>116127</v>
      </c>
    </row>
    <row r="3232" spans="1:11" x14ac:dyDescent="0.25">
      <c r="A3232">
        <v>2022</v>
      </c>
      <c r="B3232" t="s">
        <v>11478</v>
      </c>
      <c r="C3232" t="s">
        <v>11479</v>
      </c>
      <c r="D3232" t="s">
        <v>19</v>
      </c>
      <c r="E3232" t="s">
        <v>20</v>
      </c>
      <c r="F3232" t="str">
        <f>"43617"</f>
        <v>43617</v>
      </c>
      <c r="G3232" t="str">
        <f>"545043"</f>
        <v>545043</v>
      </c>
      <c r="H3232" s="2">
        <f>65.9</f>
        <v>65.900000000000006</v>
      </c>
      <c r="I3232" t="s">
        <v>27</v>
      </c>
      <c r="J3232" t="s">
        <v>77</v>
      </c>
      <c r="K3232" t="str">
        <f>"333660"</f>
        <v>333660</v>
      </c>
    </row>
    <row r="3233" spans="1:11" x14ac:dyDescent="0.25">
      <c r="A3233">
        <v>2022</v>
      </c>
      <c r="B3233" t="s">
        <v>11494</v>
      </c>
      <c r="C3233" t="s">
        <v>11495</v>
      </c>
      <c r="D3233" t="s">
        <v>19</v>
      </c>
      <c r="E3233" t="s">
        <v>20</v>
      </c>
      <c r="F3233" t="str">
        <f>"43611"</f>
        <v>43611</v>
      </c>
      <c r="G3233" t="str">
        <f>"545043"</f>
        <v>545043</v>
      </c>
      <c r="H3233" s="2">
        <f>7.4</f>
        <v>7.4</v>
      </c>
      <c r="I3233" t="s">
        <v>27</v>
      </c>
      <c r="J3233" t="s">
        <v>77</v>
      </c>
      <c r="K3233" t="str">
        <f>"333350"</f>
        <v>333350</v>
      </c>
    </row>
    <row r="3234" spans="1:11" x14ac:dyDescent="0.25">
      <c r="A3234">
        <v>2022</v>
      </c>
      <c r="B3234" t="s">
        <v>11512</v>
      </c>
      <c r="C3234" t="s">
        <v>11513</v>
      </c>
      <c r="D3234" t="s">
        <v>19</v>
      </c>
      <c r="E3234" t="s">
        <v>20</v>
      </c>
      <c r="F3234" t="str">
        <f>"43613"</f>
        <v>43613</v>
      </c>
      <c r="G3234" t="str">
        <f>"545043"</f>
        <v>545043</v>
      </c>
      <c r="H3234" s="2">
        <f>1.4</f>
        <v>1.4</v>
      </c>
      <c r="I3234" t="s">
        <v>27</v>
      </c>
      <c r="J3234" t="s">
        <v>77</v>
      </c>
      <c r="K3234" t="str">
        <f>"333336"</f>
        <v>333336</v>
      </c>
    </row>
    <row r="3235" spans="1:11" x14ac:dyDescent="0.25">
      <c r="A3235">
        <v>2022</v>
      </c>
      <c r="B3235" t="s">
        <v>11527</v>
      </c>
      <c r="C3235" t="s">
        <v>11528</v>
      </c>
      <c r="D3235" t="s">
        <v>19</v>
      </c>
      <c r="E3235" t="s">
        <v>20</v>
      </c>
      <c r="F3235" t="str">
        <f>"43606"</f>
        <v>43606</v>
      </c>
      <c r="G3235" t="str">
        <f>"545042"</f>
        <v>545042</v>
      </c>
      <c r="H3235" s="2">
        <f>20</f>
        <v>20</v>
      </c>
      <c r="I3235" t="s">
        <v>27</v>
      </c>
      <c r="J3235" t="s">
        <v>257</v>
      </c>
      <c r="K3235" t="str">
        <f>"37280"</f>
        <v>37280</v>
      </c>
    </row>
    <row r="3236" spans="1:11" x14ac:dyDescent="0.25">
      <c r="A3236">
        <v>2022</v>
      </c>
      <c r="B3236" t="s">
        <v>11529</v>
      </c>
      <c r="C3236" t="s">
        <v>11530</v>
      </c>
      <c r="D3236" t="s">
        <v>19</v>
      </c>
      <c r="E3236" t="s">
        <v>20</v>
      </c>
      <c r="F3236" t="str">
        <f>"43606"</f>
        <v>43606</v>
      </c>
      <c r="G3236" t="str">
        <f>"545042"</f>
        <v>545042</v>
      </c>
      <c r="H3236" s="2">
        <f>20</f>
        <v>20</v>
      </c>
      <c r="I3236" t="s">
        <v>27</v>
      </c>
      <c r="J3236" t="s">
        <v>257</v>
      </c>
      <c r="K3236" t="str">
        <f>"38247"</f>
        <v>38247</v>
      </c>
    </row>
    <row r="3237" spans="1:11" x14ac:dyDescent="0.25">
      <c r="A3237">
        <v>2022</v>
      </c>
      <c r="B3237" t="s">
        <v>11544</v>
      </c>
      <c r="C3237" t="s">
        <v>3644</v>
      </c>
      <c r="D3237" t="s">
        <v>19</v>
      </c>
      <c r="E3237" t="s">
        <v>20</v>
      </c>
      <c r="F3237" t="str">
        <f t="shared" ref="F3237:F3248" si="104">"43697"</f>
        <v>43697</v>
      </c>
      <c r="G3237" t="str">
        <f t="shared" ref="G3237:G3248" si="105">"545044"</f>
        <v>545044</v>
      </c>
      <c r="H3237" s="2">
        <f>50</f>
        <v>50</v>
      </c>
      <c r="I3237" t="s">
        <v>27</v>
      </c>
      <c r="J3237" t="s">
        <v>28</v>
      </c>
      <c r="K3237" t="str">
        <f>"518697"</f>
        <v>518697</v>
      </c>
    </row>
    <row r="3238" spans="1:11" x14ac:dyDescent="0.25">
      <c r="A3238">
        <v>2022</v>
      </c>
      <c r="B3238" t="s">
        <v>11544</v>
      </c>
      <c r="C3238" t="s">
        <v>3644</v>
      </c>
      <c r="D3238" t="s">
        <v>19</v>
      </c>
      <c r="E3238" t="s">
        <v>20</v>
      </c>
      <c r="F3238" t="str">
        <f t="shared" si="104"/>
        <v>43697</v>
      </c>
      <c r="G3238" t="str">
        <f t="shared" si="105"/>
        <v>545044</v>
      </c>
      <c r="H3238" s="2">
        <f>50</f>
        <v>50</v>
      </c>
      <c r="I3238" t="s">
        <v>27</v>
      </c>
      <c r="J3238" t="s">
        <v>28</v>
      </c>
      <c r="K3238" t="str">
        <f>"519056"</f>
        <v>519056</v>
      </c>
    </row>
    <row r="3239" spans="1:11" x14ac:dyDescent="0.25">
      <c r="A3239">
        <v>2022</v>
      </c>
      <c r="B3239" t="s">
        <v>11544</v>
      </c>
      <c r="C3239" t="s">
        <v>3644</v>
      </c>
      <c r="D3239" t="s">
        <v>19</v>
      </c>
      <c r="E3239" t="s">
        <v>20</v>
      </c>
      <c r="F3239" t="str">
        <f t="shared" si="104"/>
        <v>43697</v>
      </c>
      <c r="G3239" t="str">
        <f t="shared" si="105"/>
        <v>545044</v>
      </c>
      <c r="H3239" s="2">
        <f>50</f>
        <v>50</v>
      </c>
      <c r="I3239" t="s">
        <v>27</v>
      </c>
      <c r="J3239" t="s">
        <v>28</v>
      </c>
      <c r="K3239" t="str">
        <f>"518355"</f>
        <v>518355</v>
      </c>
    </row>
    <row r="3240" spans="1:11" x14ac:dyDescent="0.25">
      <c r="A3240">
        <v>2022</v>
      </c>
      <c r="B3240" t="s">
        <v>11544</v>
      </c>
      <c r="C3240" t="s">
        <v>3644</v>
      </c>
      <c r="D3240" t="s">
        <v>19</v>
      </c>
      <c r="E3240" t="s">
        <v>20</v>
      </c>
      <c r="F3240" t="str">
        <f t="shared" si="104"/>
        <v>43697</v>
      </c>
      <c r="G3240" t="str">
        <f t="shared" si="105"/>
        <v>545044</v>
      </c>
      <c r="H3240" s="2">
        <f>50</f>
        <v>50</v>
      </c>
      <c r="I3240" t="s">
        <v>27</v>
      </c>
      <c r="J3240" t="s">
        <v>28</v>
      </c>
      <c r="K3240" t="str">
        <f>"519560"</f>
        <v>519560</v>
      </c>
    </row>
    <row r="3241" spans="1:11" x14ac:dyDescent="0.25">
      <c r="A3241">
        <v>2022</v>
      </c>
      <c r="B3241" t="s">
        <v>11544</v>
      </c>
      <c r="C3241" t="s">
        <v>3644</v>
      </c>
      <c r="D3241" t="s">
        <v>19</v>
      </c>
      <c r="E3241" t="s">
        <v>20</v>
      </c>
      <c r="F3241" t="str">
        <f t="shared" si="104"/>
        <v>43697</v>
      </c>
      <c r="G3241" t="str">
        <f t="shared" si="105"/>
        <v>545044</v>
      </c>
      <c r="H3241" s="2">
        <f>50</f>
        <v>50</v>
      </c>
      <c r="I3241" t="s">
        <v>27</v>
      </c>
      <c r="J3241" t="s">
        <v>28</v>
      </c>
      <c r="K3241" t="str">
        <f>"519352"</f>
        <v>519352</v>
      </c>
    </row>
    <row r="3242" spans="1:11" x14ac:dyDescent="0.25">
      <c r="A3242">
        <v>2022</v>
      </c>
      <c r="B3242" t="s">
        <v>11544</v>
      </c>
      <c r="C3242" t="s">
        <v>3644</v>
      </c>
      <c r="D3242" t="s">
        <v>19</v>
      </c>
      <c r="E3242" t="s">
        <v>20</v>
      </c>
      <c r="F3242" t="str">
        <f t="shared" si="104"/>
        <v>43697</v>
      </c>
      <c r="G3242" t="str">
        <f t="shared" si="105"/>
        <v>545044</v>
      </c>
      <c r="H3242" s="2">
        <f>50</f>
        <v>50</v>
      </c>
      <c r="I3242" t="s">
        <v>27</v>
      </c>
      <c r="J3242" t="s">
        <v>28</v>
      </c>
      <c r="K3242" t="str">
        <f>"519185"</f>
        <v>519185</v>
      </c>
    </row>
    <row r="3243" spans="1:11" x14ac:dyDescent="0.25">
      <c r="A3243">
        <v>2022</v>
      </c>
      <c r="B3243" t="s">
        <v>11544</v>
      </c>
      <c r="C3243" t="s">
        <v>3644</v>
      </c>
      <c r="D3243" t="s">
        <v>19</v>
      </c>
      <c r="E3243" t="s">
        <v>20</v>
      </c>
      <c r="F3243" t="str">
        <f t="shared" si="104"/>
        <v>43697</v>
      </c>
      <c r="G3243" t="str">
        <f t="shared" si="105"/>
        <v>545044</v>
      </c>
      <c r="H3243" s="2">
        <f>50</f>
        <v>50</v>
      </c>
      <c r="I3243" t="s">
        <v>27</v>
      </c>
      <c r="J3243" t="s">
        <v>28</v>
      </c>
      <c r="K3243" t="str">
        <f>"519129"</f>
        <v>519129</v>
      </c>
    </row>
    <row r="3244" spans="1:11" x14ac:dyDescent="0.25">
      <c r="A3244">
        <v>2022</v>
      </c>
      <c r="B3244" t="s">
        <v>11544</v>
      </c>
      <c r="C3244" t="s">
        <v>3644</v>
      </c>
      <c r="D3244" t="s">
        <v>19</v>
      </c>
      <c r="E3244" t="s">
        <v>20</v>
      </c>
      <c r="F3244" t="str">
        <f t="shared" si="104"/>
        <v>43697</v>
      </c>
      <c r="G3244" t="str">
        <f t="shared" si="105"/>
        <v>545044</v>
      </c>
      <c r="H3244" s="2">
        <f>50</f>
        <v>50</v>
      </c>
      <c r="I3244" t="s">
        <v>27</v>
      </c>
      <c r="J3244" t="s">
        <v>28</v>
      </c>
      <c r="K3244" t="str">
        <f>"519732"</f>
        <v>519732</v>
      </c>
    </row>
    <row r="3245" spans="1:11" x14ac:dyDescent="0.25">
      <c r="A3245">
        <v>2022</v>
      </c>
      <c r="B3245" t="s">
        <v>11544</v>
      </c>
      <c r="C3245" t="s">
        <v>3644</v>
      </c>
      <c r="D3245" t="s">
        <v>19</v>
      </c>
      <c r="E3245" t="s">
        <v>20</v>
      </c>
      <c r="F3245" t="str">
        <f t="shared" si="104"/>
        <v>43697</v>
      </c>
      <c r="G3245" t="str">
        <f t="shared" si="105"/>
        <v>545044</v>
      </c>
      <c r="H3245" s="2">
        <f>50</f>
        <v>50</v>
      </c>
      <c r="I3245" t="s">
        <v>27</v>
      </c>
      <c r="J3245" t="s">
        <v>28</v>
      </c>
      <c r="K3245" t="str">
        <f>"520430"</f>
        <v>520430</v>
      </c>
    </row>
    <row r="3246" spans="1:11" x14ac:dyDescent="0.25">
      <c r="A3246">
        <v>2022</v>
      </c>
      <c r="B3246" t="s">
        <v>11544</v>
      </c>
      <c r="C3246" t="s">
        <v>3644</v>
      </c>
      <c r="D3246" t="s">
        <v>19</v>
      </c>
      <c r="E3246" t="s">
        <v>20</v>
      </c>
      <c r="F3246" t="str">
        <f t="shared" si="104"/>
        <v>43697</v>
      </c>
      <c r="G3246" t="str">
        <f t="shared" si="105"/>
        <v>545044</v>
      </c>
      <c r="H3246" s="2">
        <f>50</f>
        <v>50</v>
      </c>
      <c r="I3246" t="s">
        <v>27</v>
      </c>
      <c r="J3246" t="s">
        <v>28</v>
      </c>
      <c r="K3246" t="str">
        <f>"520355"</f>
        <v>520355</v>
      </c>
    </row>
    <row r="3247" spans="1:11" x14ac:dyDescent="0.25">
      <c r="A3247">
        <v>2022</v>
      </c>
      <c r="B3247" t="s">
        <v>11544</v>
      </c>
      <c r="C3247" t="s">
        <v>3644</v>
      </c>
      <c r="D3247" t="s">
        <v>19</v>
      </c>
      <c r="E3247" t="s">
        <v>20</v>
      </c>
      <c r="F3247" t="str">
        <f t="shared" si="104"/>
        <v>43697</v>
      </c>
      <c r="G3247" t="str">
        <f t="shared" si="105"/>
        <v>545044</v>
      </c>
      <c r="H3247" s="2">
        <f>50</f>
        <v>50</v>
      </c>
      <c r="I3247" t="s">
        <v>27</v>
      </c>
      <c r="J3247" t="s">
        <v>28</v>
      </c>
      <c r="K3247" t="str">
        <f>"520094"</f>
        <v>520094</v>
      </c>
    </row>
    <row r="3248" spans="1:11" x14ac:dyDescent="0.25">
      <c r="A3248">
        <v>2022</v>
      </c>
      <c r="B3248" t="s">
        <v>11544</v>
      </c>
      <c r="C3248" t="s">
        <v>3644</v>
      </c>
      <c r="D3248" t="s">
        <v>19</v>
      </c>
      <c r="E3248" t="s">
        <v>20</v>
      </c>
      <c r="F3248" t="str">
        <f t="shared" si="104"/>
        <v>43697</v>
      </c>
      <c r="G3248" t="str">
        <f t="shared" si="105"/>
        <v>545044</v>
      </c>
      <c r="H3248" s="2">
        <f>50</f>
        <v>50</v>
      </c>
      <c r="I3248" t="s">
        <v>27</v>
      </c>
      <c r="J3248" t="s">
        <v>28</v>
      </c>
      <c r="K3248" t="str">
        <f>"519916"</f>
        <v>519916</v>
      </c>
    </row>
    <row r="3249" spans="1:11" x14ac:dyDescent="0.25">
      <c r="A3249">
        <v>2022</v>
      </c>
      <c r="B3249" t="s">
        <v>11569</v>
      </c>
      <c r="C3249" t="s">
        <v>11570</v>
      </c>
      <c r="D3249" t="s">
        <v>19</v>
      </c>
      <c r="E3249" t="s">
        <v>20</v>
      </c>
      <c r="F3249" t="str">
        <f>"43615-6773"</f>
        <v>43615-6773</v>
      </c>
      <c r="G3249" t="str">
        <f>"545101"</f>
        <v>545101</v>
      </c>
      <c r="H3249" s="2">
        <f>10</f>
        <v>10</v>
      </c>
      <c r="I3249" t="s">
        <v>27</v>
      </c>
      <c r="J3249" t="s">
        <v>51</v>
      </c>
      <c r="K3249" t="str">
        <f>"116737"</f>
        <v>116737</v>
      </c>
    </row>
    <row r="3250" spans="1:11" x14ac:dyDescent="0.25">
      <c r="A3250">
        <v>2022</v>
      </c>
      <c r="B3250" t="s">
        <v>11630</v>
      </c>
      <c r="C3250" t="s">
        <v>11631</v>
      </c>
      <c r="D3250" t="s">
        <v>19</v>
      </c>
      <c r="E3250" t="s">
        <v>20</v>
      </c>
      <c r="F3250" t="str">
        <f>"43613-4401"</f>
        <v>43613-4401</v>
      </c>
      <c r="G3250" t="str">
        <f>"545101"</f>
        <v>545101</v>
      </c>
      <c r="H3250" s="2">
        <f>30</f>
        <v>30</v>
      </c>
      <c r="I3250" t="s">
        <v>27</v>
      </c>
      <c r="J3250" t="s">
        <v>51</v>
      </c>
      <c r="K3250" t="str">
        <f>"117873"</f>
        <v>117873</v>
      </c>
    </row>
    <row r="3251" spans="1:11" x14ac:dyDescent="0.25">
      <c r="A3251">
        <v>2022</v>
      </c>
      <c r="B3251" t="s">
        <v>11651</v>
      </c>
      <c r="C3251" t="s">
        <v>11652</v>
      </c>
      <c r="D3251" t="s">
        <v>19</v>
      </c>
      <c r="E3251" t="s">
        <v>20</v>
      </c>
      <c r="F3251" t="str">
        <f>"43612"</f>
        <v>43612</v>
      </c>
      <c r="G3251" t="str">
        <f>"Je11032022"</f>
        <v>Je11032022</v>
      </c>
      <c r="H3251" s="2">
        <f>25</f>
        <v>25</v>
      </c>
      <c r="I3251" t="s">
        <v>15</v>
      </c>
      <c r="J3251" t="s">
        <v>234</v>
      </c>
      <c r="K3251" t="str">
        <f>"60053939"</f>
        <v>60053939</v>
      </c>
    </row>
    <row r="3252" spans="1:11" x14ac:dyDescent="0.25">
      <c r="A3252">
        <v>2022</v>
      </c>
      <c r="B3252" t="s">
        <v>11682</v>
      </c>
      <c r="C3252" t="s">
        <v>11683</v>
      </c>
      <c r="D3252" t="s">
        <v>19</v>
      </c>
      <c r="E3252" t="s">
        <v>20</v>
      </c>
      <c r="F3252" t="str">
        <f>"43605"</f>
        <v>43605</v>
      </c>
      <c r="G3252" t="str">
        <f>"Je010722"</f>
        <v>Je010722</v>
      </c>
      <c r="H3252" s="2">
        <f>210</f>
        <v>210</v>
      </c>
      <c r="I3252" t="s">
        <v>15</v>
      </c>
      <c r="J3252" t="s">
        <v>90</v>
      </c>
      <c r="K3252" t="str">
        <f>"60033747"</f>
        <v>60033747</v>
      </c>
    </row>
    <row r="3253" spans="1:11" x14ac:dyDescent="0.25">
      <c r="A3253">
        <v>2022</v>
      </c>
      <c r="B3253" t="s">
        <v>11690</v>
      </c>
      <c r="C3253" t="s">
        <v>11691</v>
      </c>
      <c r="D3253" t="s">
        <v>19</v>
      </c>
      <c r="E3253" t="s">
        <v>20</v>
      </c>
      <c r="F3253" t="str">
        <f>"43610"</f>
        <v>43610</v>
      </c>
      <c r="G3253" t="str">
        <f>"545042"</f>
        <v>545042</v>
      </c>
      <c r="H3253" s="2">
        <f>2.83</f>
        <v>2.83</v>
      </c>
      <c r="I3253" t="s">
        <v>27</v>
      </c>
      <c r="J3253" t="s">
        <v>257</v>
      </c>
      <c r="K3253" t="str">
        <f>"36926"</f>
        <v>36926</v>
      </c>
    </row>
    <row r="3254" spans="1:11" x14ac:dyDescent="0.25">
      <c r="A3254">
        <v>2022</v>
      </c>
      <c r="B3254" t="s">
        <v>11692</v>
      </c>
      <c r="C3254" t="s">
        <v>11693</v>
      </c>
      <c r="D3254" t="s">
        <v>50</v>
      </c>
      <c r="E3254" t="s">
        <v>20</v>
      </c>
      <c r="F3254" t="str">
        <f>"43560"</f>
        <v>43560</v>
      </c>
      <c r="G3254" t="str">
        <f>"Je031622"</f>
        <v>Je031622</v>
      </c>
      <c r="H3254" s="2">
        <f>557.99</f>
        <v>557.99</v>
      </c>
      <c r="I3254" t="s">
        <v>15</v>
      </c>
      <c r="J3254" t="s">
        <v>117</v>
      </c>
      <c r="K3254" t="str">
        <f>"60040017"</f>
        <v>60040017</v>
      </c>
    </row>
    <row r="3255" spans="1:11" x14ac:dyDescent="0.25">
      <c r="A3255">
        <v>2022</v>
      </c>
      <c r="B3255" t="s">
        <v>11692</v>
      </c>
      <c r="C3255" t="s">
        <v>11693</v>
      </c>
      <c r="D3255" t="s">
        <v>50</v>
      </c>
      <c r="E3255" t="s">
        <v>20</v>
      </c>
      <c r="F3255" t="str">
        <f>"43560"</f>
        <v>43560</v>
      </c>
      <c r="G3255" t="str">
        <f>"Je010722"</f>
        <v>Je010722</v>
      </c>
      <c r="H3255" s="2">
        <f>776.2</f>
        <v>776.2</v>
      </c>
      <c r="I3255" t="s">
        <v>15</v>
      </c>
      <c r="J3255" t="s">
        <v>90</v>
      </c>
      <c r="K3255" t="str">
        <f>"60035002"</f>
        <v>60035002</v>
      </c>
    </row>
    <row r="3256" spans="1:11" x14ac:dyDescent="0.25">
      <c r="A3256">
        <v>2022</v>
      </c>
      <c r="B3256" t="s">
        <v>11692</v>
      </c>
      <c r="C3256" t="s">
        <v>11693</v>
      </c>
      <c r="D3256" t="s">
        <v>50</v>
      </c>
      <c r="E3256" t="s">
        <v>20</v>
      </c>
      <c r="F3256" t="str">
        <f>"43560"</f>
        <v>43560</v>
      </c>
      <c r="G3256" t="str">
        <f>"Je031622"</f>
        <v>Je031622</v>
      </c>
      <c r="H3256" s="2">
        <f>632.74</f>
        <v>632.74</v>
      </c>
      <c r="I3256" t="s">
        <v>15</v>
      </c>
      <c r="J3256" t="s">
        <v>117</v>
      </c>
      <c r="K3256" t="str">
        <f>"60037449"</f>
        <v>60037449</v>
      </c>
    </row>
    <row r="3257" spans="1:11" x14ac:dyDescent="0.25">
      <c r="A3257">
        <v>2022</v>
      </c>
      <c r="B3257" t="s">
        <v>11709</v>
      </c>
      <c r="C3257" t="s">
        <v>11710</v>
      </c>
      <c r="D3257" t="s">
        <v>19</v>
      </c>
      <c r="E3257" t="s">
        <v>20</v>
      </c>
      <c r="F3257" t="str">
        <f>"43613-4729"</f>
        <v>43613-4729</v>
      </c>
      <c r="G3257" t="str">
        <f>"545101"</f>
        <v>545101</v>
      </c>
      <c r="H3257" s="2">
        <f>20</f>
        <v>20</v>
      </c>
      <c r="I3257" t="s">
        <v>27</v>
      </c>
      <c r="J3257" t="s">
        <v>51</v>
      </c>
      <c r="K3257" t="str">
        <f>"117315"</f>
        <v>117315</v>
      </c>
    </row>
    <row r="3258" spans="1:11" x14ac:dyDescent="0.25">
      <c r="A3258">
        <v>2022</v>
      </c>
      <c r="B3258" t="s">
        <v>11709</v>
      </c>
      <c r="C3258" t="s">
        <v>11710</v>
      </c>
      <c r="D3258" t="s">
        <v>19</v>
      </c>
      <c r="E3258" t="s">
        <v>20</v>
      </c>
      <c r="F3258" t="str">
        <f>"43613-4729"</f>
        <v>43613-4729</v>
      </c>
      <c r="G3258" t="str">
        <f>"545101"</f>
        <v>545101</v>
      </c>
      <c r="H3258" s="2">
        <f>20</f>
        <v>20</v>
      </c>
      <c r="I3258" t="s">
        <v>27</v>
      </c>
      <c r="J3258" t="s">
        <v>51</v>
      </c>
      <c r="K3258" t="str">
        <f>"117325"</f>
        <v>117325</v>
      </c>
    </row>
    <row r="3259" spans="1:11" x14ac:dyDescent="0.25">
      <c r="A3259">
        <v>2022</v>
      </c>
      <c r="B3259" t="s">
        <v>11713</v>
      </c>
      <c r="C3259" t="s">
        <v>11714</v>
      </c>
      <c r="D3259" t="s">
        <v>19</v>
      </c>
      <c r="E3259" t="s">
        <v>20</v>
      </c>
      <c r="F3259" t="str">
        <f>"43614-5133"</f>
        <v>43614-5133</v>
      </c>
      <c r="G3259" t="str">
        <f>"545101"</f>
        <v>545101</v>
      </c>
      <c r="H3259" s="2">
        <f>10</f>
        <v>10</v>
      </c>
      <c r="I3259" t="s">
        <v>27</v>
      </c>
      <c r="J3259" t="s">
        <v>51</v>
      </c>
      <c r="K3259" t="str">
        <f>"117879"</f>
        <v>117879</v>
      </c>
    </row>
    <row r="3260" spans="1:11" x14ac:dyDescent="0.25">
      <c r="A3260">
        <v>2022</v>
      </c>
      <c r="B3260" t="s">
        <v>11769</v>
      </c>
      <c r="C3260" t="s">
        <v>11770</v>
      </c>
      <c r="D3260" t="s">
        <v>19</v>
      </c>
      <c r="E3260" t="s">
        <v>20</v>
      </c>
      <c r="F3260" t="str">
        <f>"43607-4353"</f>
        <v>43607-4353</v>
      </c>
      <c r="G3260" t="str">
        <f>"545101"</f>
        <v>545101</v>
      </c>
      <c r="H3260" s="2">
        <f>10</f>
        <v>10</v>
      </c>
      <c r="I3260" t="s">
        <v>27</v>
      </c>
      <c r="J3260" t="s">
        <v>51</v>
      </c>
      <c r="K3260" t="str">
        <f>"116506"</f>
        <v>116506</v>
      </c>
    </row>
    <row r="3261" spans="1:11" x14ac:dyDescent="0.25">
      <c r="A3261">
        <v>2022</v>
      </c>
      <c r="B3261" t="s">
        <v>11775</v>
      </c>
      <c r="C3261" t="s">
        <v>11776</v>
      </c>
      <c r="D3261" t="s">
        <v>19</v>
      </c>
      <c r="E3261" t="s">
        <v>20</v>
      </c>
      <c r="F3261" t="str">
        <f>"43620"</f>
        <v>43620</v>
      </c>
      <c r="G3261" t="str">
        <f>"Je031622"</f>
        <v>Je031622</v>
      </c>
      <c r="H3261" s="2">
        <f>22.63</f>
        <v>22.63</v>
      </c>
      <c r="I3261" t="s">
        <v>15</v>
      </c>
      <c r="J3261" t="s">
        <v>117</v>
      </c>
      <c r="K3261" t="str">
        <f>"60042384"</f>
        <v>60042384</v>
      </c>
    </row>
    <row r="3262" spans="1:11" x14ac:dyDescent="0.25">
      <c r="A3262">
        <v>2022</v>
      </c>
      <c r="B3262" t="s">
        <v>11777</v>
      </c>
      <c r="C3262" t="s">
        <v>11778</v>
      </c>
      <c r="D3262" t="s">
        <v>58</v>
      </c>
      <c r="E3262" t="s">
        <v>20</v>
      </c>
      <c r="F3262" t="str">
        <f>"43616"</f>
        <v>43616</v>
      </c>
      <c r="G3262" t="str">
        <f>"Je010722"</f>
        <v>Je010722</v>
      </c>
      <c r="H3262" s="2">
        <f>596.66</f>
        <v>596.66</v>
      </c>
      <c r="I3262" t="s">
        <v>15</v>
      </c>
      <c r="J3262" t="s">
        <v>90</v>
      </c>
      <c r="K3262" t="str">
        <f>"60028844"</f>
        <v>60028844</v>
      </c>
    </row>
    <row r="3263" spans="1:11" x14ac:dyDescent="0.25">
      <c r="A3263">
        <v>2022</v>
      </c>
      <c r="B3263" t="s">
        <v>11784</v>
      </c>
      <c r="C3263" t="s">
        <v>11785</v>
      </c>
      <c r="D3263" t="s">
        <v>19</v>
      </c>
      <c r="E3263" t="s">
        <v>20</v>
      </c>
      <c r="F3263" t="str">
        <f>"43613"</f>
        <v>43613</v>
      </c>
      <c r="G3263" t="str">
        <f>"545075"</f>
        <v>545075</v>
      </c>
      <c r="H3263" s="2">
        <f>15.5</f>
        <v>15.5</v>
      </c>
      <c r="I3263" t="s">
        <v>27</v>
      </c>
      <c r="J3263" t="s">
        <v>31</v>
      </c>
      <c r="K3263" t="str">
        <f>"22021817"</f>
        <v>22021817</v>
      </c>
    </row>
    <row r="3264" spans="1:11" x14ac:dyDescent="0.25">
      <c r="A3264">
        <v>2022</v>
      </c>
      <c r="B3264" t="s">
        <v>11786</v>
      </c>
      <c r="C3264" t="s">
        <v>11787</v>
      </c>
      <c r="D3264" t="s">
        <v>19</v>
      </c>
      <c r="E3264" t="s">
        <v>20</v>
      </c>
      <c r="F3264" t="str">
        <f>"43617-1350"</f>
        <v>43617-1350</v>
      </c>
      <c r="G3264" t="str">
        <f>"545101"</f>
        <v>545101</v>
      </c>
      <c r="H3264" s="2">
        <f>30</f>
        <v>30</v>
      </c>
      <c r="I3264" t="s">
        <v>27</v>
      </c>
      <c r="J3264" t="s">
        <v>51</v>
      </c>
      <c r="K3264" t="str">
        <f>"118283"</f>
        <v>118283</v>
      </c>
    </row>
    <row r="3265" spans="1:11" x14ac:dyDescent="0.25">
      <c r="A3265">
        <v>2022</v>
      </c>
      <c r="B3265" t="s">
        <v>11800</v>
      </c>
      <c r="C3265" t="s">
        <v>11801</v>
      </c>
      <c r="D3265" t="s">
        <v>7904</v>
      </c>
      <c r="E3265" t="s">
        <v>20</v>
      </c>
      <c r="F3265" t="str">
        <f>"43081"</f>
        <v>43081</v>
      </c>
      <c r="G3265" t="str">
        <f>"Je031622"</f>
        <v>Je031622</v>
      </c>
      <c r="H3265" s="2">
        <f>30.17</f>
        <v>30.17</v>
      </c>
      <c r="I3265" t="s">
        <v>15</v>
      </c>
      <c r="J3265" t="s">
        <v>117</v>
      </c>
      <c r="K3265" t="str">
        <f>"60042385"</f>
        <v>60042385</v>
      </c>
    </row>
    <row r="3266" spans="1:11" x14ac:dyDescent="0.25">
      <c r="A3266">
        <v>2022</v>
      </c>
      <c r="B3266" t="s">
        <v>11825</v>
      </c>
      <c r="C3266" t="s">
        <v>11826</v>
      </c>
      <c r="D3266" t="s">
        <v>19</v>
      </c>
      <c r="E3266" t="s">
        <v>20</v>
      </c>
      <c r="F3266" t="str">
        <f>"43608"</f>
        <v>43608</v>
      </c>
      <c r="G3266" t="str">
        <f>"545075"</f>
        <v>545075</v>
      </c>
      <c r="H3266" s="2">
        <f>5</f>
        <v>5</v>
      </c>
      <c r="I3266" t="s">
        <v>27</v>
      </c>
      <c r="J3266" t="s">
        <v>31</v>
      </c>
      <c r="K3266" t="str">
        <f>"22022763"</f>
        <v>22022763</v>
      </c>
    </row>
    <row r="3267" spans="1:11" x14ac:dyDescent="0.25">
      <c r="A3267">
        <v>2022</v>
      </c>
      <c r="B3267" t="s">
        <v>11829</v>
      </c>
      <c r="C3267" t="s">
        <v>11830</v>
      </c>
      <c r="D3267" t="s">
        <v>11831</v>
      </c>
      <c r="E3267" t="s">
        <v>11832</v>
      </c>
      <c r="F3267" t="str">
        <f>"89107"</f>
        <v>89107</v>
      </c>
      <c r="G3267" t="str">
        <f>"Je070522"</f>
        <v>Je070522</v>
      </c>
      <c r="H3267" s="2">
        <f>103.14</f>
        <v>103.14</v>
      </c>
      <c r="I3267" t="s">
        <v>15</v>
      </c>
      <c r="J3267" t="s">
        <v>207</v>
      </c>
      <c r="K3267" t="str">
        <f>"60048571"</f>
        <v>60048571</v>
      </c>
    </row>
    <row r="3268" spans="1:11" x14ac:dyDescent="0.25">
      <c r="A3268">
        <v>2022</v>
      </c>
      <c r="B3268" t="s">
        <v>11839</v>
      </c>
      <c r="C3268" t="s">
        <v>11840</v>
      </c>
      <c r="D3268" t="s">
        <v>19</v>
      </c>
      <c r="E3268" t="s">
        <v>20</v>
      </c>
      <c r="F3268" t="str">
        <f>"43608"</f>
        <v>43608</v>
      </c>
      <c r="G3268" t="str">
        <f>"545075"</f>
        <v>545075</v>
      </c>
      <c r="H3268" s="2">
        <f>2.2</f>
        <v>2.2000000000000002</v>
      </c>
      <c r="I3268" t="s">
        <v>27</v>
      </c>
      <c r="J3268" t="s">
        <v>31</v>
      </c>
      <c r="K3268" t="str">
        <f>"11003955"</f>
        <v>11003955</v>
      </c>
    </row>
    <row r="3269" spans="1:11" x14ac:dyDescent="0.25">
      <c r="A3269">
        <v>2022</v>
      </c>
      <c r="B3269" t="s">
        <v>11839</v>
      </c>
      <c r="C3269" t="s">
        <v>11838</v>
      </c>
      <c r="D3269" t="s">
        <v>19</v>
      </c>
      <c r="E3269" t="s">
        <v>20</v>
      </c>
      <c r="F3269" t="str">
        <f>"43613"</f>
        <v>43613</v>
      </c>
      <c r="G3269" t="str">
        <f>"545075"</f>
        <v>545075</v>
      </c>
      <c r="H3269" s="2">
        <f>7.17</f>
        <v>7.17</v>
      </c>
      <c r="I3269" t="s">
        <v>27</v>
      </c>
      <c r="J3269" t="s">
        <v>31</v>
      </c>
      <c r="K3269" t="str">
        <f>"22021407"</f>
        <v>22021407</v>
      </c>
    </row>
    <row r="3270" spans="1:11" x14ac:dyDescent="0.25">
      <c r="A3270">
        <v>2022</v>
      </c>
      <c r="B3270" t="s">
        <v>11863</v>
      </c>
      <c r="C3270" t="s">
        <v>11864</v>
      </c>
      <c r="D3270" t="s">
        <v>19</v>
      </c>
      <c r="E3270" t="s">
        <v>20</v>
      </c>
      <c r="F3270" t="str">
        <f>"43612-2116"</f>
        <v>43612-2116</v>
      </c>
      <c r="G3270" t="str">
        <f>"545101"</f>
        <v>545101</v>
      </c>
      <c r="H3270" s="2">
        <f>50</f>
        <v>50</v>
      </c>
      <c r="I3270" t="s">
        <v>27</v>
      </c>
      <c r="J3270" t="s">
        <v>51</v>
      </c>
      <c r="K3270" t="str">
        <f>"117469"</f>
        <v>117469</v>
      </c>
    </row>
    <row r="3271" spans="1:11" x14ac:dyDescent="0.25">
      <c r="A3271">
        <v>2022</v>
      </c>
      <c r="B3271" t="s">
        <v>11867</v>
      </c>
      <c r="C3271" t="s">
        <v>11868</v>
      </c>
      <c r="D3271" t="s">
        <v>105</v>
      </c>
      <c r="E3271" t="s">
        <v>20</v>
      </c>
      <c r="F3271" t="str">
        <f>"43528-8059"</f>
        <v>43528-8059</v>
      </c>
      <c r="G3271" t="str">
        <f>"545101"</f>
        <v>545101</v>
      </c>
      <c r="H3271" s="2">
        <f>40</f>
        <v>40</v>
      </c>
      <c r="I3271" t="s">
        <v>27</v>
      </c>
      <c r="J3271" t="s">
        <v>51</v>
      </c>
      <c r="K3271" t="str">
        <f>"117617"</f>
        <v>117617</v>
      </c>
    </row>
    <row r="3272" spans="1:11" x14ac:dyDescent="0.25">
      <c r="A3272">
        <v>2022</v>
      </c>
      <c r="B3272" t="s">
        <v>11871</v>
      </c>
      <c r="C3272" t="s">
        <v>11872</v>
      </c>
      <c r="D3272" t="s">
        <v>19</v>
      </c>
      <c r="E3272" t="s">
        <v>20</v>
      </c>
      <c r="F3272" t="str">
        <f>"43611-2354"</f>
        <v>43611-2354</v>
      </c>
      <c r="G3272" t="str">
        <f>"545101"</f>
        <v>545101</v>
      </c>
      <c r="H3272" s="2">
        <f>10</f>
        <v>10</v>
      </c>
      <c r="I3272" t="s">
        <v>27</v>
      </c>
      <c r="J3272" t="s">
        <v>51</v>
      </c>
      <c r="K3272" t="str">
        <f>"118095"</f>
        <v>118095</v>
      </c>
    </row>
    <row r="3273" spans="1:11" x14ac:dyDescent="0.25">
      <c r="A3273">
        <v>2022</v>
      </c>
      <c r="B3273" t="s">
        <v>11910</v>
      </c>
      <c r="C3273" t="s">
        <v>11911</v>
      </c>
      <c r="D3273" t="s">
        <v>19</v>
      </c>
      <c r="E3273" t="s">
        <v>20</v>
      </c>
      <c r="F3273" t="str">
        <f>"43615"</f>
        <v>43615</v>
      </c>
      <c r="G3273" t="str">
        <f>"Je010722"</f>
        <v>Je010722</v>
      </c>
      <c r="H3273" s="2">
        <f>100</f>
        <v>100</v>
      </c>
      <c r="I3273" t="s">
        <v>15</v>
      </c>
      <c r="J3273" t="s">
        <v>90</v>
      </c>
      <c r="K3273" t="str">
        <f>"60027141"</f>
        <v>60027141</v>
      </c>
    </row>
    <row r="3274" spans="1:11" x14ac:dyDescent="0.25">
      <c r="A3274">
        <v>2022</v>
      </c>
      <c r="B3274" t="s">
        <v>11945</v>
      </c>
      <c r="C3274" t="s">
        <v>11946</v>
      </c>
      <c r="D3274" t="s">
        <v>19</v>
      </c>
      <c r="E3274" t="s">
        <v>20</v>
      </c>
      <c r="F3274" t="str">
        <f>"43610"</f>
        <v>43610</v>
      </c>
      <c r="G3274" t="str">
        <f>"Je031622"</f>
        <v>Je031622</v>
      </c>
      <c r="H3274" s="2">
        <f>25</f>
        <v>25</v>
      </c>
      <c r="I3274" t="s">
        <v>15</v>
      </c>
      <c r="J3274" t="s">
        <v>117</v>
      </c>
      <c r="K3274" t="str">
        <f>"60038592"</f>
        <v>60038592</v>
      </c>
    </row>
    <row r="3275" spans="1:11" x14ac:dyDescent="0.25">
      <c r="A3275">
        <v>2022</v>
      </c>
      <c r="B3275" t="s">
        <v>11965</v>
      </c>
      <c r="C3275" t="s">
        <v>11966</v>
      </c>
      <c r="D3275" t="s">
        <v>105</v>
      </c>
      <c r="E3275" t="s">
        <v>20</v>
      </c>
      <c r="F3275" t="str">
        <f>"43528"</f>
        <v>43528</v>
      </c>
      <c r="G3275" t="str">
        <f>"Je11032022"</f>
        <v>Je11032022</v>
      </c>
      <c r="H3275" s="2">
        <f>25</f>
        <v>25</v>
      </c>
      <c r="I3275" t="s">
        <v>15</v>
      </c>
      <c r="J3275" t="s">
        <v>234</v>
      </c>
      <c r="K3275" t="str">
        <f>"60053949"</f>
        <v>60053949</v>
      </c>
    </row>
    <row r="3276" spans="1:11" x14ac:dyDescent="0.25">
      <c r="A3276">
        <v>2022</v>
      </c>
      <c r="B3276" t="s">
        <v>11969</v>
      </c>
      <c r="C3276" t="s">
        <v>11970</v>
      </c>
      <c r="D3276" t="s">
        <v>164</v>
      </c>
      <c r="E3276" t="s">
        <v>20</v>
      </c>
      <c r="F3276" t="str">
        <f>"43558"</f>
        <v>43558</v>
      </c>
      <c r="G3276" t="str">
        <f>"545075"</f>
        <v>545075</v>
      </c>
      <c r="H3276" s="2">
        <f>1.05</f>
        <v>1.05</v>
      </c>
      <c r="I3276" t="s">
        <v>27</v>
      </c>
      <c r="J3276" t="s">
        <v>31</v>
      </c>
      <c r="K3276" t="str">
        <f>"22021782"</f>
        <v>22021782</v>
      </c>
    </row>
    <row r="3277" spans="1:11" x14ac:dyDescent="0.25">
      <c r="A3277">
        <v>2022</v>
      </c>
      <c r="B3277" t="s">
        <v>11979</v>
      </c>
      <c r="C3277" t="s">
        <v>11980</v>
      </c>
      <c r="D3277" t="s">
        <v>105</v>
      </c>
      <c r="E3277" t="s">
        <v>20</v>
      </c>
      <c r="F3277" t="str">
        <f>"43528"</f>
        <v>43528</v>
      </c>
      <c r="G3277" t="str">
        <f>"Je11032022"</f>
        <v>Je11032022</v>
      </c>
      <c r="H3277" s="2">
        <f>25</f>
        <v>25</v>
      </c>
      <c r="I3277" t="s">
        <v>15</v>
      </c>
      <c r="J3277" t="s">
        <v>234</v>
      </c>
      <c r="K3277" t="str">
        <f>"60053950"</f>
        <v>60053950</v>
      </c>
    </row>
    <row r="3278" spans="1:11" x14ac:dyDescent="0.25">
      <c r="A3278">
        <v>2022</v>
      </c>
      <c r="B3278" t="s">
        <v>11996</v>
      </c>
      <c r="C3278" t="s">
        <v>11997</v>
      </c>
      <c r="D3278" t="s">
        <v>19</v>
      </c>
      <c r="E3278" t="s">
        <v>20</v>
      </c>
      <c r="F3278" t="str">
        <f>"43623"</f>
        <v>43623</v>
      </c>
      <c r="G3278" t="str">
        <f>"Je010722"</f>
        <v>Je010722</v>
      </c>
      <c r="H3278" s="2">
        <f>10</f>
        <v>10</v>
      </c>
      <c r="I3278" t="s">
        <v>15</v>
      </c>
      <c r="J3278" t="s">
        <v>90</v>
      </c>
      <c r="K3278" t="str">
        <f>"60033778"</f>
        <v>60033778</v>
      </c>
    </row>
    <row r="3279" spans="1:11" x14ac:dyDescent="0.25">
      <c r="A3279">
        <v>2022</v>
      </c>
      <c r="B3279" t="s">
        <v>12002</v>
      </c>
      <c r="C3279" t="s">
        <v>12003</v>
      </c>
      <c r="D3279" t="s">
        <v>19</v>
      </c>
      <c r="E3279" t="s">
        <v>20</v>
      </c>
      <c r="F3279" t="str">
        <f>"43615"</f>
        <v>43615</v>
      </c>
      <c r="G3279" t="str">
        <f>"Je010722"</f>
        <v>Je010722</v>
      </c>
      <c r="H3279" s="2">
        <f>45.25</f>
        <v>45.25</v>
      </c>
      <c r="I3279" t="s">
        <v>15</v>
      </c>
      <c r="J3279" t="s">
        <v>90</v>
      </c>
      <c r="K3279" t="str">
        <f>"60029689"</f>
        <v>60029689</v>
      </c>
    </row>
    <row r="3280" spans="1:11" x14ac:dyDescent="0.25">
      <c r="A3280">
        <v>2022</v>
      </c>
      <c r="B3280" t="s">
        <v>12036</v>
      </c>
      <c r="C3280" t="s">
        <v>12037</v>
      </c>
      <c r="D3280" t="s">
        <v>50</v>
      </c>
      <c r="E3280" t="s">
        <v>20</v>
      </c>
      <c r="F3280" t="str">
        <f>"43560-3323"</f>
        <v>43560-3323</v>
      </c>
      <c r="G3280" t="str">
        <f>"545101"</f>
        <v>545101</v>
      </c>
      <c r="H3280" s="2">
        <f>10</f>
        <v>10</v>
      </c>
      <c r="I3280" t="s">
        <v>27</v>
      </c>
      <c r="J3280" t="s">
        <v>51</v>
      </c>
      <c r="K3280" t="str">
        <f>"117865"</f>
        <v>117865</v>
      </c>
    </row>
    <row r="3281" spans="1:11" x14ac:dyDescent="0.25">
      <c r="A3281">
        <v>2022</v>
      </c>
      <c r="B3281" t="s">
        <v>12064</v>
      </c>
      <c r="C3281" t="s">
        <v>12065</v>
      </c>
      <c r="D3281" t="s">
        <v>19</v>
      </c>
      <c r="E3281" t="s">
        <v>20</v>
      </c>
      <c r="F3281" t="str">
        <f>"43606"</f>
        <v>43606</v>
      </c>
      <c r="G3281" t="str">
        <f t="shared" ref="G3281:G3291" si="106">"545044"</f>
        <v>545044</v>
      </c>
      <c r="H3281" s="2">
        <f>25</f>
        <v>25</v>
      </c>
      <c r="I3281" t="s">
        <v>27</v>
      </c>
      <c r="J3281" t="s">
        <v>28</v>
      </c>
      <c r="K3281" t="str">
        <f>"520034"</f>
        <v>520034</v>
      </c>
    </row>
    <row r="3282" spans="1:11" x14ac:dyDescent="0.25">
      <c r="A3282">
        <v>2022</v>
      </c>
      <c r="B3282" t="s">
        <v>12064</v>
      </c>
      <c r="C3282" t="s">
        <v>12065</v>
      </c>
      <c r="D3282" t="s">
        <v>19</v>
      </c>
      <c r="E3282" t="s">
        <v>20</v>
      </c>
      <c r="F3282" t="str">
        <f>"43606"</f>
        <v>43606</v>
      </c>
      <c r="G3282" t="str">
        <f t="shared" si="106"/>
        <v>545044</v>
      </c>
      <c r="H3282" s="2">
        <f>30</f>
        <v>30</v>
      </c>
      <c r="I3282" t="s">
        <v>27</v>
      </c>
      <c r="J3282" t="s">
        <v>28</v>
      </c>
      <c r="K3282" t="str">
        <f>"520514"</f>
        <v>520514</v>
      </c>
    </row>
    <row r="3283" spans="1:11" x14ac:dyDescent="0.25">
      <c r="A3283">
        <v>2022</v>
      </c>
      <c r="B3283" t="s">
        <v>12064</v>
      </c>
      <c r="C3283" t="s">
        <v>12065</v>
      </c>
      <c r="D3283" t="s">
        <v>19</v>
      </c>
      <c r="E3283" t="s">
        <v>20</v>
      </c>
      <c r="F3283" t="str">
        <f>"43606"</f>
        <v>43606</v>
      </c>
      <c r="G3283" t="str">
        <f t="shared" si="106"/>
        <v>545044</v>
      </c>
      <c r="H3283" s="2">
        <f>20</f>
        <v>20</v>
      </c>
      <c r="I3283" t="s">
        <v>27</v>
      </c>
      <c r="J3283" t="s">
        <v>28</v>
      </c>
      <c r="K3283" t="str">
        <f>"519665"</f>
        <v>519665</v>
      </c>
    </row>
    <row r="3284" spans="1:11" x14ac:dyDescent="0.25">
      <c r="A3284">
        <v>2022</v>
      </c>
      <c r="B3284" t="s">
        <v>12064</v>
      </c>
      <c r="C3284" t="s">
        <v>12065</v>
      </c>
      <c r="D3284" t="s">
        <v>19</v>
      </c>
      <c r="E3284" t="s">
        <v>20</v>
      </c>
      <c r="F3284" t="str">
        <f>"43606"</f>
        <v>43606</v>
      </c>
      <c r="G3284" t="str">
        <f t="shared" si="106"/>
        <v>545044</v>
      </c>
      <c r="H3284" s="2">
        <f>50</f>
        <v>50</v>
      </c>
      <c r="I3284" t="s">
        <v>27</v>
      </c>
      <c r="J3284" t="s">
        <v>28</v>
      </c>
      <c r="K3284" t="str">
        <f>"519070"</f>
        <v>519070</v>
      </c>
    </row>
    <row r="3285" spans="1:11" x14ac:dyDescent="0.25">
      <c r="A3285">
        <v>2022</v>
      </c>
      <c r="B3285" t="s">
        <v>12064</v>
      </c>
      <c r="C3285" t="s">
        <v>12065</v>
      </c>
      <c r="D3285" t="s">
        <v>19</v>
      </c>
      <c r="E3285" t="s">
        <v>20</v>
      </c>
      <c r="F3285" t="str">
        <f>"43606"</f>
        <v>43606</v>
      </c>
      <c r="G3285" t="str">
        <f t="shared" si="106"/>
        <v>545044</v>
      </c>
      <c r="H3285" s="2">
        <f>50</f>
        <v>50</v>
      </c>
      <c r="I3285" t="s">
        <v>27</v>
      </c>
      <c r="J3285" t="s">
        <v>28</v>
      </c>
      <c r="K3285" t="str">
        <f>"518951"</f>
        <v>518951</v>
      </c>
    </row>
    <row r="3286" spans="1:11" x14ac:dyDescent="0.25">
      <c r="A3286">
        <v>2022</v>
      </c>
      <c r="B3286" t="s">
        <v>12088</v>
      </c>
      <c r="C3286" t="s">
        <v>12089</v>
      </c>
      <c r="D3286" t="s">
        <v>105</v>
      </c>
      <c r="E3286" t="s">
        <v>20</v>
      </c>
      <c r="F3286" t="str">
        <f>"43528"</f>
        <v>43528</v>
      </c>
      <c r="G3286" t="str">
        <f t="shared" si="106"/>
        <v>545044</v>
      </c>
      <c r="H3286" s="2">
        <f>10</f>
        <v>10</v>
      </c>
      <c r="I3286" t="s">
        <v>27</v>
      </c>
      <c r="J3286" t="s">
        <v>28</v>
      </c>
      <c r="K3286" t="str">
        <f>"520144"</f>
        <v>520144</v>
      </c>
    </row>
    <row r="3287" spans="1:11" x14ac:dyDescent="0.25">
      <c r="A3287">
        <v>2022</v>
      </c>
      <c r="B3287" t="s">
        <v>12107</v>
      </c>
      <c r="C3287" t="s">
        <v>12108</v>
      </c>
      <c r="D3287" t="s">
        <v>12109</v>
      </c>
      <c r="E3287" t="s">
        <v>3833</v>
      </c>
      <c r="F3287" t="str">
        <f>"55111"</f>
        <v>55111</v>
      </c>
      <c r="G3287" t="str">
        <f t="shared" si="106"/>
        <v>545044</v>
      </c>
      <c r="H3287" s="2">
        <f>100</f>
        <v>100</v>
      </c>
      <c r="I3287" t="s">
        <v>27</v>
      </c>
      <c r="J3287" t="s">
        <v>28</v>
      </c>
      <c r="K3287" t="str">
        <f>"520037"</f>
        <v>520037</v>
      </c>
    </row>
    <row r="3288" spans="1:11" x14ac:dyDescent="0.25">
      <c r="A3288">
        <v>2022</v>
      </c>
      <c r="B3288" t="s">
        <v>12121</v>
      </c>
      <c r="C3288" t="s">
        <v>12122</v>
      </c>
      <c r="D3288" t="s">
        <v>19</v>
      </c>
      <c r="E3288" t="s">
        <v>20</v>
      </c>
      <c r="F3288" t="str">
        <f>"43612"</f>
        <v>43612</v>
      </c>
      <c r="G3288" t="str">
        <f t="shared" si="106"/>
        <v>545044</v>
      </c>
      <c r="H3288" s="2">
        <f>59</f>
        <v>59</v>
      </c>
      <c r="I3288" t="s">
        <v>27</v>
      </c>
      <c r="J3288" t="s">
        <v>28</v>
      </c>
      <c r="K3288" t="str">
        <f>"519137"</f>
        <v>519137</v>
      </c>
    </row>
    <row r="3289" spans="1:11" x14ac:dyDescent="0.25">
      <c r="A3289">
        <v>2022</v>
      </c>
      <c r="B3289" t="s">
        <v>12121</v>
      </c>
      <c r="C3289" t="s">
        <v>12122</v>
      </c>
      <c r="D3289" t="s">
        <v>19</v>
      </c>
      <c r="E3289" t="s">
        <v>20</v>
      </c>
      <c r="F3289" t="str">
        <f>"43612"</f>
        <v>43612</v>
      </c>
      <c r="G3289" t="str">
        <f t="shared" si="106"/>
        <v>545044</v>
      </c>
      <c r="H3289" s="2">
        <f>79</f>
        <v>79</v>
      </c>
      <c r="I3289" t="s">
        <v>27</v>
      </c>
      <c r="J3289" t="s">
        <v>28</v>
      </c>
      <c r="K3289" t="str">
        <f>"519193"</f>
        <v>519193</v>
      </c>
    </row>
    <row r="3290" spans="1:11" x14ac:dyDescent="0.25">
      <c r="A3290">
        <v>2022</v>
      </c>
      <c r="B3290" t="s">
        <v>12121</v>
      </c>
      <c r="C3290" t="s">
        <v>12122</v>
      </c>
      <c r="D3290" t="s">
        <v>19</v>
      </c>
      <c r="E3290" t="s">
        <v>20</v>
      </c>
      <c r="F3290" t="str">
        <f>"43612"</f>
        <v>43612</v>
      </c>
      <c r="G3290" t="str">
        <f t="shared" si="106"/>
        <v>545044</v>
      </c>
      <c r="H3290" s="2">
        <f>50</f>
        <v>50</v>
      </c>
      <c r="I3290" t="s">
        <v>27</v>
      </c>
      <c r="J3290" t="s">
        <v>28</v>
      </c>
      <c r="K3290" t="str">
        <f>"518848"</f>
        <v>518848</v>
      </c>
    </row>
    <row r="3291" spans="1:11" x14ac:dyDescent="0.25">
      <c r="A3291">
        <v>2022</v>
      </c>
      <c r="B3291" t="s">
        <v>12121</v>
      </c>
      <c r="C3291" t="s">
        <v>12122</v>
      </c>
      <c r="D3291" t="s">
        <v>19</v>
      </c>
      <c r="E3291" t="s">
        <v>20</v>
      </c>
      <c r="F3291" t="str">
        <f>"43612"</f>
        <v>43612</v>
      </c>
      <c r="G3291" t="str">
        <f t="shared" si="106"/>
        <v>545044</v>
      </c>
      <c r="H3291" s="2">
        <f>60</f>
        <v>60</v>
      </c>
      <c r="I3291" t="s">
        <v>27</v>
      </c>
      <c r="J3291" t="s">
        <v>28</v>
      </c>
      <c r="K3291" t="str">
        <f>"518588"</f>
        <v>518588</v>
      </c>
    </row>
    <row r="3292" spans="1:11" x14ac:dyDescent="0.25">
      <c r="A3292">
        <v>2022</v>
      </c>
      <c r="B3292" t="s">
        <v>12123</v>
      </c>
      <c r="C3292" t="s">
        <v>12124</v>
      </c>
      <c r="D3292" t="s">
        <v>19</v>
      </c>
      <c r="E3292" t="s">
        <v>20</v>
      </c>
      <c r="F3292" t="str">
        <f>"43612"</f>
        <v>43612</v>
      </c>
      <c r="G3292" t="str">
        <f>"545075"</f>
        <v>545075</v>
      </c>
      <c r="H3292" s="2">
        <f>15</f>
        <v>15</v>
      </c>
      <c r="I3292" t="s">
        <v>27</v>
      </c>
      <c r="J3292" t="s">
        <v>31</v>
      </c>
      <c r="K3292" t="str">
        <f>"22023078"</f>
        <v>22023078</v>
      </c>
    </row>
    <row r="3293" spans="1:11" x14ac:dyDescent="0.25">
      <c r="A3293">
        <v>2022</v>
      </c>
      <c r="B3293" t="s">
        <v>12136</v>
      </c>
      <c r="C3293" t="s">
        <v>12137</v>
      </c>
      <c r="D3293" t="s">
        <v>19</v>
      </c>
      <c r="E3293" t="s">
        <v>20</v>
      </c>
      <c r="F3293" t="str">
        <f>"43615"</f>
        <v>43615</v>
      </c>
      <c r="G3293" t="str">
        <f>"Je010722"</f>
        <v>Je010722</v>
      </c>
      <c r="H3293" s="2">
        <f>30.17</f>
        <v>30.17</v>
      </c>
      <c r="I3293" t="s">
        <v>15</v>
      </c>
      <c r="J3293" t="s">
        <v>90</v>
      </c>
      <c r="K3293" t="str">
        <f>"60026937"</f>
        <v>60026937</v>
      </c>
    </row>
    <row r="3294" spans="1:11" x14ac:dyDescent="0.25">
      <c r="A3294">
        <v>2022</v>
      </c>
      <c r="B3294" t="s">
        <v>12136</v>
      </c>
      <c r="C3294" t="s">
        <v>12137</v>
      </c>
      <c r="D3294" t="s">
        <v>19</v>
      </c>
      <c r="E3294" t="s">
        <v>20</v>
      </c>
      <c r="F3294" t="str">
        <f>"43615"</f>
        <v>43615</v>
      </c>
      <c r="G3294" t="str">
        <f>"Je010722"</f>
        <v>Je010722</v>
      </c>
      <c r="H3294" s="2">
        <f>30.17</f>
        <v>30.17</v>
      </c>
      <c r="I3294" t="s">
        <v>15</v>
      </c>
      <c r="J3294" t="s">
        <v>90</v>
      </c>
      <c r="K3294" t="str">
        <f>"60029695"</f>
        <v>60029695</v>
      </c>
    </row>
    <row r="3295" spans="1:11" x14ac:dyDescent="0.25">
      <c r="A3295">
        <v>2022</v>
      </c>
      <c r="B3295" t="s">
        <v>12136</v>
      </c>
      <c r="C3295" t="s">
        <v>12137</v>
      </c>
      <c r="D3295" t="s">
        <v>19</v>
      </c>
      <c r="E3295" t="s">
        <v>20</v>
      </c>
      <c r="F3295" t="str">
        <f>"43615"</f>
        <v>43615</v>
      </c>
      <c r="G3295" t="str">
        <f>"Je010722"</f>
        <v>Je010722</v>
      </c>
      <c r="H3295" s="2">
        <f>30.17</f>
        <v>30.17</v>
      </c>
      <c r="I3295" t="s">
        <v>15</v>
      </c>
      <c r="J3295" t="s">
        <v>90</v>
      </c>
      <c r="K3295" t="str">
        <f>"60035028"</f>
        <v>60035028</v>
      </c>
    </row>
    <row r="3296" spans="1:11" x14ac:dyDescent="0.25">
      <c r="A3296">
        <v>2022</v>
      </c>
      <c r="B3296" t="s">
        <v>12136</v>
      </c>
      <c r="C3296" t="s">
        <v>12137</v>
      </c>
      <c r="D3296" t="s">
        <v>19</v>
      </c>
      <c r="E3296" t="s">
        <v>20</v>
      </c>
      <c r="F3296" t="str">
        <f>"43615"</f>
        <v>43615</v>
      </c>
      <c r="G3296" t="str">
        <f>"Je031622"</f>
        <v>Je031622</v>
      </c>
      <c r="H3296" s="2">
        <f>30.17</f>
        <v>30.17</v>
      </c>
      <c r="I3296" t="s">
        <v>15</v>
      </c>
      <c r="J3296" t="s">
        <v>117</v>
      </c>
      <c r="K3296" t="str">
        <f>"60042403"</f>
        <v>60042403</v>
      </c>
    </row>
    <row r="3297" spans="1:11" x14ac:dyDescent="0.25">
      <c r="A3297">
        <v>2022</v>
      </c>
      <c r="B3297" t="s">
        <v>12139</v>
      </c>
      <c r="C3297" t="s">
        <v>282</v>
      </c>
      <c r="D3297" t="s">
        <v>19</v>
      </c>
      <c r="E3297" t="s">
        <v>20</v>
      </c>
      <c r="F3297" t="str">
        <f>"43608"</f>
        <v>43608</v>
      </c>
      <c r="G3297" t="str">
        <f>"Je11032022"</f>
        <v>Je11032022</v>
      </c>
      <c r="H3297" s="2">
        <f>1</f>
        <v>1</v>
      </c>
      <c r="I3297" t="s">
        <v>15</v>
      </c>
      <c r="J3297" t="s">
        <v>234</v>
      </c>
      <c r="K3297" t="str">
        <f>"60053508"</f>
        <v>60053508</v>
      </c>
    </row>
    <row r="3298" spans="1:11" x14ac:dyDescent="0.25">
      <c r="A3298">
        <v>2022</v>
      </c>
      <c r="B3298" t="s">
        <v>12142</v>
      </c>
      <c r="C3298" t="s">
        <v>12143</v>
      </c>
      <c r="D3298" t="s">
        <v>19</v>
      </c>
      <c r="E3298" t="s">
        <v>20</v>
      </c>
      <c r="F3298" t="str">
        <f>"43613"</f>
        <v>43613</v>
      </c>
      <c r="G3298" t="str">
        <f>"545044"</f>
        <v>545044</v>
      </c>
      <c r="H3298" s="2">
        <f>50</f>
        <v>50</v>
      </c>
      <c r="I3298" t="s">
        <v>27</v>
      </c>
      <c r="J3298" t="s">
        <v>28</v>
      </c>
      <c r="K3298" t="str">
        <f>"519139"</f>
        <v>519139</v>
      </c>
    </row>
    <row r="3299" spans="1:11" x14ac:dyDescent="0.25">
      <c r="A3299">
        <v>2022</v>
      </c>
      <c r="B3299" t="s">
        <v>12142</v>
      </c>
      <c r="C3299" t="s">
        <v>12143</v>
      </c>
      <c r="D3299" t="s">
        <v>19</v>
      </c>
      <c r="E3299" t="s">
        <v>20</v>
      </c>
      <c r="F3299" t="str">
        <f>"43613"</f>
        <v>43613</v>
      </c>
      <c r="G3299" t="str">
        <f>"545044"</f>
        <v>545044</v>
      </c>
      <c r="H3299" s="2">
        <f>50</f>
        <v>50</v>
      </c>
      <c r="I3299" t="s">
        <v>27</v>
      </c>
      <c r="J3299" t="s">
        <v>28</v>
      </c>
      <c r="K3299" t="str">
        <f>"519570"</f>
        <v>519570</v>
      </c>
    </row>
    <row r="3300" spans="1:11" x14ac:dyDescent="0.25">
      <c r="A3300">
        <v>2022</v>
      </c>
      <c r="B3300" t="s">
        <v>12142</v>
      </c>
      <c r="C3300" t="s">
        <v>12143</v>
      </c>
      <c r="D3300" t="s">
        <v>19</v>
      </c>
      <c r="E3300" t="s">
        <v>20</v>
      </c>
      <c r="F3300" t="str">
        <f>"43613"</f>
        <v>43613</v>
      </c>
      <c r="G3300" t="str">
        <f>"545044"</f>
        <v>545044</v>
      </c>
      <c r="H3300" s="2">
        <f>50</f>
        <v>50</v>
      </c>
      <c r="I3300" t="s">
        <v>27</v>
      </c>
      <c r="J3300" t="s">
        <v>28</v>
      </c>
      <c r="K3300" t="str">
        <f>"519921"</f>
        <v>519921</v>
      </c>
    </row>
    <row r="3301" spans="1:11" x14ac:dyDescent="0.25">
      <c r="A3301">
        <v>2022</v>
      </c>
      <c r="B3301" t="s">
        <v>12150</v>
      </c>
      <c r="C3301" t="s">
        <v>12151</v>
      </c>
      <c r="D3301" t="s">
        <v>12152</v>
      </c>
      <c r="E3301" t="s">
        <v>923</v>
      </c>
      <c r="F3301" t="str">
        <f>"91768"</f>
        <v>91768</v>
      </c>
      <c r="G3301" t="str">
        <f>"Je010722"</f>
        <v>Je010722</v>
      </c>
      <c r="H3301" s="2">
        <f>2870.15</f>
        <v>2870.15</v>
      </c>
      <c r="I3301" t="s">
        <v>15</v>
      </c>
      <c r="J3301" t="s">
        <v>90</v>
      </c>
      <c r="K3301" t="str">
        <f>"60027620"</f>
        <v>60027620</v>
      </c>
    </row>
    <row r="3302" spans="1:11" x14ac:dyDescent="0.25">
      <c r="A3302">
        <v>2022</v>
      </c>
      <c r="B3302" t="s">
        <v>12171</v>
      </c>
      <c r="C3302" t="s">
        <v>12172</v>
      </c>
      <c r="D3302" t="s">
        <v>19</v>
      </c>
      <c r="E3302" t="s">
        <v>20</v>
      </c>
      <c r="F3302" t="str">
        <f>"43612-2722"</f>
        <v>43612-2722</v>
      </c>
      <c r="G3302" t="str">
        <f>"545101"</f>
        <v>545101</v>
      </c>
      <c r="H3302" s="2">
        <f>10</f>
        <v>10</v>
      </c>
      <c r="I3302" t="s">
        <v>27</v>
      </c>
      <c r="J3302" t="s">
        <v>51</v>
      </c>
      <c r="K3302" t="str">
        <f>"116547"</f>
        <v>116547</v>
      </c>
    </row>
    <row r="3303" spans="1:11" x14ac:dyDescent="0.25">
      <c r="A3303">
        <v>2022</v>
      </c>
      <c r="B3303" t="s">
        <v>12183</v>
      </c>
      <c r="C3303" t="s">
        <v>12184</v>
      </c>
      <c r="D3303" t="s">
        <v>19</v>
      </c>
      <c r="E3303" t="s">
        <v>20</v>
      </c>
      <c r="F3303" t="str">
        <f>"43612"</f>
        <v>43612</v>
      </c>
      <c r="G3303" t="str">
        <f>"545101"</f>
        <v>545101</v>
      </c>
      <c r="H3303" s="2">
        <f>20</f>
        <v>20</v>
      </c>
      <c r="I3303" t="s">
        <v>27</v>
      </c>
      <c r="J3303" t="s">
        <v>51</v>
      </c>
      <c r="K3303" t="str">
        <f>"117966"</f>
        <v>117966</v>
      </c>
    </row>
    <row r="3304" spans="1:11" x14ac:dyDescent="0.25">
      <c r="A3304">
        <v>2022</v>
      </c>
      <c r="B3304" t="s">
        <v>12187</v>
      </c>
      <c r="C3304" t="s">
        <v>12189</v>
      </c>
      <c r="D3304" t="s">
        <v>19</v>
      </c>
      <c r="E3304" t="s">
        <v>20</v>
      </c>
      <c r="F3304" t="str">
        <f>"43606"</f>
        <v>43606</v>
      </c>
      <c r="G3304" t="str">
        <f>"Je010722"</f>
        <v>Je010722</v>
      </c>
      <c r="H3304" s="2">
        <f>45.25</f>
        <v>45.25</v>
      </c>
      <c r="I3304" t="s">
        <v>15</v>
      </c>
      <c r="J3304" t="s">
        <v>90</v>
      </c>
      <c r="K3304" t="str">
        <f>"60035036"</f>
        <v>60035036</v>
      </c>
    </row>
    <row r="3305" spans="1:11" x14ac:dyDescent="0.25">
      <c r="A3305">
        <v>2022</v>
      </c>
      <c r="B3305" t="s">
        <v>12190</v>
      </c>
      <c r="C3305" t="s">
        <v>12191</v>
      </c>
      <c r="D3305" t="s">
        <v>19</v>
      </c>
      <c r="E3305" t="s">
        <v>20</v>
      </c>
      <c r="F3305" t="str">
        <f>"43623"</f>
        <v>43623</v>
      </c>
      <c r="G3305" t="str">
        <f>"545043"</f>
        <v>545043</v>
      </c>
      <c r="H3305" s="2">
        <f>1.1</f>
        <v>1.1000000000000001</v>
      </c>
      <c r="I3305" t="s">
        <v>27</v>
      </c>
      <c r="J3305" t="s">
        <v>77</v>
      </c>
      <c r="K3305" t="str">
        <f>"332982"</f>
        <v>332982</v>
      </c>
    </row>
    <row r="3306" spans="1:11" x14ac:dyDescent="0.25">
      <c r="A3306">
        <v>2022</v>
      </c>
      <c r="B3306" t="s">
        <v>12192</v>
      </c>
      <c r="C3306" t="s">
        <v>12193</v>
      </c>
      <c r="D3306" t="s">
        <v>19</v>
      </c>
      <c r="E3306" t="s">
        <v>20</v>
      </c>
      <c r="F3306" t="str">
        <f>"43612-2827"</f>
        <v>43612-2827</v>
      </c>
      <c r="G3306" t="str">
        <f>"545101"</f>
        <v>545101</v>
      </c>
      <c r="H3306" s="2">
        <f>20</f>
        <v>20</v>
      </c>
      <c r="I3306" t="s">
        <v>27</v>
      </c>
      <c r="J3306" t="s">
        <v>51</v>
      </c>
      <c r="K3306" t="str">
        <f>"118037"</f>
        <v>118037</v>
      </c>
    </row>
    <row r="3307" spans="1:11" x14ac:dyDescent="0.25">
      <c r="A3307">
        <v>2022</v>
      </c>
      <c r="B3307" t="s">
        <v>12216</v>
      </c>
      <c r="C3307" t="s">
        <v>12217</v>
      </c>
      <c r="D3307" t="s">
        <v>19</v>
      </c>
      <c r="E3307" t="s">
        <v>20</v>
      </c>
      <c r="F3307" t="str">
        <f>"43611-3737"</f>
        <v>43611-3737</v>
      </c>
      <c r="G3307" t="str">
        <f>"545101"</f>
        <v>545101</v>
      </c>
      <c r="H3307" s="2">
        <f>10</f>
        <v>10</v>
      </c>
      <c r="I3307" t="s">
        <v>27</v>
      </c>
      <c r="J3307" t="s">
        <v>51</v>
      </c>
      <c r="K3307" t="str">
        <f>"116491"</f>
        <v>116491</v>
      </c>
    </row>
    <row r="3308" spans="1:11" x14ac:dyDescent="0.25">
      <c r="A3308">
        <v>2022</v>
      </c>
      <c r="B3308" t="s">
        <v>12224</v>
      </c>
      <c r="C3308" t="s">
        <v>12225</v>
      </c>
      <c r="D3308" t="s">
        <v>19</v>
      </c>
      <c r="E3308" t="s">
        <v>20</v>
      </c>
      <c r="F3308" t="str">
        <f>"43609"</f>
        <v>43609</v>
      </c>
      <c r="G3308" t="str">
        <f>"545044"</f>
        <v>545044</v>
      </c>
      <c r="H3308" s="2">
        <f>100</f>
        <v>100</v>
      </c>
      <c r="I3308" t="s">
        <v>27</v>
      </c>
      <c r="J3308" t="s">
        <v>28</v>
      </c>
      <c r="K3308" t="str">
        <f>"519967"</f>
        <v>519967</v>
      </c>
    </row>
    <row r="3309" spans="1:11" x14ac:dyDescent="0.25">
      <c r="A3309">
        <v>2022</v>
      </c>
      <c r="B3309" t="s">
        <v>12257</v>
      </c>
      <c r="C3309" t="s">
        <v>12258</v>
      </c>
      <c r="D3309" t="s">
        <v>19</v>
      </c>
      <c r="E3309" t="s">
        <v>20</v>
      </c>
      <c r="F3309" t="str">
        <f>"43605"</f>
        <v>43605</v>
      </c>
      <c r="G3309" t="str">
        <f>"545044"</f>
        <v>545044</v>
      </c>
      <c r="H3309" s="2">
        <f>10</f>
        <v>10</v>
      </c>
      <c r="I3309" t="s">
        <v>27</v>
      </c>
      <c r="J3309" t="s">
        <v>28</v>
      </c>
      <c r="K3309" t="str">
        <f>"518828"</f>
        <v>518828</v>
      </c>
    </row>
    <row r="3310" spans="1:11" x14ac:dyDescent="0.25">
      <c r="A3310">
        <v>2022</v>
      </c>
      <c r="B3310" t="s">
        <v>12265</v>
      </c>
      <c r="C3310" t="s">
        <v>12248</v>
      </c>
      <c r="D3310" t="s">
        <v>19</v>
      </c>
      <c r="E3310" t="s">
        <v>20</v>
      </c>
      <c r="F3310" t="str">
        <f>"43615"</f>
        <v>43615</v>
      </c>
      <c r="G3310" t="str">
        <f>"545044"</f>
        <v>545044</v>
      </c>
      <c r="H3310" s="2">
        <f>423.26</f>
        <v>423.26</v>
      </c>
      <c r="I3310" t="s">
        <v>27</v>
      </c>
      <c r="J3310" t="s">
        <v>28</v>
      </c>
      <c r="K3310" t="str">
        <f>"519082"</f>
        <v>519082</v>
      </c>
    </row>
    <row r="3311" spans="1:11" x14ac:dyDescent="0.25">
      <c r="A3311">
        <v>2022</v>
      </c>
      <c r="B3311" t="s">
        <v>12340</v>
      </c>
      <c r="C3311" t="s">
        <v>12341</v>
      </c>
      <c r="D3311" t="s">
        <v>19</v>
      </c>
      <c r="E3311" t="s">
        <v>20</v>
      </c>
      <c r="F3311" t="str">
        <f>"43615-6351"</f>
        <v>43615-6351</v>
      </c>
      <c r="G3311" t="str">
        <f>"545101"</f>
        <v>545101</v>
      </c>
      <c r="H3311" s="2">
        <f>10</f>
        <v>10</v>
      </c>
      <c r="I3311" t="s">
        <v>27</v>
      </c>
      <c r="J3311" t="s">
        <v>51</v>
      </c>
      <c r="K3311" t="str">
        <f>"116786"</f>
        <v>116786</v>
      </c>
    </row>
    <row r="3312" spans="1:11" x14ac:dyDescent="0.25">
      <c r="A3312">
        <v>2022</v>
      </c>
      <c r="B3312" t="s">
        <v>12356</v>
      </c>
      <c r="C3312" t="s">
        <v>12357</v>
      </c>
      <c r="D3312" t="s">
        <v>19</v>
      </c>
      <c r="E3312" t="s">
        <v>20</v>
      </c>
      <c r="F3312" t="str">
        <f>"43607"</f>
        <v>43607</v>
      </c>
      <c r="G3312" t="str">
        <f>"545044"</f>
        <v>545044</v>
      </c>
      <c r="H3312" s="2">
        <f>313</f>
        <v>313</v>
      </c>
      <c r="I3312" t="s">
        <v>27</v>
      </c>
      <c r="J3312" t="s">
        <v>28</v>
      </c>
      <c r="K3312" t="str">
        <f>"519157"</f>
        <v>519157</v>
      </c>
    </row>
    <row r="3313" spans="1:11" x14ac:dyDescent="0.25">
      <c r="A3313">
        <v>2022</v>
      </c>
      <c r="B3313" t="s">
        <v>12364</v>
      </c>
      <c r="C3313" t="s">
        <v>2938</v>
      </c>
      <c r="D3313" t="s">
        <v>125</v>
      </c>
      <c r="E3313" t="s">
        <v>20</v>
      </c>
      <c r="F3313" t="str">
        <f>"43537"</f>
        <v>43537</v>
      </c>
      <c r="G3313" t="str">
        <f>"545075"</f>
        <v>545075</v>
      </c>
      <c r="H3313" s="2">
        <f>162.84</f>
        <v>162.84</v>
      </c>
      <c r="I3313" t="s">
        <v>27</v>
      </c>
      <c r="J3313" t="s">
        <v>31</v>
      </c>
      <c r="K3313" t="str">
        <f>"22023197"</f>
        <v>22023197</v>
      </c>
    </row>
    <row r="3314" spans="1:11" x14ac:dyDescent="0.25">
      <c r="A3314">
        <v>2022</v>
      </c>
      <c r="B3314" t="s">
        <v>12368</v>
      </c>
      <c r="C3314" t="s">
        <v>12369</v>
      </c>
      <c r="D3314" t="s">
        <v>19</v>
      </c>
      <c r="E3314" t="s">
        <v>20</v>
      </c>
      <c r="F3314" t="str">
        <f>"43605"</f>
        <v>43605</v>
      </c>
      <c r="G3314" t="str">
        <f>"Je010722"</f>
        <v>Je010722</v>
      </c>
      <c r="H3314" s="2">
        <f>210</f>
        <v>210</v>
      </c>
      <c r="I3314" t="s">
        <v>15</v>
      </c>
      <c r="J3314" t="s">
        <v>90</v>
      </c>
      <c r="K3314" t="str">
        <f>"60033866"</f>
        <v>60033866</v>
      </c>
    </row>
    <row r="3315" spans="1:11" x14ac:dyDescent="0.25">
      <c r="A3315">
        <v>2022</v>
      </c>
      <c r="B3315" t="s">
        <v>12370</v>
      </c>
      <c r="C3315" t="s">
        <v>12371</v>
      </c>
      <c r="D3315" t="s">
        <v>19</v>
      </c>
      <c r="E3315" t="s">
        <v>20</v>
      </c>
      <c r="F3315" t="str">
        <f>"43607"</f>
        <v>43607</v>
      </c>
      <c r="G3315" t="str">
        <f>"Je010722"</f>
        <v>Je010722</v>
      </c>
      <c r="H3315" s="2">
        <f>50</f>
        <v>50</v>
      </c>
      <c r="I3315" t="s">
        <v>15</v>
      </c>
      <c r="J3315" t="s">
        <v>90</v>
      </c>
      <c r="K3315" t="str">
        <f>"60033870"</f>
        <v>60033870</v>
      </c>
    </row>
    <row r="3316" spans="1:11" x14ac:dyDescent="0.25">
      <c r="A3316">
        <v>2022</v>
      </c>
      <c r="B3316" t="s">
        <v>12389</v>
      </c>
      <c r="C3316" t="s">
        <v>12390</v>
      </c>
      <c r="D3316" t="s">
        <v>19</v>
      </c>
      <c r="E3316" t="s">
        <v>20</v>
      </c>
      <c r="F3316" t="str">
        <f t="shared" ref="F3316:F3323" si="107">"43615"</f>
        <v>43615</v>
      </c>
      <c r="G3316" t="str">
        <f t="shared" ref="G3316:G3321" si="108">"545044"</f>
        <v>545044</v>
      </c>
      <c r="H3316" s="2">
        <f>5</f>
        <v>5</v>
      </c>
      <c r="I3316" t="s">
        <v>27</v>
      </c>
      <c r="J3316" t="s">
        <v>28</v>
      </c>
      <c r="K3316" t="str">
        <f>"519670"</f>
        <v>519670</v>
      </c>
    </row>
    <row r="3317" spans="1:11" x14ac:dyDescent="0.25">
      <c r="A3317">
        <v>2022</v>
      </c>
      <c r="B3317" t="s">
        <v>12389</v>
      </c>
      <c r="C3317" t="s">
        <v>12390</v>
      </c>
      <c r="D3317" t="s">
        <v>19</v>
      </c>
      <c r="E3317" t="s">
        <v>20</v>
      </c>
      <c r="F3317" t="str">
        <f t="shared" si="107"/>
        <v>43615</v>
      </c>
      <c r="G3317" t="str">
        <f t="shared" si="108"/>
        <v>545044</v>
      </c>
      <c r="H3317" s="2">
        <f>4.55</f>
        <v>4.55</v>
      </c>
      <c r="I3317" t="s">
        <v>27</v>
      </c>
      <c r="J3317" t="s">
        <v>28</v>
      </c>
      <c r="K3317" t="str">
        <f>"519848"</f>
        <v>519848</v>
      </c>
    </row>
    <row r="3318" spans="1:11" x14ac:dyDescent="0.25">
      <c r="A3318">
        <v>2022</v>
      </c>
      <c r="B3318" t="s">
        <v>12389</v>
      </c>
      <c r="C3318" t="s">
        <v>12390</v>
      </c>
      <c r="D3318" t="s">
        <v>19</v>
      </c>
      <c r="E3318" t="s">
        <v>20</v>
      </c>
      <c r="F3318" t="str">
        <f t="shared" si="107"/>
        <v>43615</v>
      </c>
      <c r="G3318" t="str">
        <f t="shared" si="108"/>
        <v>545044</v>
      </c>
      <c r="H3318" s="2">
        <f>4.55</f>
        <v>4.55</v>
      </c>
      <c r="I3318" t="s">
        <v>27</v>
      </c>
      <c r="J3318" t="s">
        <v>28</v>
      </c>
      <c r="K3318" t="str">
        <f>"520455"</f>
        <v>520455</v>
      </c>
    </row>
    <row r="3319" spans="1:11" x14ac:dyDescent="0.25">
      <c r="A3319">
        <v>2022</v>
      </c>
      <c r="B3319" t="s">
        <v>12389</v>
      </c>
      <c r="C3319" t="s">
        <v>12390</v>
      </c>
      <c r="D3319" t="s">
        <v>19</v>
      </c>
      <c r="E3319" t="s">
        <v>20</v>
      </c>
      <c r="F3319" t="str">
        <f t="shared" si="107"/>
        <v>43615</v>
      </c>
      <c r="G3319" t="str">
        <f t="shared" si="108"/>
        <v>545044</v>
      </c>
      <c r="H3319" s="2">
        <f>2.73</f>
        <v>2.73</v>
      </c>
      <c r="I3319" t="s">
        <v>27</v>
      </c>
      <c r="J3319" t="s">
        <v>28</v>
      </c>
      <c r="K3319" t="str">
        <f>"518604"</f>
        <v>518604</v>
      </c>
    </row>
    <row r="3320" spans="1:11" x14ac:dyDescent="0.25">
      <c r="A3320">
        <v>2022</v>
      </c>
      <c r="B3320" t="s">
        <v>12389</v>
      </c>
      <c r="C3320" t="s">
        <v>12390</v>
      </c>
      <c r="D3320" t="s">
        <v>19</v>
      </c>
      <c r="E3320" t="s">
        <v>20</v>
      </c>
      <c r="F3320" t="str">
        <f t="shared" si="107"/>
        <v>43615</v>
      </c>
      <c r="G3320" t="str">
        <f t="shared" si="108"/>
        <v>545044</v>
      </c>
      <c r="H3320" s="2">
        <f>1.82</f>
        <v>1.82</v>
      </c>
      <c r="I3320" t="s">
        <v>27</v>
      </c>
      <c r="J3320" t="s">
        <v>28</v>
      </c>
      <c r="K3320" t="str">
        <f>"518859"</f>
        <v>518859</v>
      </c>
    </row>
    <row r="3321" spans="1:11" x14ac:dyDescent="0.25">
      <c r="A3321">
        <v>2022</v>
      </c>
      <c r="B3321" t="s">
        <v>12389</v>
      </c>
      <c r="C3321" t="s">
        <v>12390</v>
      </c>
      <c r="D3321" t="s">
        <v>19</v>
      </c>
      <c r="E3321" t="s">
        <v>20</v>
      </c>
      <c r="F3321" t="str">
        <f t="shared" si="107"/>
        <v>43615</v>
      </c>
      <c r="G3321" t="str">
        <f t="shared" si="108"/>
        <v>545044</v>
      </c>
      <c r="H3321" s="2">
        <f>1.82</f>
        <v>1.82</v>
      </c>
      <c r="I3321" t="s">
        <v>27</v>
      </c>
      <c r="J3321" t="s">
        <v>28</v>
      </c>
      <c r="K3321" t="str">
        <f>"518377"</f>
        <v>518377</v>
      </c>
    </row>
    <row r="3322" spans="1:11" x14ac:dyDescent="0.25">
      <c r="A3322">
        <v>2022</v>
      </c>
      <c r="B3322" t="s">
        <v>12399</v>
      </c>
      <c r="C3322" t="s">
        <v>12400</v>
      </c>
      <c r="D3322" t="s">
        <v>19</v>
      </c>
      <c r="E3322" t="s">
        <v>20</v>
      </c>
      <c r="F3322" t="str">
        <f t="shared" si="107"/>
        <v>43615</v>
      </c>
      <c r="G3322" t="str">
        <f>"Je031622"</f>
        <v>Je031622</v>
      </c>
      <c r="H3322" s="2">
        <f>105.32</f>
        <v>105.32</v>
      </c>
      <c r="I3322" t="s">
        <v>15</v>
      </c>
      <c r="J3322" t="s">
        <v>117</v>
      </c>
      <c r="K3322" t="str">
        <f>"60038944"</f>
        <v>60038944</v>
      </c>
    </row>
    <row r="3323" spans="1:11" x14ac:dyDescent="0.25">
      <c r="A3323">
        <v>2022</v>
      </c>
      <c r="B3323" t="s">
        <v>12399</v>
      </c>
      <c r="C3323" t="s">
        <v>12400</v>
      </c>
      <c r="D3323" t="s">
        <v>19</v>
      </c>
      <c r="E3323" t="s">
        <v>20</v>
      </c>
      <c r="F3323" t="str">
        <f t="shared" si="107"/>
        <v>43615</v>
      </c>
      <c r="G3323" t="str">
        <f>"Je031622"</f>
        <v>Je031622</v>
      </c>
      <c r="H3323" s="2">
        <f>24.12</f>
        <v>24.12</v>
      </c>
      <c r="I3323" t="s">
        <v>15</v>
      </c>
      <c r="J3323" t="s">
        <v>117</v>
      </c>
      <c r="K3323" t="str">
        <f>"60038943"</f>
        <v>60038943</v>
      </c>
    </row>
    <row r="3324" spans="1:11" x14ac:dyDescent="0.25">
      <c r="A3324">
        <v>2022</v>
      </c>
      <c r="B3324" t="s">
        <v>12407</v>
      </c>
      <c r="C3324" t="s">
        <v>12408</v>
      </c>
      <c r="D3324" t="s">
        <v>19</v>
      </c>
      <c r="E3324" t="s">
        <v>20</v>
      </c>
      <c r="F3324" t="str">
        <f>"43612-3162"</f>
        <v>43612-3162</v>
      </c>
      <c r="G3324" t="str">
        <f>"545101"</f>
        <v>545101</v>
      </c>
      <c r="H3324" s="2">
        <f>10</f>
        <v>10</v>
      </c>
      <c r="I3324" t="s">
        <v>27</v>
      </c>
      <c r="J3324" t="s">
        <v>51</v>
      </c>
      <c r="K3324" t="str">
        <f>"116939"</f>
        <v>116939</v>
      </c>
    </row>
    <row r="3325" spans="1:11" x14ac:dyDescent="0.25">
      <c r="A3325">
        <v>2022</v>
      </c>
      <c r="B3325" t="s">
        <v>12417</v>
      </c>
      <c r="C3325" t="s">
        <v>12418</v>
      </c>
      <c r="D3325" t="s">
        <v>164</v>
      </c>
      <c r="E3325" t="s">
        <v>20</v>
      </c>
      <c r="F3325" t="str">
        <f>"43558"</f>
        <v>43558</v>
      </c>
      <c r="G3325" t="str">
        <f>"Je070522"</f>
        <v>Je070522</v>
      </c>
      <c r="H3325" s="2">
        <f>600</f>
        <v>600</v>
      </c>
      <c r="I3325" t="s">
        <v>15</v>
      </c>
      <c r="J3325" t="s">
        <v>207</v>
      </c>
      <c r="K3325" t="str">
        <f>"60043690"</f>
        <v>60043690</v>
      </c>
    </row>
    <row r="3326" spans="1:11" x14ac:dyDescent="0.25">
      <c r="A3326">
        <v>2022</v>
      </c>
      <c r="B3326" t="s">
        <v>12428</v>
      </c>
      <c r="C3326" t="s">
        <v>12429</v>
      </c>
      <c r="D3326" t="s">
        <v>105</v>
      </c>
      <c r="E3326" t="s">
        <v>20</v>
      </c>
      <c r="F3326" t="str">
        <f>"43528-9318"</f>
        <v>43528-9318</v>
      </c>
      <c r="G3326" t="str">
        <f>"545101"</f>
        <v>545101</v>
      </c>
      <c r="H3326" s="2">
        <f>20</f>
        <v>20</v>
      </c>
      <c r="I3326" t="s">
        <v>27</v>
      </c>
      <c r="J3326" t="s">
        <v>51</v>
      </c>
      <c r="K3326" t="str">
        <f>"116310"</f>
        <v>116310</v>
      </c>
    </row>
    <row r="3327" spans="1:11" x14ac:dyDescent="0.25">
      <c r="A3327">
        <v>2022</v>
      </c>
      <c r="B3327" t="s">
        <v>12434</v>
      </c>
      <c r="C3327" t="s">
        <v>12435</v>
      </c>
      <c r="D3327" t="s">
        <v>19</v>
      </c>
      <c r="E3327" t="s">
        <v>20</v>
      </c>
      <c r="F3327" t="str">
        <f>"43620-1353"</f>
        <v>43620-1353</v>
      </c>
      <c r="G3327" t="str">
        <f>"545101"</f>
        <v>545101</v>
      </c>
      <c r="H3327" s="2">
        <f>10</f>
        <v>10</v>
      </c>
      <c r="I3327" t="s">
        <v>27</v>
      </c>
      <c r="J3327" t="s">
        <v>51</v>
      </c>
      <c r="K3327" t="str">
        <f>"117125"</f>
        <v>117125</v>
      </c>
    </row>
    <row r="3328" spans="1:11" x14ac:dyDescent="0.25">
      <c r="A3328">
        <v>2022</v>
      </c>
      <c r="B3328" t="s">
        <v>12446</v>
      </c>
      <c r="C3328" t="s">
        <v>12447</v>
      </c>
      <c r="D3328" t="s">
        <v>19</v>
      </c>
      <c r="E3328" t="s">
        <v>20</v>
      </c>
      <c r="F3328" t="str">
        <f>"43611-1230"</f>
        <v>43611-1230</v>
      </c>
      <c r="G3328" t="str">
        <f>"545101"</f>
        <v>545101</v>
      </c>
      <c r="H3328" s="2">
        <f>80</f>
        <v>80</v>
      </c>
      <c r="I3328" t="s">
        <v>27</v>
      </c>
      <c r="J3328" t="s">
        <v>51</v>
      </c>
      <c r="K3328" t="str">
        <f>"117997"</f>
        <v>117997</v>
      </c>
    </row>
    <row r="3329" spans="1:11" x14ac:dyDescent="0.25">
      <c r="A3329">
        <v>2022</v>
      </c>
      <c r="B3329" t="s">
        <v>12516</v>
      </c>
      <c r="C3329" t="s">
        <v>12517</v>
      </c>
      <c r="D3329" t="s">
        <v>19</v>
      </c>
      <c r="E3329" t="s">
        <v>20</v>
      </c>
      <c r="F3329" t="str">
        <f>"43623"</f>
        <v>43623</v>
      </c>
      <c r="G3329" t="str">
        <f>"Je010722"</f>
        <v>Je010722</v>
      </c>
      <c r="H3329" s="2">
        <f>10</f>
        <v>10</v>
      </c>
      <c r="I3329" t="s">
        <v>15</v>
      </c>
      <c r="J3329" t="s">
        <v>90</v>
      </c>
      <c r="K3329" t="str">
        <f>"60033917"</f>
        <v>60033917</v>
      </c>
    </row>
    <row r="3330" spans="1:11" x14ac:dyDescent="0.25">
      <c r="A3330">
        <v>2022</v>
      </c>
      <c r="B3330" t="s">
        <v>12527</v>
      </c>
      <c r="C3330" t="s">
        <v>12528</v>
      </c>
      <c r="D3330" t="s">
        <v>19</v>
      </c>
      <c r="E3330" t="s">
        <v>20</v>
      </c>
      <c r="F3330" t="str">
        <f>"43609"</f>
        <v>43609</v>
      </c>
      <c r="G3330" t="str">
        <f>"Je010722"</f>
        <v>Je010722</v>
      </c>
      <c r="H3330" s="2">
        <f>15</f>
        <v>15</v>
      </c>
      <c r="I3330" t="s">
        <v>15</v>
      </c>
      <c r="J3330" t="s">
        <v>90</v>
      </c>
      <c r="K3330" t="str">
        <f>"60033927"</f>
        <v>60033927</v>
      </c>
    </row>
    <row r="3331" spans="1:11" x14ac:dyDescent="0.25">
      <c r="A3331">
        <v>2022</v>
      </c>
      <c r="B3331" t="s">
        <v>12529</v>
      </c>
      <c r="C3331" t="s">
        <v>12530</v>
      </c>
      <c r="D3331" t="s">
        <v>125</v>
      </c>
      <c r="E3331" t="s">
        <v>20</v>
      </c>
      <c r="F3331" t="str">
        <f>"43537"</f>
        <v>43537</v>
      </c>
      <c r="G3331" t="str">
        <f>"Je010722"</f>
        <v>Je010722</v>
      </c>
      <c r="H3331" s="2">
        <f>15</f>
        <v>15</v>
      </c>
      <c r="I3331" t="s">
        <v>15</v>
      </c>
      <c r="J3331" t="s">
        <v>90</v>
      </c>
      <c r="K3331" t="str">
        <f>"60033932"</f>
        <v>60033932</v>
      </c>
    </row>
    <row r="3332" spans="1:11" x14ac:dyDescent="0.25">
      <c r="A3332">
        <v>2022</v>
      </c>
      <c r="B3332" t="s">
        <v>12541</v>
      </c>
      <c r="C3332" t="s">
        <v>12542</v>
      </c>
      <c r="D3332" t="s">
        <v>58</v>
      </c>
      <c r="E3332" t="s">
        <v>20</v>
      </c>
      <c r="F3332" t="str">
        <f>"43616-3632"</f>
        <v>43616-3632</v>
      </c>
      <c r="G3332" t="str">
        <f>"Je070522"</f>
        <v>Je070522</v>
      </c>
      <c r="H3332" s="2">
        <f>255.74</f>
        <v>255.74</v>
      </c>
      <c r="I3332" t="s">
        <v>15</v>
      </c>
      <c r="J3332" t="s">
        <v>207</v>
      </c>
      <c r="K3332" t="str">
        <f>"60048549"</f>
        <v>60048549</v>
      </c>
    </row>
    <row r="3333" spans="1:11" x14ac:dyDescent="0.25">
      <c r="A3333">
        <v>2022</v>
      </c>
      <c r="B3333" t="s">
        <v>12600</v>
      </c>
      <c r="C3333" t="s">
        <v>12601</v>
      </c>
      <c r="D3333" t="s">
        <v>1239</v>
      </c>
      <c r="E3333" t="s">
        <v>20</v>
      </c>
      <c r="F3333" t="str">
        <f>"43402"</f>
        <v>43402</v>
      </c>
      <c r="G3333" t="str">
        <f>"545075"</f>
        <v>545075</v>
      </c>
      <c r="H3333" s="2">
        <f>4</f>
        <v>4</v>
      </c>
      <c r="I3333" t="s">
        <v>27</v>
      </c>
      <c r="J3333" t="s">
        <v>31</v>
      </c>
      <c r="K3333" t="str">
        <f>"44008833"</f>
        <v>44008833</v>
      </c>
    </row>
    <row r="3334" spans="1:11" x14ac:dyDescent="0.25">
      <c r="A3334">
        <v>2022</v>
      </c>
      <c r="B3334" t="s">
        <v>12604</v>
      </c>
      <c r="C3334" t="s">
        <v>12605</v>
      </c>
      <c r="D3334" t="s">
        <v>125</v>
      </c>
      <c r="E3334" t="s">
        <v>20</v>
      </c>
      <c r="F3334" t="str">
        <f>"43537"</f>
        <v>43537</v>
      </c>
      <c r="G3334" t="str">
        <f>"545042"</f>
        <v>545042</v>
      </c>
      <c r="H3334" s="2">
        <f>20</f>
        <v>20</v>
      </c>
      <c r="I3334" t="s">
        <v>27</v>
      </c>
      <c r="J3334" t="s">
        <v>257</v>
      </c>
      <c r="K3334" t="str">
        <f>"38355"</f>
        <v>38355</v>
      </c>
    </row>
    <row r="3335" spans="1:11" x14ac:dyDescent="0.25">
      <c r="A3335">
        <v>2022</v>
      </c>
      <c r="B3335" t="s">
        <v>12632</v>
      </c>
      <c r="C3335" t="s">
        <v>12633</v>
      </c>
      <c r="D3335" t="s">
        <v>19</v>
      </c>
      <c r="E3335" t="s">
        <v>20</v>
      </c>
      <c r="F3335" t="str">
        <f>"43615"</f>
        <v>43615</v>
      </c>
      <c r="G3335" t="str">
        <f>"Je11032022"</f>
        <v>Je11032022</v>
      </c>
      <c r="H3335" s="2">
        <f>56</f>
        <v>56</v>
      </c>
      <c r="I3335" t="s">
        <v>15</v>
      </c>
      <c r="J3335" t="s">
        <v>234</v>
      </c>
      <c r="K3335" t="str">
        <f>"60058926"</f>
        <v>60058926</v>
      </c>
    </row>
    <row r="3336" spans="1:11" x14ac:dyDescent="0.25">
      <c r="A3336">
        <v>2022</v>
      </c>
      <c r="B3336" t="s">
        <v>12639</v>
      </c>
      <c r="C3336" t="s">
        <v>12640</v>
      </c>
      <c r="D3336" t="s">
        <v>19</v>
      </c>
      <c r="E3336" t="s">
        <v>20</v>
      </c>
      <c r="F3336" t="str">
        <f>"43616"</f>
        <v>43616</v>
      </c>
      <c r="G3336" t="str">
        <f>"545044"</f>
        <v>545044</v>
      </c>
      <c r="H3336" s="2">
        <f>160</f>
        <v>160</v>
      </c>
      <c r="I3336" t="s">
        <v>27</v>
      </c>
      <c r="J3336" t="s">
        <v>28</v>
      </c>
      <c r="K3336" t="str">
        <f>"518935"</f>
        <v>518935</v>
      </c>
    </row>
    <row r="3337" spans="1:11" x14ac:dyDescent="0.25">
      <c r="A3337">
        <v>2022</v>
      </c>
      <c r="B3337" t="s">
        <v>12639</v>
      </c>
      <c r="C3337" t="s">
        <v>12640</v>
      </c>
      <c r="D3337" t="s">
        <v>19</v>
      </c>
      <c r="E3337" t="s">
        <v>20</v>
      </c>
      <c r="F3337" t="str">
        <f>"43616"</f>
        <v>43616</v>
      </c>
      <c r="G3337" t="str">
        <f>"545044"</f>
        <v>545044</v>
      </c>
      <c r="H3337" s="2">
        <f>40</f>
        <v>40</v>
      </c>
      <c r="I3337" t="s">
        <v>27</v>
      </c>
      <c r="J3337" t="s">
        <v>28</v>
      </c>
      <c r="K3337" t="str">
        <f>"518348"</f>
        <v>518348</v>
      </c>
    </row>
    <row r="3338" spans="1:11" x14ac:dyDescent="0.25">
      <c r="A3338">
        <v>2023</v>
      </c>
      <c r="B3338" t="s">
        <v>11</v>
      </c>
      <c r="C3338" t="s">
        <v>12</v>
      </c>
      <c r="D3338" t="s">
        <v>13</v>
      </c>
      <c r="E3338" t="s">
        <v>14</v>
      </c>
      <c r="F3338" t="str">
        <f>"49267"</f>
        <v>49267</v>
      </c>
      <c r="G3338" t="str">
        <f>"Je06132023"</f>
        <v>Je06132023</v>
      </c>
      <c r="H3338" s="2">
        <f>128.95</f>
        <v>128.94999999999999</v>
      </c>
      <c r="I3338" t="s">
        <v>15</v>
      </c>
      <c r="J3338" t="s">
        <v>16</v>
      </c>
      <c r="K3338" t="str">
        <f>"60077310"</f>
        <v>60077310</v>
      </c>
    </row>
    <row r="3339" spans="1:11" x14ac:dyDescent="0.25">
      <c r="A3339">
        <v>2023</v>
      </c>
      <c r="B3339" t="s">
        <v>11</v>
      </c>
      <c r="C3339" t="s">
        <v>12</v>
      </c>
      <c r="D3339" t="s">
        <v>13</v>
      </c>
      <c r="E3339" t="s">
        <v>14</v>
      </c>
      <c r="F3339" t="str">
        <f>"49267"</f>
        <v>49267</v>
      </c>
      <c r="G3339" t="str">
        <f>"Je06132023"</f>
        <v>Je06132023</v>
      </c>
      <c r="H3339" s="2">
        <f>109.58</f>
        <v>109.58</v>
      </c>
      <c r="I3339" t="s">
        <v>15</v>
      </c>
      <c r="J3339" t="s">
        <v>16</v>
      </c>
      <c r="K3339" t="str">
        <f>"60077311"</f>
        <v>60077311</v>
      </c>
    </row>
    <row r="3340" spans="1:11" x14ac:dyDescent="0.25">
      <c r="A3340">
        <v>2023</v>
      </c>
      <c r="B3340" t="s">
        <v>59</v>
      </c>
      <c r="C3340" t="s">
        <v>60</v>
      </c>
      <c r="D3340" t="s">
        <v>19</v>
      </c>
      <c r="E3340" t="s">
        <v>20</v>
      </c>
      <c r="F3340" t="str">
        <f>"43615-2727"</f>
        <v>43615-2727</v>
      </c>
      <c r="G3340" t="str">
        <f>"637573"</f>
        <v>637573</v>
      </c>
      <c r="H3340" s="2">
        <f>10</f>
        <v>10</v>
      </c>
      <c r="I3340" t="s">
        <v>27</v>
      </c>
      <c r="J3340" t="s">
        <v>61</v>
      </c>
      <c r="K3340" t="str">
        <f>"119493"</f>
        <v>119493</v>
      </c>
    </row>
    <row r="3341" spans="1:11" x14ac:dyDescent="0.25">
      <c r="A3341">
        <v>2023</v>
      </c>
      <c r="B3341" t="s">
        <v>62</v>
      </c>
      <c r="C3341" t="s">
        <v>63</v>
      </c>
      <c r="D3341" t="s">
        <v>64</v>
      </c>
      <c r="E3341" t="s">
        <v>20</v>
      </c>
      <c r="F3341" t="str">
        <f>"43566-1524"</f>
        <v>43566-1524</v>
      </c>
      <c r="G3341" t="str">
        <f>"637573"</f>
        <v>637573</v>
      </c>
      <c r="H3341" s="2">
        <f>10</f>
        <v>10</v>
      </c>
      <c r="I3341" t="s">
        <v>27</v>
      </c>
      <c r="J3341" t="s">
        <v>61</v>
      </c>
      <c r="K3341" t="str">
        <f>"120121"</f>
        <v>120121</v>
      </c>
    </row>
    <row r="3342" spans="1:11" x14ac:dyDescent="0.25">
      <c r="A3342">
        <v>2023</v>
      </c>
      <c r="B3342" t="s">
        <v>91</v>
      </c>
      <c r="C3342" t="s">
        <v>92</v>
      </c>
      <c r="D3342" t="s">
        <v>19</v>
      </c>
      <c r="E3342" t="s">
        <v>20</v>
      </c>
      <c r="F3342" t="str">
        <f>"43615"</f>
        <v>43615</v>
      </c>
      <c r="G3342" t="str">
        <f>"Je10162023"</f>
        <v>Je10162023</v>
      </c>
      <c r="H3342" s="2">
        <f>201.54</f>
        <v>201.54</v>
      </c>
      <c r="I3342" t="s">
        <v>15</v>
      </c>
      <c r="J3342" t="s">
        <v>93</v>
      </c>
      <c r="K3342" t="str">
        <f>"60092085"</f>
        <v>60092085</v>
      </c>
    </row>
    <row r="3343" spans="1:11" x14ac:dyDescent="0.25">
      <c r="A3343">
        <v>2023</v>
      </c>
      <c r="B3343" t="s">
        <v>101</v>
      </c>
      <c r="C3343" t="s">
        <v>102</v>
      </c>
      <c r="D3343" t="s">
        <v>50</v>
      </c>
      <c r="E3343" t="s">
        <v>20</v>
      </c>
      <c r="F3343" t="str">
        <f>"43560-3459"</f>
        <v>43560-3459</v>
      </c>
      <c r="G3343" t="str">
        <f>"637573"</f>
        <v>637573</v>
      </c>
      <c r="H3343" s="2">
        <f>20</f>
        <v>20</v>
      </c>
      <c r="I3343" t="s">
        <v>27</v>
      </c>
      <c r="J3343" t="s">
        <v>61</v>
      </c>
      <c r="K3343" t="str">
        <f>"119654"</f>
        <v>119654</v>
      </c>
    </row>
    <row r="3344" spans="1:11" x14ac:dyDescent="0.25">
      <c r="A3344">
        <v>2023</v>
      </c>
      <c r="B3344" t="s">
        <v>106</v>
      </c>
      <c r="C3344" t="s">
        <v>107</v>
      </c>
      <c r="D3344" t="s">
        <v>19</v>
      </c>
      <c r="E3344" t="s">
        <v>20</v>
      </c>
      <c r="F3344" t="str">
        <f>"43604"</f>
        <v>43604</v>
      </c>
      <c r="G3344" t="str">
        <f>"632483"</f>
        <v>632483</v>
      </c>
      <c r="H3344" s="2">
        <f>47.25</f>
        <v>47.25</v>
      </c>
      <c r="I3344" t="s">
        <v>27</v>
      </c>
      <c r="J3344" t="s">
        <v>108</v>
      </c>
      <c r="K3344" t="str">
        <f>"40316"</f>
        <v>40316</v>
      </c>
    </row>
    <row r="3345" spans="1:11" x14ac:dyDescent="0.25">
      <c r="A3345">
        <v>2023</v>
      </c>
      <c r="B3345" t="s">
        <v>154</v>
      </c>
      <c r="C3345" t="s">
        <v>155</v>
      </c>
      <c r="D3345" t="s">
        <v>156</v>
      </c>
      <c r="E3345" t="s">
        <v>20</v>
      </c>
      <c r="F3345" t="str">
        <f>"43515"</f>
        <v>43515</v>
      </c>
      <c r="G3345" t="str">
        <f t="shared" ref="G3345:G3355" si="109">"632482"</f>
        <v>632482</v>
      </c>
      <c r="H3345" s="2">
        <f>15</f>
        <v>15</v>
      </c>
      <c r="I3345" t="s">
        <v>27</v>
      </c>
      <c r="J3345" t="s">
        <v>157</v>
      </c>
      <c r="K3345" t="str">
        <f>"522634"</f>
        <v>522634</v>
      </c>
    </row>
    <row r="3346" spans="1:11" x14ac:dyDescent="0.25">
      <c r="A3346">
        <v>2023</v>
      </c>
      <c r="B3346" t="s">
        <v>154</v>
      </c>
      <c r="C3346" t="s">
        <v>155</v>
      </c>
      <c r="D3346" t="s">
        <v>156</v>
      </c>
      <c r="E3346" t="s">
        <v>20</v>
      </c>
      <c r="F3346" t="str">
        <f>"43515"</f>
        <v>43515</v>
      </c>
      <c r="G3346" t="str">
        <f t="shared" si="109"/>
        <v>632482</v>
      </c>
      <c r="H3346" s="2">
        <f>10</f>
        <v>10</v>
      </c>
      <c r="I3346" t="s">
        <v>27</v>
      </c>
      <c r="J3346" t="s">
        <v>157</v>
      </c>
      <c r="K3346" t="str">
        <f>"522718"</f>
        <v>522718</v>
      </c>
    </row>
    <row r="3347" spans="1:11" x14ac:dyDescent="0.25">
      <c r="A3347">
        <v>2023</v>
      </c>
      <c r="B3347" t="s">
        <v>154</v>
      </c>
      <c r="C3347" t="s">
        <v>155</v>
      </c>
      <c r="D3347" t="s">
        <v>156</v>
      </c>
      <c r="E3347" t="s">
        <v>20</v>
      </c>
      <c r="F3347" t="str">
        <f>"43515"</f>
        <v>43515</v>
      </c>
      <c r="G3347" t="str">
        <f t="shared" si="109"/>
        <v>632482</v>
      </c>
      <c r="H3347" s="2">
        <f>8.94</f>
        <v>8.94</v>
      </c>
      <c r="I3347" t="s">
        <v>27</v>
      </c>
      <c r="J3347" t="s">
        <v>157</v>
      </c>
      <c r="K3347" t="str">
        <f>"521621"</f>
        <v>521621</v>
      </c>
    </row>
    <row r="3348" spans="1:11" x14ac:dyDescent="0.25">
      <c r="A3348">
        <v>2023</v>
      </c>
      <c r="B3348" t="s">
        <v>154</v>
      </c>
      <c r="C3348" t="s">
        <v>155</v>
      </c>
      <c r="D3348" t="s">
        <v>156</v>
      </c>
      <c r="E3348" t="s">
        <v>20</v>
      </c>
      <c r="F3348" t="str">
        <f>"43515"</f>
        <v>43515</v>
      </c>
      <c r="G3348" t="str">
        <f t="shared" si="109"/>
        <v>632482</v>
      </c>
      <c r="H3348" s="2">
        <f>20</f>
        <v>20</v>
      </c>
      <c r="I3348" t="s">
        <v>27</v>
      </c>
      <c r="J3348" t="s">
        <v>157</v>
      </c>
      <c r="K3348" t="str">
        <f>"521889"</f>
        <v>521889</v>
      </c>
    </row>
    <row r="3349" spans="1:11" x14ac:dyDescent="0.25">
      <c r="A3349">
        <v>2023</v>
      </c>
      <c r="B3349" t="s">
        <v>160</v>
      </c>
      <c r="C3349" t="s">
        <v>161</v>
      </c>
      <c r="D3349" t="s">
        <v>19</v>
      </c>
      <c r="E3349" t="s">
        <v>20</v>
      </c>
      <c r="F3349" t="str">
        <f>"43615"</f>
        <v>43615</v>
      </c>
      <c r="G3349" t="str">
        <f t="shared" si="109"/>
        <v>632482</v>
      </c>
      <c r="H3349" s="2">
        <f>25</f>
        <v>25</v>
      </c>
      <c r="I3349" t="s">
        <v>27</v>
      </c>
      <c r="J3349" t="s">
        <v>157</v>
      </c>
      <c r="K3349" t="str">
        <f>"522210"</f>
        <v>522210</v>
      </c>
    </row>
    <row r="3350" spans="1:11" x14ac:dyDescent="0.25">
      <c r="A3350">
        <v>2023</v>
      </c>
      <c r="B3350" t="s">
        <v>162</v>
      </c>
      <c r="C3350" t="s">
        <v>163</v>
      </c>
      <c r="D3350" t="s">
        <v>164</v>
      </c>
      <c r="E3350" t="s">
        <v>20</v>
      </c>
      <c r="F3350" t="str">
        <f>"43558"</f>
        <v>43558</v>
      </c>
      <c r="G3350" t="str">
        <f t="shared" si="109"/>
        <v>632482</v>
      </c>
      <c r="H3350" s="2">
        <f>20</f>
        <v>20</v>
      </c>
      <c r="I3350" t="s">
        <v>27</v>
      </c>
      <c r="J3350" t="s">
        <v>157</v>
      </c>
      <c r="K3350" t="str">
        <f>"521886"</f>
        <v>521886</v>
      </c>
    </row>
    <row r="3351" spans="1:11" x14ac:dyDescent="0.25">
      <c r="A3351">
        <v>2023</v>
      </c>
      <c r="B3351" t="s">
        <v>162</v>
      </c>
      <c r="C3351" t="s">
        <v>163</v>
      </c>
      <c r="D3351" t="s">
        <v>164</v>
      </c>
      <c r="E3351" t="s">
        <v>20</v>
      </c>
      <c r="F3351" t="str">
        <f>"43558"</f>
        <v>43558</v>
      </c>
      <c r="G3351" t="str">
        <f t="shared" si="109"/>
        <v>632482</v>
      </c>
      <c r="H3351" s="2">
        <f>8.93</f>
        <v>8.93</v>
      </c>
      <c r="I3351" t="s">
        <v>27</v>
      </c>
      <c r="J3351" t="s">
        <v>157</v>
      </c>
      <c r="K3351" t="str">
        <f>"521618"</f>
        <v>521618</v>
      </c>
    </row>
    <row r="3352" spans="1:11" x14ac:dyDescent="0.25">
      <c r="A3352">
        <v>2023</v>
      </c>
      <c r="B3352" t="s">
        <v>162</v>
      </c>
      <c r="C3352" t="s">
        <v>163</v>
      </c>
      <c r="D3352" t="s">
        <v>164</v>
      </c>
      <c r="E3352" t="s">
        <v>20</v>
      </c>
      <c r="F3352" t="str">
        <f>"43558"</f>
        <v>43558</v>
      </c>
      <c r="G3352" t="str">
        <f t="shared" si="109"/>
        <v>632482</v>
      </c>
      <c r="H3352" s="2">
        <f>15</f>
        <v>15</v>
      </c>
      <c r="I3352" t="s">
        <v>27</v>
      </c>
      <c r="J3352" t="s">
        <v>157</v>
      </c>
      <c r="K3352" t="str">
        <f>"522631"</f>
        <v>522631</v>
      </c>
    </row>
    <row r="3353" spans="1:11" x14ac:dyDescent="0.25">
      <c r="A3353">
        <v>2023</v>
      </c>
      <c r="B3353" t="s">
        <v>165</v>
      </c>
      <c r="C3353" t="s">
        <v>163</v>
      </c>
      <c r="D3353" t="s">
        <v>164</v>
      </c>
      <c r="E3353" t="s">
        <v>20</v>
      </c>
      <c r="F3353" t="str">
        <f>"43558"</f>
        <v>43558</v>
      </c>
      <c r="G3353" t="str">
        <f t="shared" si="109"/>
        <v>632482</v>
      </c>
      <c r="H3353" s="2">
        <f>10</f>
        <v>10</v>
      </c>
      <c r="I3353" t="s">
        <v>27</v>
      </c>
      <c r="J3353" t="s">
        <v>157</v>
      </c>
      <c r="K3353" t="str">
        <f>"522715"</f>
        <v>522715</v>
      </c>
    </row>
    <row r="3354" spans="1:11" x14ac:dyDescent="0.25">
      <c r="A3354">
        <v>2023</v>
      </c>
      <c r="B3354" t="s">
        <v>166</v>
      </c>
      <c r="C3354" t="s">
        <v>167</v>
      </c>
      <c r="D3354" t="s">
        <v>64</v>
      </c>
      <c r="E3354" t="s">
        <v>20</v>
      </c>
      <c r="F3354" t="str">
        <f>"43566"</f>
        <v>43566</v>
      </c>
      <c r="G3354" t="str">
        <f t="shared" si="109"/>
        <v>632482</v>
      </c>
      <c r="H3354" s="2">
        <f>150</f>
        <v>150</v>
      </c>
      <c r="I3354" t="s">
        <v>27</v>
      </c>
      <c r="J3354" t="s">
        <v>157</v>
      </c>
      <c r="K3354" t="str">
        <f>"520853"</f>
        <v>520853</v>
      </c>
    </row>
    <row r="3355" spans="1:11" x14ac:dyDescent="0.25">
      <c r="A3355">
        <v>2023</v>
      </c>
      <c r="B3355" t="s">
        <v>168</v>
      </c>
      <c r="C3355" t="s">
        <v>169</v>
      </c>
      <c r="D3355" t="s">
        <v>19</v>
      </c>
      <c r="E3355" t="s">
        <v>20</v>
      </c>
      <c r="F3355" t="str">
        <f>"43604"</f>
        <v>43604</v>
      </c>
      <c r="G3355" t="str">
        <f t="shared" si="109"/>
        <v>632482</v>
      </c>
      <c r="H3355" s="2">
        <f>17.19</f>
        <v>17.190000000000001</v>
      </c>
      <c r="I3355" t="s">
        <v>27</v>
      </c>
      <c r="J3355" t="s">
        <v>157</v>
      </c>
      <c r="K3355" t="str">
        <f>"521959"</f>
        <v>521959</v>
      </c>
    </row>
    <row r="3356" spans="1:11" x14ac:dyDescent="0.25">
      <c r="A3356">
        <v>2023</v>
      </c>
      <c r="B3356" t="s">
        <v>174</v>
      </c>
      <c r="C3356" t="s">
        <v>175</v>
      </c>
      <c r="D3356" t="s">
        <v>50</v>
      </c>
      <c r="E3356" t="s">
        <v>20</v>
      </c>
      <c r="F3356" t="str">
        <f>"43560"</f>
        <v>43560</v>
      </c>
      <c r="G3356" t="str">
        <f>"Je12142023"</f>
        <v>Je12142023</v>
      </c>
      <c r="H3356" s="2">
        <f>240</f>
        <v>240</v>
      </c>
      <c r="I3356" t="s">
        <v>15</v>
      </c>
      <c r="J3356" t="s">
        <v>176</v>
      </c>
      <c r="K3356" t="str">
        <f>"60100842"</f>
        <v>60100842</v>
      </c>
    </row>
    <row r="3357" spans="1:11" x14ac:dyDescent="0.25">
      <c r="A3357">
        <v>2023</v>
      </c>
      <c r="B3357" t="s">
        <v>191</v>
      </c>
      <c r="C3357" t="s">
        <v>192</v>
      </c>
      <c r="D3357" t="s">
        <v>19</v>
      </c>
      <c r="E3357" t="s">
        <v>20</v>
      </c>
      <c r="F3357" t="str">
        <f>"43612-1222"</f>
        <v>43612-1222</v>
      </c>
      <c r="G3357" t="str">
        <f>"637573"</f>
        <v>637573</v>
      </c>
      <c r="H3357" s="2">
        <f>10</f>
        <v>10</v>
      </c>
      <c r="I3357" t="s">
        <v>27</v>
      </c>
      <c r="J3357" t="s">
        <v>61</v>
      </c>
      <c r="K3357" t="str">
        <f>"120528"</f>
        <v>120528</v>
      </c>
    </row>
    <row r="3358" spans="1:11" x14ac:dyDescent="0.25">
      <c r="A3358">
        <v>2023</v>
      </c>
      <c r="B3358" t="s">
        <v>193</v>
      </c>
      <c r="C3358" t="s">
        <v>194</v>
      </c>
      <c r="D3358" t="s">
        <v>19</v>
      </c>
      <c r="E3358" t="s">
        <v>20</v>
      </c>
      <c r="F3358" t="str">
        <f>"43608"</f>
        <v>43608</v>
      </c>
      <c r="G3358" t="str">
        <f>"632514"</f>
        <v>632514</v>
      </c>
      <c r="H3358" s="2">
        <f>14.54</f>
        <v>14.54</v>
      </c>
      <c r="I3358" t="s">
        <v>27</v>
      </c>
      <c r="J3358" t="s">
        <v>195</v>
      </c>
      <c r="K3358" t="str">
        <f>"11004366"</f>
        <v>11004366</v>
      </c>
    </row>
    <row r="3359" spans="1:11" x14ac:dyDescent="0.25">
      <c r="A3359">
        <v>2023</v>
      </c>
      <c r="B3359" t="s">
        <v>213</v>
      </c>
      <c r="C3359" t="s">
        <v>214</v>
      </c>
      <c r="D3359" t="s">
        <v>215</v>
      </c>
      <c r="E3359" t="s">
        <v>216</v>
      </c>
      <c r="F3359" t="str">
        <f>"46143"</f>
        <v>46143</v>
      </c>
      <c r="G3359" t="str">
        <f>"Je12142023"</f>
        <v>Je12142023</v>
      </c>
      <c r="H3359" s="2">
        <f>11579.74</f>
        <v>11579.74</v>
      </c>
      <c r="I3359" t="s">
        <v>15</v>
      </c>
      <c r="J3359" t="s">
        <v>176</v>
      </c>
      <c r="K3359" t="str">
        <f>"60095687"</f>
        <v>60095687</v>
      </c>
    </row>
    <row r="3360" spans="1:11" x14ac:dyDescent="0.25">
      <c r="A3360">
        <v>2023</v>
      </c>
      <c r="B3360" t="s">
        <v>224</v>
      </c>
      <c r="C3360" t="s">
        <v>225</v>
      </c>
      <c r="D3360" t="s">
        <v>19</v>
      </c>
      <c r="E3360" t="s">
        <v>20</v>
      </c>
      <c r="F3360" t="str">
        <f>"43635"</f>
        <v>43635</v>
      </c>
      <c r="G3360" t="str">
        <f>"632483"</f>
        <v>632483</v>
      </c>
      <c r="H3360" s="2">
        <f>72.25</f>
        <v>72.25</v>
      </c>
      <c r="I3360" t="s">
        <v>27</v>
      </c>
      <c r="J3360" t="s">
        <v>108</v>
      </c>
      <c r="K3360" t="str">
        <f>"40811"</f>
        <v>40811</v>
      </c>
    </row>
    <row r="3361" spans="1:11" x14ac:dyDescent="0.25">
      <c r="A3361">
        <v>2023</v>
      </c>
      <c r="B3361" t="s">
        <v>230</v>
      </c>
      <c r="C3361" t="s">
        <v>231</v>
      </c>
      <c r="D3361" t="s">
        <v>58</v>
      </c>
      <c r="E3361" t="s">
        <v>20</v>
      </c>
      <c r="F3361" t="str">
        <f>"43616-2210"</f>
        <v>43616-2210</v>
      </c>
      <c r="G3361" t="str">
        <f>"637573"</f>
        <v>637573</v>
      </c>
      <c r="H3361" s="2">
        <f>10</f>
        <v>10</v>
      </c>
      <c r="I3361" t="s">
        <v>27</v>
      </c>
      <c r="J3361" t="s">
        <v>61</v>
      </c>
      <c r="K3361" t="str">
        <f>"119254"</f>
        <v>119254</v>
      </c>
    </row>
    <row r="3362" spans="1:11" x14ac:dyDescent="0.25">
      <c r="A3362">
        <v>2023</v>
      </c>
      <c r="B3362" t="s">
        <v>246</v>
      </c>
      <c r="C3362" t="s">
        <v>247</v>
      </c>
      <c r="D3362" t="s">
        <v>19</v>
      </c>
      <c r="E3362" t="s">
        <v>20</v>
      </c>
      <c r="F3362" t="str">
        <f>"43615"</f>
        <v>43615</v>
      </c>
      <c r="G3362" t="str">
        <f>"632483"</f>
        <v>632483</v>
      </c>
      <c r="H3362" s="2">
        <f>316.54</f>
        <v>316.54000000000002</v>
      </c>
      <c r="I3362" t="s">
        <v>27</v>
      </c>
      <c r="J3362" t="s">
        <v>108</v>
      </c>
      <c r="K3362" t="str">
        <f>"39765"</f>
        <v>39765</v>
      </c>
    </row>
    <row r="3363" spans="1:11" x14ac:dyDescent="0.25">
      <c r="A3363">
        <v>2023</v>
      </c>
      <c r="B3363" t="s">
        <v>248</v>
      </c>
      <c r="C3363" t="s">
        <v>249</v>
      </c>
      <c r="D3363" t="s">
        <v>125</v>
      </c>
      <c r="E3363" t="s">
        <v>20</v>
      </c>
      <c r="F3363" t="str">
        <f>"43537-1038"</f>
        <v>43537-1038</v>
      </c>
      <c r="G3363" t="str">
        <f>"637573"</f>
        <v>637573</v>
      </c>
      <c r="H3363" s="2">
        <f>20</f>
        <v>20</v>
      </c>
      <c r="I3363" t="s">
        <v>27</v>
      </c>
      <c r="J3363" t="s">
        <v>61</v>
      </c>
      <c r="K3363" t="str">
        <f>"120652"</f>
        <v>120652</v>
      </c>
    </row>
    <row r="3364" spans="1:11" x14ac:dyDescent="0.25">
      <c r="A3364">
        <v>2023</v>
      </c>
      <c r="B3364" t="s">
        <v>250</v>
      </c>
      <c r="C3364" t="s">
        <v>251</v>
      </c>
      <c r="D3364" t="s">
        <v>19</v>
      </c>
      <c r="E3364" t="s">
        <v>20</v>
      </c>
      <c r="F3364" t="str">
        <f>"43617"</f>
        <v>43617</v>
      </c>
      <c r="G3364" t="str">
        <f>"632483"</f>
        <v>632483</v>
      </c>
      <c r="H3364" s="2">
        <f>20</f>
        <v>20</v>
      </c>
      <c r="I3364" t="s">
        <v>27</v>
      </c>
      <c r="J3364" t="s">
        <v>108</v>
      </c>
      <c r="K3364" t="str">
        <f>"39510"</f>
        <v>39510</v>
      </c>
    </row>
    <row r="3365" spans="1:11" x14ac:dyDescent="0.25">
      <c r="A3365">
        <v>2023</v>
      </c>
      <c r="B3365" t="s">
        <v>258</v>
      </c>
      <c r="C3365" t="s">
        <v>259</v>
      </c>
      <c r="D3365" t="s">
        <v>125</v>
      </c>
      <c r="E3365" t="s">
        <v>20</v>
      </c>
      <c r="F3365" t="str">
        <f>"43537-3132"</f>
        <v>43537-3132</v>
      </c>
      <c r="G3365" t="str">
        <f t="shared" ref="G3365:G3372" si="110">"637573"</f>
        <v>637573</v>
      </c>
      <c r="H3365" s="2">
        <f>10</f>
        <v>10</v>
      </c>
      <c r="I3365" t="s">
        <v>27</v>
      </c>
      <c r="J3365" t="s">
        <v>61</v>
      </c>
      <c r="K3365" t="str">
        <f>"120815"</f>
        <v>120815</v>
      </c>
    </row>
    <row r="3366" spans="1:11" x14ac:dyDescent="0.25">
      <c r="A3366">
        <v>2023</v>
      </c>
      <c r="B3366" t="s">
        <v>265</v>
      </c>
      <c r="C3366" t="s">
        <v>266</v>
      </c>
      <c r="D3366" t="s">
        <v>19</v>
      </c>
      <c r="E3366" t="s">
        <v>20</v>
      </c>
      <c r="F3366" t="str">
        <f>"43607-3811"</f>
        <v>43607-3811</v>
      </c>
      <c r="G3366" t="str">
        <f t="shared" si="110"/>
        <v>637573</v>
      </c>
      <c r="H3366" s="2">
        <f>10</f>
        <v>10</v>
      </c>
      <c r="I3366" t="s">
        <v>27</v>
      </c>
      <c r="J3366" t="s">
        <v>61</v>
      </c>
      <c r="K3366" t="str">
        <f>"118764"</f>
        <v>118764</v>
      </c>
    </row>
    <row r="3367" spans="1:11" x14ac:dyDescent="0.25">
      <c r="A3367">
        <v>2023</v>
      </c>
      <c r="B3367" t="s">
        <v>302</v>
      </c>
      <c r="C3367" t="s">
        <v>303</v>
      </c>
      <c r="D3367" t="s">
        <v>50</v>
      </c>
      <c r="E3367" t="s">
        <v>20</v>
      </c>
      <c r="F3367" t="str">
        <f>"43560-3256"</f>
        <v>43560-3256</v>
      </c>
      <c r="G3367" t="str">
        <f t="shared" si="110"/>
        <v>637573</v>
      </c>
      <c r="H3367" s="2">
        <f>20</f>
        <v>20</v>
      </c>
      <c r="I3367" t="s">
        <v>27</v>
      </c>
      <c r="J3367" t="s">
        <v>61</v>
      </c>
      <c r="K3367" t="str">
        <f>"118980"</f>
        <v>118980</v>
      </c>
    </row>
    <row r="3368" spans="1:11" x14ac:dyDescent="0.25">
      <c r="A3368">
        <v>2023</v>
      </c>
      <c r="B3368" t="s">
        <v>304</v>
      </c>
      <c r="C3368" t="s">
        <v>305</v>
      </c>
      <c r="D3368" t="s">
        <v>19</v>
      </c>
      <c r="E3368" t="s">
        <v>20</v>
      </c>
      <c r="F3368" t="str">
        <f>"43613-4901"</f>
        <v>43613-4901</v>
      </c>
      <c r="G3368" t="str">
        <f t="shared" si="110"/>
        <v>637573</v>
      </c>
      <c r="H3368" s="2">
        <f>10</f>
        <v>10</v>
      </c>
      <c r="I3368" t="s">
        <v>27</v>
      </c>
      <c r="J3368" t="s">
        <v>61</v>
      </c>
      <c r="K3368" t="str">
        <f>"119655"</f>
        <v>119655</v>
      </c>
    </row>
    <row r="3369" spans="1:11" x14ac:dyDescent="0.25">
      <c r="A3369">
        <v>2023</v>
      </c>
      <c r="B3369" t="s">
        <v>317</v>
      </c>
      <c r="C3369" t="s">
        <v>318</v>
      </c>
      <c r="D3369" t="s">
        <v>125</v>
      </c>
      <c r="E3369" t="s">
        <v>20</v>
      </c>
      <c r="F3369" t="str">
        <f>"43537-1352"</f>
        <v>43537-1352</v>
      </c>
      <c r="G3369" t="str">
        <f t="shared" si="110"/>
        <v>637573</v>
      </c>
      <c r="H3369" s="2">
        <f>10</f>
        <v>10</v>
      </c>
      <c r="I3369" t="s">
        <v>27</v>
      </c>
      <c r="J3369" t="s">
        <v>61</v>
      </c>
      <c r="K3369" t="str">
        <f>"119747"</f>
        <v>119747</v>
      </c>
    </row>
    <row r="3370" spans="1:11" x14ac:dyDescent="0.25">
      <c r="A3370">
        <v>2023</v>
      </c>
      <c r="B3370" t="s">
        <v>321</v>
      </c>
      <c r="C3370" t="s">
        <v>322</v>
      </c>
      <c r="D3370" t="s">
        <v>323</v>
      </c>
      <c r="E3370" t="s">
        <v>20</v>
      </c>
      <c r="F3370" t="str">
        <f>"43571-9707"</f>
        <v>43571-9707</v>
      </c>
      <c r="G3370" t="str">
        <f t="shared" si="110"/>
        <v>637573</v>
      </c>
      <c r="H3370" s="2">
        <f>20</f>
        <v>20</v>
      </c>
      <c r="I3370" t="s">
        <v>27</v>
      </c>
      <c r="J3370" t="s">
        <v>61</v>
      </c>
      <c r="K3370" t="str">
        <f>"118373"</f>
        <v>118373</v>
      </c>
    </row>
    <row r="3371" spans="1:11" x14ac:dyDescent="0.25">
      <c r="A3371">
        <v>2023</v>
      </c>
      <c r="B3371" t="s">
        <v>324</v>
      </c>
      <c r="C3371" t="s">
        <v>325</v>
      </c>
      <c r="D3371" t="s">
        <v>19</v>
      </c>
      <c r="E3371" t="s">
        <v>20</v>
      </c>
      <c r="F3371" t="str">
        <f>"43615-6744"</f>
        <v>43615-6744</v>
      </c>
      <c r="G3371" t="str">
        <f t="shared" si="110"/>
        <v>637573</v>
      </c>
      <c r="H3371" s="2">
        <f>20</f>
        <v>20</v>
      </c>
      <c r="I3371" t="s">
        <v>27</v>
      </c>
      <c r="J3371" t="s">
        <v>61</v>
      </c>
      <c r="K3371" t="str">
        <f>"118977"</f>
        <v>118977</v>
      </c>
    </row>
    <row r="3372" spans="1:11" x14ac:dyDescent="0.25">
      <c r="A3372">
        <v>2023</v>
      </c>
      <c r="B3372" t="s">
        <v>326</v>
      </c>
      <c r="C3372" t="s">
        <v>327</v>
      </c>
      <c r="D3372" t="s">
        <v>19</v>
      </c>
      <c r="E3372" t="s">
        <v>20</v>
      </c>
      <c r="F3372" t="str">
        <f>"43623-4100"</f>
        <v>43623-4100</v>
      </c>
      <c r="G3372" t="str">
        <f t="shared" si="110"/>
        <v>637573</v>
      </c>
      <c r="H3372" s="2">
        <f>20</f>
        <v>20</v>
      </c>
      <c r="I3372" t="s">
        <v>27</v>
      </c>
      <c r="J3372" t="s">
        <v>61</v>
      </c>
      <c r="K3372" t="str">
        <f>"120351"</f>
        <v>120351</v>
      </c>
    </row>
    <row r="3373" spans="1:11" x14ac:dyDescent="0.25">
      <c r="A3373">
        <v>2023</v>
      </c>
      <c r="B3373" t="s">
        <v>362</v>
      </c>
      <c r="C3373" t="s">
        <v>363</v>
      </c>
      <c r="D3373" t="s">
        <v>364</v>
      </c>
      <c r="E3373" t="s">
        <v>14</v>
      </c>
      <c r="F3373" t="str">
        <f>"48206"</f>
        <v>48206</v>
      </c>
      <c r="G3373" t="str">
        <f>"632514"</f>
        <v>632514</v>
      </c>
      <c r="H3373" s="2">
        <f>4</f>
        <v>4</v>
      </c>
      <c r="I3373" t="s">
        <v>27</v>
      </c>
      <c r="J3373" t="s">
        <v>195</v>
      </c>
      <c r="K3373" t="str">
        <f>"44009770"</f>
        <v>44009770</v>
      </c>
    </row>
    <row r="3374" spans="1:11" x14ac:dyDescent="0.25">
      <c r="A3374">
        <v>2023</v>
      </c>
      <c r="B3374" t="s">
        <v>376</v>
      </c>
      <c r="C3374" t="s">
        <v>377</v>
      </c>
      <c r="D3374" t="s">
        <v>164</v>
      </c>
      <c r="E3374" t="s">
        <v>20</v>
      </c>
      <c r="F3374" t="str">
        <f>"43558-9658"</f>
        <v>43558-9658</v>
      </c>
      <c r="G3374" t="str">
        <f>"637573"</f>
        <v>637573</v>
      </c>
      <c r="H3374" s="2">
        <f>10</f>
        <v>10</v>
      </c>
      <c r="I3374" t="s">
        <v>27</v>
      </c>
      <c r="J3374" t="s">
        <v>61</v>
      </c>
      <c r="K3374" t="str">
        <f>"118707"</f>
        <v>118707</v>
      </c>
    </row>
    <row r="3375" spans="1:11" x14ac:dyDescent="0.25">
      <c r="A3375">
        <v>2023</v>
      </c>
      <c r="B3375" t="s">
        <v>388</v>
      </c>
      <c r="C3375" t="s">
        <v>389</v>
      </c>
      <c r="D3375" t="s">
        <v>19</v>
      </c>
      <c r="E3375" t="s">
        <v>20</v>
      </c>
      <c r="F3375" t="str">
        <f>"43610"</f>
        <v>43610</v>
      </c>
      <c r="G3375" t="str">
        <f>"Je12142023"</f>
        <v>Je12142023</v>
      </c>
      <c r="H3375" s="2">
        <f>66.48</f>
        <v>66.48</v>
      </c>
      <c r="I3375" t="s">
        <v>15</v>
      </c>
      <c r="J3375" t="s">
        <v>176</v>
      </c>
      <c r="K3375" t="str">
        <f>"60100384"</f>
        <v>60100384</v>
      </c>
    </row>
    <row r="3376" spans="1:11" x14ac:dyDescent="0.25">
      <c r="A3376">
        <v>2023</v>
      </c>
      <c r="B3376" t="s">
        <v>395</v>
      </c>
      <c r="C3376" t="s">
        <v>396</v>
      </c>
      <c r="D3376" t="s">
        <v>19</v>
      </c>
      <c r="E3376" t="s">
        <v>20</v>
      </c>
      <c r="F3376" t="str">
        <f>"43605"</f>
        <v>43605</v>
      </c>
      <c r="G3376" t="str">
        <f>"Je012023"</f>
        <v>Je012023</v>
      </c>
      <c r="H3376" s="2">
        <f>10</f>
        <v>10</v>
      </c>
      <c r="I3376" t="s">
        <v>15</v>
      </c>
      <c r="J3376" t="s">
        <v>397</v>
      </c>
      <c r="K3376" t="str">
        <f>"60065934"</f>
        <v>60065934</v>
      </c>
    </row>
    <row r="3377" spans="1:11" x14ac:dyDescent="0.25">
      <c r="A3377">
        <v>2023</v>
      </c>
      <c r="B3377" t="s">
        <v>398</v>
      </c>
      <c r="C3377" t="s">
        <v>399</v>
      </c>
      <c r="D3377" t="s">
        <v>19</v>
      </c>
      <c r="E3377" t="s">
        <v>20</v>
      </c>
      <c r="F3377" t="str">
        <f>"43604"</f>
        <v>43604</v>
      </c>
      <c r="G3377" t="str">
        <f>"Je12142023"</f>
        <v>Je12142023</v>
      </c>
      <c r="H3377" s="2">
        <f>30</f>
        <v>30</v>
      </c>
      <c r="I3377" t="s">
        <v>15</v>
      </c>
      <c r="J3377" t="s">
        <v>176</v>
      </c>
      <c r="K3377" t="str">
        <f>"60100846"</f>
        <v>60100846</v>
      </c>
    </row>
    <row r="3378" spans="1:11" x14ac:dyDescent="0.25">
      <c r="A3378">
        <v>2023</v>
      </c>
      <c r="B3378" t="s">
        <v>410</v>
      </c>
      <c r="C3378" t="s">
        <v>411</v>
      </c>
      <c r="D3378" t="s">
        <v>105</v>
      </c>
      <c r="E3378" t="s">
        <v>20</v>
      </c>
      <c r="F3378" t="str">
        <f>"43528"</f>
        <v>43528</v>
      </c>
      <c r="G3378" t="str">
        <f>"Je04112023"</f>
        <v>Je04112023</v>
      </c>
      <c r="H3378" s="2">
        <f>760.74</f>
        <v>760.74</v>
      </c>
      <c r="I3378" t="s">
        <v>15</v>
      </c>
      <c r="J3378" t="s">
        <v>412</v>
      </c>
      <c r="K3378" t="str">
        <f>"60068672"</f>
        <v>60068672</v>
      </c>
    </row>
    <row r="3379" spans="1:11" x14ac:dyDescent="0.25">
      <c r="A3379">
        <v>2023</v>
      </c>
      <c r="B3379" t="s">
        <v>415</v>
      </c>
      <c r="C3379" t="s">
        <v>419</v>
      </c>
      <c r="D3379" t="s">
        <v>420</v>
      </c>
      <c r="E3379" t="s">
        <v>14</v>
      </c>
      <c r="F3379" t="str">
        <f>"48331"</f>
        <v>48331</v>
      </c>
      <c r="G3379" t="str">
        <f>"632482"</f>
        <v>632482</v>
      </c>
      <c r="H3379" s="2">
        <f>0.5</f>
        <v>0.5</v>
      </c>
      <c r="I3379" t="s">
        <v>27</v>
      </c>
      <c r="J3379" t="s">
        <v>157</v>
      </c>
      <c r="K3379" t="str">
        <f>"521160"</f>
        <v>521160</v>
      </c>
    </row>
    <row r="3380" spans="1:11" x14ac:dyDescent="0.25">
      <c r="A3380">
        <v>2023</v>
      </c>
      <c r="B3380" t="s">
        <v>439</v>
      </c>
      <c r="C3380" t="s">
        <v>440</v>
      </c>
      <c r="D3380" t="s">
        <v>19</v>
      </c>
      <c r="E3380" t="s">
        <v>20</v>
      </c>
      <c r="F3380" t="str">
        <f>"43697"</f>
        <v>43697</v>
      </c>
      <c r="G3380" t="str">
        <f>"632482"</f>
        <v>632482</v>
      </c>
      <c r="H3380" s="2">
        <f>17.18</f>
        <v>17.18</v>
      </c>
      <c r="I3380" t="s">
        <v>27</v>
      </c>
      <c r="J3380" t="s">
        <v>157</v>
      </c>
      <c r="K3380" t="str">
        <f>"522078"</f>
        <v>522078</v>
      </c>
    </row>
    <row r="3381" spans="1:11" x14ac:dyDescent="0.25">
      <c r="A3381">
        <v>2023</v>
      </c>
      <c r="B3381" t="s">
        <v>445</v>
      </c>
      <c r="C3381" t="s">
        <v>446</v>
      </c>
      <c r="D3381" t="s">
        <v>58</v>
      </c>
      <c r="E3381" t="s">
        <v>20</v>
      </c>
      <c r="F3381" t="str">
        <f>"43616-2807"</f>
        <v>43616-2807</v>
      </c>
      <c r="G3381" t="str">
        <f>"637573"</f>
        <v>637573</v>
      </c>
      <c r="H3381" s="2">
        <f>10</f>
        <v>10</v>
      </c>
      <c r="I3381" t="s">
        <v>27</v>
      </c>
      <c r="J3381" t="s">
        <v>61</v>
      </c>
      <c r="K3381" t="str">
        <f>"120654"</f>
        <v>120654</v>
      </c>
    </row>
    <row r="3382" spans="1:11" x14ac:dyDescent="0.25">
      <c r="A3382">
        <v>2023</v>
      </c>
      <c r="B3382" t="s">
        <v>453</v>
      </c>
      <c r="C3382" t="s">
        <v>454</v>
      </c>
      <c r="D3382" t="s">
        <v>19</v>
      </c>
      <c r="E3382" t="s">
        <v>20</v>
      </c>
      <c r="F3382" t="str">
        <f>"43613-3218"</f>
        <v>43613-3218</v>
      </c>
      <c r="G3382" t="str">
        <f>"637573"</f>
        <v>637573</v>
      </c>
      <c r="H3382" s="2">
        <f>10</f>
        <v>10</v>
      </c>
      <c r="I3382" t="s">
        <v>27</v>
      </c>
      <c r="J3382" t="s">
        <v>61</v>
      </c>
      <c r="K3382" t="str">
        <f>"119736"</f>
        <v>119736</v>
      </c>
    </row>
    <row r="3383" spans="1:11" x14ac:dyDescent="0.25">
      <c r="A3383">
        <v>2023</v>
      </c>
      <c r="B3383" t="s">
        <v>455</v>
      </c>
      <c r="C3383" t="s">
        <v>456</v>
      </c>
      <c r="D3383" t="s">
        <v>19</v>
      </c>
      <c r="E3383" t="s">
        <v>20</v>
      </c>
      <c r="F3383" t="str">
        <f>"43611"</f>
        <v>43611</v>
      </c>
      <c r="G3383" t="str">
        <f>"637573"</f>
        <v>637573</v>
      </c>
      <c r="H3383" s="2">
        <f>10</f>
        <v>10</v>
      </c>
      <c r="I3383" t="s">
        <v>27</v>
      </c>
      <c r="J3383" t="s">
        <v>61</v>
      </c>
      <c r="K3383" t="str">
        <f>"119628"</f>
        <v>119628</v>
      </c>
    </row>
    <row r="3384" spans="1:11" x14ac:dyDescent="0.25">
      <c r="A3384">
        <v>2023</v>
      </c>
      <c r="B3384" t="s">
        <v>459</v>
      </c>
      <c r="C3384" t="s">
        <v>460</v>
      </c>
      <c r="D3384" t="s">
        <v>461</v>
      </c>
      <c r="E3384" t="s">
        <v>462</v>
      </c>
      <c r="F3384" t="str">
        <f>"33904"</f>
        <v>33904</v>
      </c>
      <c r="G3384" t="str">
        <f>"632514"</f>
        <v>632514</v>
      </c>
      <c r="H3384" s="2">
        <f>1</f>
        <v>1</v>
      </c>
      <c r="I3384" t="s">
        <v>27</v>
      </c>
      <c r="J3384" t="s">
        <v>195</v>
      </c>
      <c r="K3384" t="str">
        <f>"33011211"</f>
        <v>33011211</v>
      </c>
    </row>
    <row r="3385" spans="1:11" x14ac:dyDescent="0.25">
      <c r="A3385">
        <v>2023</v>
      </c>
      <c r="B3385" t="s">
        <v>487</v>
      </c>
      <c r="C3385" t="s">
        <v>488</v>
      </c>
      <c r="D3385" t="s">
        <v>19</v>
      </c>
      <c r="E3385" t="s">
        <v>20</v>
      </c>
      <c r="F3385" t="str">
        <f>"43611-3205"</f>
        <v>43611-3205</v>
      </c>
      <c r="G3385" t="str">
        <f>"637573"</f>
        <v>637573</v>
      </c>
      <c r="H3385" s="2">
        <f>20</f>
        <v>20</v>
      </c>
      <c r="I3385" t="s">
        <v>27</v>
      </c>
      <c r="J3385" t="s">
        <v>61</v>
      </c>
      <c r="K3385" t="str">
        <f>"119141"</f>
        <v>119141</v>
      </c>
    </row>
    <row r="3386" spans="1:11" x14ac:dyDescent="0.25">
      <c r="A3386">
        <v>2023</v>
      </c>
      <c r="B3386" t="s">
        <v>491</v>
      </c>
      <c r="C3386" t="s">
        <v>492</v>
      </c>
      <c r="D3386" t="s">
        <v>19</v>
      </c>
      <c r="E3386" t="s">
        <v>20</v>
      </c>
      <c r="F3386" t="str">
        <f>"43610-1329"</f>
        <v>43610-1329</v>
      </c>
      <c r="G3386" t="str">
        <f>"637573"</f>
        <v>637573</v>
      </c>
      <c r="H3386" s="2">
        <f>10</f>
        <v>10</v>
      </c>
      <c r="I3386" t="s">
        <v>27</v>
      </c>
      <c r="J3386" t="s">
        <v>61</v>
      </c>
      <c r="K3386" t="str">
        <f>"120514"</f>
        <v>120514</v>
      </c>
    </row>
    <row r="3387" spans="1:11" x14ac:dyDescent="0.25">
      <c r="A3387">
        <v>2023</v>
      </c>
      <c r="B3387" t="s">
        <v>517</v>
      </c>
      <c r="C3387" t="s">
        <v>518</v>
      </c>
      <c r="D3387" t="s">
        <v>19</v>
      </c>
      <c r="E3387" t="s">
        <v>20</v>
      </c>
      <c r="F3387" t="str">
        <f>"43614"</f>
        <v>43614</v>
      </c>
      <c r="G3387" t="str">
        <f>"589332"</f>
        <v>589332</v>
      </c>
      <c r="H3387" s="2">
        <f>10</f>
        <v>10</v>
      </c>
      <c r="I3387" t="s">
        <v>519</v>
      </c>
      <c r="J3387" t="s">
        <v>519</v>
      </c>
      <c r="K3387" t="str">
        <f>"15185"</f>
        <v>15185</v>
      </c>
    </row>
    <row r="3388" spans="1:11" x14ac:dyDescent="0.25">
      <c r="A3388">
        <v>2023</v>
      </c>
      <c r="B3388" t="s">
        <v>517</v>
      </c>
      <c r="C3388" t="s">
        <v>518</v>
      </c>
      <c r="D3388" t="s">
        <v>19</v>
      </c>
      <c r="E3388" t="s">
        <v>20</v>
      </c>
      <c r="F3388" t="str">
        <f>"43614"</f>
        <v>43614</v>
      </c>
      <c r="G3388" t="str">
        <f>"589332"</f>
        <v>589332</v>
      </c>
      <c r="H3388" s="2">
        <f>20</f>
        <v>20</v>
      </c>
      <c r="I3388" t="s">
        <v>519</v>
      </c>
      <c r="J3388" t="s">
        <v>519</v>
      </c>
      <c r="K3388" t="str">
        <f>"15270"</f>
        <v>15270</v>
      </c>
    </row>
    <row r="3389" spans="1:11" x14ac:dyDescent="0.25">
      <c r="A3389">
        <v>2023</v>
      </c>
      <c r="B3389" t="s">
        <v>517</v>
      </c>
      <c r="C3389" t="s">
        <v>518</v>
      </c>
      <c r="D3389" t="s">
        <v>19</v>
      </c>
      <c r="E3389" t="s">
        <v>20</v>
      </c>
      <c r="F3389" t="str">
        <f>"43614"</f>
        <v>43614</v>
      </c>
      <c r="G3389" t="str">
        <f>"589332"</f>
        <v>589332</v>
      </c>
      <c r="H3389" s="2">
        <f>10</f>
        <v>10</v>
      </c>
      <c r="I3389" t="s">
        <v>519</v>
      </c>
      <c r="J3389" t="s">
        <v>519</v>
      </c>
      <c r="K3389" t="str">
        <f>"15141"</f>
        <v>15141</v>
      </c>
    </row>
    <row r="3390" spans="1:11" x14ac:dyDescent="0.25">
      <c r="A3390">
        <v>2023</v>
      </c>
      <c r="B3390" t="s">
        <v>524</v>
      </c>
      <c r="C3390" t="s">
        <v>525</v>
      </c>
      <c r="D3390" t="s">
        <v>156</v>
      </c>
      <c r="E3390" t="s">
        <v>20</v>
      </c>
      <c r="F3390" t="str">
        <f>"43515"</f>
        <v>43515</v>
      </c>
      <c r="G3390" t="str">
        <f>"Je04112023"</f>
        <v>Je04112023</v>
      </c>
      <c r="H3390" s="2">
        <f>37.12</f>
        <v>37.119999999999997</v>
      </c>
      <c r="I3390" t="s">
        <v>15</v>
      </c>
      <c r="J3390" t="s">
        <v>412</v>
      </c>
      <c r="K3390" t="str">
        <f>"60068683"</f>
        <v>60068683</v>
      </c>
    </row>
    <row r="3391" spans="1:11" x14ac:dyDescent="0.25">
      <c r="A3391">
        <v>2023</v>
      </c>
      <c r="B3391" t="s">
        <v>526</v>
      </c>
      <c r="C3391" t="s">
        <v>527</v>
      </c>
      <c r="D3391" t="s">
        <v>19</v>
      </c>
      <c r="E3391" t="s">
        <v>20</v>
      </c>
      <c r="F3391" t="str">
        <f>"43604"</f>
        <v>43604</v>
      </c>
      <c r="G3391" t="str">
        <f>"Je12142023"</f>
        <v>Je12142023</v>
      </c>
      <c r="H3391" s="2">
        <f>40.08</f>
        <v>40.08</v>
      </c>
      <c r="I3391" t="s">
        <v>15</v>
      </c>
      <c r="J3391" t="s">
        <v>176</v>
      </c>
      <c r="K3391" t="str">
        <f>"60100385"</f>
        <v>60100385</v>
      </c>
    </row>
    <row r="3392" spans="1:11" x14ac:dyDescent="0.25">
      <c r="A3392">
        <v>2023</v>
      </c>
      <c r="B3392" t="s">
        <v>530</v>
      </c>
      <c r="C3392" t="s">
        <v>531</v>
      </c>
      <c r="D3392" t="s">
        <v>19</v>
      </c>
      <c r="E3392" t="s">
        <v>20</v>
      </c>
      <c r="F3392" t="str">
        <f>"43611"</f>
        <v>43611</v>
      </c>
      <c r="G3392" t="str">
        <f>"Je12142023"</f>
        <v>Je12142023</v>
      </c>
      <c r="H3392" s="2">
        <f>98.9</f>
        <v>98.9</v>
      </c>
      <c r="I3392" t="s">
        <v>15</v>
      </c>
      <c r="J3392" t="s">
        <v>176</v>
      </c>
      <c r="K3392" t="str">
        <f>"60094159"</f>
        <v>60094159</v>
      </c>
    </row>
    <row r="3393" spans="1:11" x14ac:dyDescent="0.25">
      <c r="A3393">
        <v>2023</v>
      </c>
      <c r="B3393" t="s">
        <v>549</v>
      </c>
      <c r="C3393" t="s">
        <v>550</v>
      </c>
      <c r="D3393" t="s">
        <v>19</v>
      </c>
      <c r="E3393" t="s">
        <v>20</v>
      </c>
      <c r="F3393" t="str">
        <f>"43612"</f>
        <v>43612</v>
      </c>
      <c r="G3393" t="str">
        <f>"638581"</f>
        <v>638581</v>
      </c>
      <c r="H3393" s="2">
        <f>3.4</f>
        <v>3.4</v>
      </c>
      <c r="I3393" t="s">
        <v>27</v>
      </c>
      <c r="J3393" t="s">
        <v>61</v>
      </c>
      <c r="K3393" t="str">
        <f>"334124"</f>
        <v>334124</v>
      </c>
    </row>
    <row r="3394" spans="1:11" x14ac:dyDescent="0.25">
      <c r="A3394">
        <v>2023</v>
      </c>
      <c r="B3394" t="s">
        <v>570</v>
      </c>
      <c r="C3394" t="s">
        <v>571</v>
      </c>
      <c r="D3394" t="s">
        <v>125</v>
      </c>
      <c r="E3394" t="s">
        <v>20</v>
      </c>
      <c r="F3394" t="str">
        <f>"43537"</f>
        <v>43537</v>
      </c>
      <c r="G3394" t="str">
        <f>"632482"</f>
        <v>632482</v>
      </c>
      <c r="H3394" s="2">
        <f>2.5</f>
        <v>2.5</v>
      </c>
      <c r="I3394" t="s">
        <v>27</v>
      </c>
      <c r="J3394" t="s">
        <v>157</v>
      </c>
      <c r="K3394" t="str">
        <f>"521394"</f>
        <v>521394</v>
      </c>
    </row>
    <row r="3395" spans="1:11" x14ac:dyDescent="0.25">
      <c r="A3395">
        <v>2023</v>
      </c>
      <c r="B3395" t="s">
        <v>574</v>
      </c>
      <c r="C3395" t="s">
        <v>575</v>
      </c>
      <c r="D3395" t="s">
        <v>19</v>
      </c>
      <c r="E3395" t="s">
        <v>20</v>
      </c>
      <c r="F3395" t="str">
        <f>"43608"</f>
        <v>43608</v>
      </c>
      <c r="G3395" t="str">
        <f>"Je12142023"</f>
        <v>Je12142023</v>
      </c>
      <c r="H3395" s="2">
        <f>95.38</f>
        <v>95.38</v>
      </c>
      <c r="I3395" t="s">
        <v>15</v>
      </c>
      <c r="J3395" t="s">
        <v>176</v>
      </c>
      <c r="K3395" t="str">
        <f>"60105592"</f>
        <v>60105592</v>
      </c>
    </row>
    <row r="3396" spans="1:11" x14ac:dyDescent="0.25">
      <c r="A3396">
        <v>2023</v>
      </c>
      <c r="B3396" t="s">
        <v>594</v>
      </c>
      <c r="C3396" t="s">
        <v>598</v>
      </c>
      <c r="D3396" t="s">
        <v>599</v>
      </c>
      <c r="E3396" t="s">
        <v>600</v>
      </c>
      <c r="F3396" t="str">
        <f>"40409"</f>
        <v>40409</v>
      </c>
      <c r="G3396" t="str">
        <f>"Je04112023"</f>
        <v>Je04112023</v>
      </c>
      <c r="H3396" s="2">
        <f>7.42</f>
        <v>7.42</v>
      </c>
      <c r="I3396" t="s">
        <v>15</v>
      </c>
      <c r="J3396" t="s">
        <v>412</v>
      </c>
      <c r="K3396" t="str">
        <f>"60073609"</f>
        <v>60073609</v>
      </c>
    </row>
    <row r="3397" spans="1:11" x14ac:dyDescent="0.25">
      <c r="A3397">
        <v>2023</v>
      </c>
      <c r="B3397" t="s">
        <v>594</v>
      </c>
      <c r="C3397" t="s">
        <v>598</v>
      </c>
      <c r="D3397" t="s">
        <v>599</v>
      </c>
      <c r="E3397" t="s">
        <v>600</v>
      </c>
      <c r="F3397" t="str">
        <f>"40409"</f>
        <v>40409</v>
      </c>
      <c r="G3397" t="str">
        <f>"Je04112023"</f>
        <v>Je04112023</v>
      </c>
      <c r="H3397" s="2">
        <f>7.42</f>
        <v>7.42</v>
      </c>
      <c r="I3397" t="s">
        <v>15</v>
      </c>
      <c r="J3397" t="s">
        <v>412</v>
      </c>
      <c r="K3397" t="str">
        <f>"60068692"</f>
        <v>60068692</v>
      </c>
    </row>
    <row r="3398" spans="1:11" x14ac:dyDescent="0.25">
      <c r="A3398">
        <v>2023</v>
      </c>
      <c r="B3398" t="s">
        <v>594</v>
      </c>
      <c r="C3398" t="s">
        <v>598</v>
      </c>
      <c r="D3398" t="s">
        <v>599</v>
      </c>
      <c r="E3398" t="s">
        <v>600</v>
      </c>
      <c r="F3398" t="str">
        <f>"40409"</f>
        <v>40409</v>
      </c>
      <c r="G3398" t="str">
        <f>"Je04112023"</f>
        <v>Je04112023</v>
      </c>
      <c r="H3398" s="2">
        <f>7.42</f>
        <v>7.42</v>
      </c>
      <c r="I3398" t="s">
        <v>15</v>
      </c>
      <c r="J3398" t="s">
        <v>412</v>
      </c>
      <c r="K3398" t="str">
        <f>"60071462"</f>
        <v>60071462</v>
      </c>
    </row>
    <row r="3399" spans="1:11" x14ac:dyDescent="0.25">
      <c r="A3399">
        <v>2023</v>
      </c>
      <c r="B3399" t="s">
        <v>607</v>
      </c>
      <c r="C3399" t="s">
        <v>608</v>
      </c>
      <c r="D3399" t="s">
        <v>19</v>
      </c>
      <c r="E3399" t="s">
        <v>20</v>
      </c>
      <c r="F3399" t="str">
        <f>"43612"</f>
        <v>43612</v>
      </c>
      <c r="G3399" t="str">
        <f>"Je12142023"</f>
        <v>Je12142023</v>
      </c>
      <c r="H3399" s="2">
        <f>34.52</f>
        <v>34.520000000000003</v>
      </c>
      <c r="I3399" t="s">
        <v>15</v>
      </c>
      <c r="J3399" t="s">
        <v>176</v>
      </c>
      <c r="K3399" t="str">
        <f>"60095688"</f>
        <v>60095688</v>
      </c>
    </row>
    <row r="3400" spans="1:11" x14ac:dyDescent="0.25">
      <c r="A3400">
        <v>2023</v>
      </c>
      <c r="B3400" t="s">
        <v>613</v>
      </c>
      <c r="C3400" t="s">
        <v>614</v>
      </c>
      <c r="D3400" t="s">
        <v>323</v>
      </c>
      <c r="E3400" t="s">
        <v>20</v>
      </c>
      <c r="F3400" t="str">
        <f>"43571-9620"</f>
        <v>43571-9620</v>
      </c>
      <c r="G3400" t="str">
        <f>"637573"</f>
        <v>637573</v>
      </c>
      <c r="H3400" s="2">
        <f>10</f>
        <v>10</v>
      </c>
      <c r="I3400" t="s">
        <v>27</v>
      </c>
      <c r="J3400" t="s">
        <v>61</v>
      </c>
      <c r="K3400" t="str">
        <f>"120186"</f>
        <v>120186</v>
      </c>
    </row>
    <row r="3401" spans="1:11" x14ac:dyDescent="0.25">
      <c r="A3401">
        <v>2023</v>
      </c>
      <c r="B3401" t="s">
        <v>620</v>
      </c>
      <c r="C3401" t="s">
        <v>621</v>
      </c>
      <c r="D3401" t="s">
        <v>622</v>
      </c>
      <c r="E3401" t="s">
        <v>623</v>
      </c>
      <c r="F3401" t="str">
        <f>"20006"</f>
        <v>20006</v>
      </c>
      <c r="G3401" t="str">
        <f>"632483"</f>
        <v>632483</v>
      </c>
      <c r="H3401" s="2">
        <f>35.7</f>
        <v>35.700000000000003</v>
      </c>
      <c r="I3401" t="s">
        <v>27</v>
      </c>
      <c r="J3401" t="s">
        <v>108</v>
      </c>
      <c r="K3401" t="str">
        <f>"40242"</f>
        <v>40242</v>
      </c>
    </row>
    <row r="3402" spans="1:11" x14ac:dyDescent="0.25">
      <c r="A3402">
        <v>2023</v>
      </c>
      <c r="B3402" t="s">
        <v>642</v>
      </c>
      <c r="C3402" t="s">
        <v>643</v>
      </c>
      <c r="D3402" t="s">
        <v>19</v>
      </c>
      <c r="E3402" t="s">
        <v>20</v>
      </c>
      <c r="F3402" t="str">
        <f>"43615-4621"</f>
        <v>43615-4621</v>
      </c>
      <c r="G3402" t="str">
        <f>"637573"</f>
        <v>637573</v>
      </c>
      <c r="H3402" s="2">
        <f>20</f>
        <v>20</v>
      </c>
      <c r="I3402" t="s">
        <v>27</v>
      </c>
      <c r="J3402" t="s">
        <v>61</v>
      </c>
      <c r="K3402" t="str">
        <f>"119821"</f>
        <v>119821</v>
      </c>
    </row>
    <row r="3403" spans="1:11" x14ac:dyDescent="0.25">
      <c r="A3403">
        <v>2023</v>
      </c>
      <c r="B3403" t="s">
        <v>647</v>
      </c>
      <c r="C3403" t="s">
        <v>648</v>
      </c>
      <c r="D3403" t="s">
        <v>19</v>
      </c>
      <c r="E3403" t="s">
        <v>20</v>
      </c>
      <c r="F3403" t="str">
        <f>"43617-1220"</f>
        <v>43617-1220</v>
      </c>
      <c r="G3403" t="str">
        <f>"637573"</f>
        <v>637573</v>
      </c>
      <c r="H3403" s="2">
        <f>20</f>
        <v>20</v>
      </c>
      <c r="I3403" t="s">
        <v>27</v>
      </c>
      <c r="J3403" t="s">
        <v>61</v>
      </c>
      <c r="K3403" t="str">
        <f>"120072"</f>
        <v>120072</v>
      </c>
    </row>
    <row r="3404" spans="1:11" x14ac:dyDescent="0.25">
      <c r="A3404">
        <v>2023</v>
      </c>
      <c r="B3404" t="s">
        <v>657</v>
      </c>
      <c r="C3404" t="s">
        <v>658</v>
      </c>
      <c r="D3404" t="s">
        <v>58</v>
      </c>
      <c r="E3404" t="s">
        <v>20</v>
      </c>
      <c r="F3404" t="str">
        <f>"43616-3510"</f>
        <v>43616-3510</v>
      </c>
      <c r="G3404" t="str">
        <f>"637573"</f>
        <v>637573</v>
      </c>
      <c r="H3404" s="2">
        <f>30</f>
        <v>30</v>
      </c>
      <c r="I3404" t="s">
        <v>27</v>
      </c>
      <c r="J3404" t="s">
        <v>61</v>
      </c>
      <c r="K3404" t="str">
        <f>"119170"</f>
        <v>119170</v>
      </c>
    </row>
    <row r="3405" spans="1:11" x14ac:dyDescent="0.25">
      <c r="A3405">
        <v>2023</v>
      </c>
      <c r="B3405" t="s">
        <v>698</v>
      </c>
      <c r="C3405" t="s">
        <v>699</v>
      </c>
      <c r="D3405" t="s">
        <v>19</v>
      </c>
      <c r="E3405" t="s">
        <v>20</v>
      </c>
      <c r="F3405" t="str">
        <f>"43607"</f>
        <v>43607</v>
      </c>
      <c r="G3405" t="str">
        <f>"632514"</f>
        <v>632514</v>
      </c>
      <c r="H3405" s="2">
        <f>10</f>
        <v>10</v>
      </c>
      <c r="I3405" t="s">
        <v>27</v>
      </c>
      <c r="J3405" t="s">
        <v>195</v>
      </c>
      <c r="K3405" t="str">
        <f>"33011519"</f>
        <v>33011519</v>
      </c>
    </row>
    <row r="3406" spans="1:11" x14ac:dyDescent="0.25">
      <c r="A3406">
        <v>2023</v>
      </c>
      <c r="B3406" t="s">
        <v>704</v>
      </c>
      <c r="C3406" t="s">
        <v>705</v>
      </c>
      <c r="D3406" t="s">
        <v>50</v>
      </c>
      <c r="E3406" t="s">
        <v>20</v>
      </c>
      <c r="F3406" t="str">
        <f>"43560-3591"</f>
        <v>43560-3591</v>
      </c>
      <c r="G3406" t="str">
        <f>"637573"</f>
        <v>637573</v>
      </c>
      <c r="H3406" s="2">
        <f>10</f>
        <v>10</v>
      </c>
      <c r="I3406" t="s">
        <v>27</v>
      </c>
      <c r="J3406" t="s">
        <v>61</v>
      </c>
      <c r="K3406" t="str">
        <f>"118878"</f>
        <v>118878</v>
      </c>
    </row>
    <row r="3407" spans="1:11" x14ac:dyDescent="0.25">
      <c r="A3407">
        <v>2023</v>
      </c>
      <c r="B3407" t="s">
        <v>715</v>
      </c>
      <c r="C3407" t="s">
        <v>716</v>
      </c>
      <c r="D3407" t="s">
        <v>105</v>
      </c>
      <c r="E3407" t="s">
        <v>20</v>
      </c>
      <c r="F3407" t="str">
        <f>"43528-8783"</f>
        <v>43528-8783</v>
      </c>
      <c r="G3407" t="str">
        <f>"637573"</f>
        <v>637573</v>
      </c>
      <c r="H3407" s="2">
        <f>30</f>
        <v>30</v>
      </c>
      <c r="I3407" t="s">
        <v>27</v>
      </c>
      <c r="J3407" t="s">
        <v>61</v>
      </c>
      <c r="K3407" t="str">
        <f>"118501"</f>
        <v>118501</v>
      </c>
    </row>
    <row r="3408" spans="1:11" x14ac:dyDescent="0.25">
      <c r="A3408">
        <v>2023</v>
      </c>
      <c r="B3408" t="s">
        <v>715</v>
      </c>
      <c r="C3408" t="s">
        <v>716</v>
      </c>
      <c r="D3408" t="s">
        <v>105</v>
      </c>
      <c r="E3408" t="s">
        <v>20</v>
      </c>
      <c r="F3408" t="str">
        <f>"43528-8783"</f>
        <v>43528-8783</v>
      </c>
      <c r="G3408" t="str">
        <f>"637573"</f>
        <v>637573</v>
      </c>
      <c r="H3408" s="2">
        <f>40</f>
        <v>40</v>
      </c>
      <c r="I3408" t="s">
        <v>27</v>
      </c>
      <c r="J3408" t="s">
        <v>61</v>
      </c>
      <c r="K3408" t="str">
        <f>"118513"</f>
        <v>118513</v>
      </c>
    </row>
    <row r="3409" spans="1:11" x14ac:dyDescent="0.25">
      <c r="A3409">
        <v>2023</v>
      </c>
      <c r="B3409" t="s">
        <v>723</v>
      </c>
      <c r="C3409" t="s">
        <v>724</v>
      </c>
      <c r="D3409" t="s">
        <v>58</v>
      </c>
      <c r="E3409" t="s">
        <v>20</v>
      </c>
      <c r="F3409" t="str">
        <f>"43616-2741"</f>
        <v>43616-2741</v>
      </c>
      <c r="G3409" t="str">
        <f>"637573"</f>
        <v>637573</v>
      </c>
      <c r="H3409" s="2">
        <f>10</f>
        <v>10</v>
      </c>
      <c r="I3409" t="s">
        <v>27</v>
      </c>
      <c r="J3409" t="s">
        <v>61</v>
      </c>
      <c r="K3409" t="str">
        <f>"120883"</f>
        <v>120883</v>
      </c>
    </row>
    <row r="3410" spans="1:11" x14ac:dyDescent="0.25">
      <c r="A3410">
        <v>2023</v>
      </c>
      <c r="B3410" t="s">
        <v>774</v>
      </c>
      <c r="C3410" t="s">
        <v>775</v>
      </c>
      <c r="D3410" t="s">
        <v>19</v>
      </c>
      <c r="E3410" t="s">
        <v>20</v>
      </c>
      <c r="F3410" t="str">
        <f>"43612-3321"</f>
        <v>43612-3321</v>
      </c>
      <c r="G3410" t="str">
        <f>"637573"</f>
        <v>637573</v>
      </c>
      <c r="H3410" s="2">
        <f>10</f>
        <v>10</v>
      </c>
      <c r="I3410" t="s">
        <v>27</v>
      </c>
      <c r="J3410" t="s">
        <v>61</v>
      </c>
      <c r="K3410" t="str">
        <f>"120530"</f>
        <v>120530</v>
      </c>
    </row>
    <row r="3411" spans="1:11" x14ac:dyDescent="0.25">
      <c r="A3411">
        <v>2023</v>
      </c>
      <c r="B3411" t="s">
        <v>786</v>
      </c>
      <c r="C3411" t="s">
        <v>787</v>
      </c>
      <c r="D3411" t="s">
        <v>19</v>
      </c>
      <c r="E3411" t="s">
        <v>20</v>
      </c>
      <c r="F3411" t="str">
        <f>"43608"</f>
        <v>43608</v>
      </c>
      <c r="G3411" t="str">
        <f>"589332"</f>
        <v>589332</v>
      </c>
      <c r="H3411" s="2">
        <f>50</f>
        <v>50</v>
      </c>
      <c r="I3411" t="s">
        <v>519</v>
      </c>
      <c r="J3411" t="s">
        <v>519</v>
      </c>
      <c r="K3411" t="str">
        <f>"15054"</f>
        <v>15054</v>
      </c>
    </row>
    <row r="3412" spans="1:11" x14ac:dyDescent="0.25">
      <c r="A3412">
        <v>2023</v>
      </c>
      <c r="B3412" t="s">
        <v>790</v>
      </c>
      <c r="C3412" t="s">
        <v>791</v>
      </c>
      <c r="D3412" t="s">
        <v>792</v>
      </c>
      <c r="E3412" t="s">
        <v>600</v>
      </c>
      <c r="F3412" t="str">
        <f>"40202"</f>
        <v>40202</v>
      </c>
      <c r="G3412" t="str">
        <f>"632482"</f>
        <v>632482</v>
      </c>
      <c r="H3412" s="2">
        <f>477</f>
        <v>477</v>
      </c>
      <c r="I3412" t="s">
        <v>27</v>
      </c>
      <c r="J3412" t="s">
        <v>157</v>
      </c>
      <c r="K3412" t="str">
        <f>"523234"</f>
        <v>523234</v>
      </c>
    </row>
    <row r="3413" spans="1:11" x14ac:dyDescent="0.25">
      <c r="A3413">
        <v>2023</v>
      </c>
      <c r="B3413" t="s">
        <v>790</v>
      </c>
      <c r="C3413" t="s">
        <v>791</v>
      </c>
      <c r="D3413" t="s">
        <v>792</v>
      </c>
      <c r="E3413" t="s">
        <v>600</v>
      </c>
      <c r="F3413" t="str">
        <f>"40202"</f>
        <v>40202</v>
      </c>
      <c r="G3413" t="str">
        <f>"632482"</f>
        <v>632482</v>
      </c>
      <c r="H3413" s="2">
        <f>522.7</f>
        <v>522.70000000000005</v>
      </c>
      <c r="I3413" t="s">
        <v>27</v>
      </c>
      <c r="J3413" t="s">
        <v>157</v>
      </c>
      <c r="K3413" t="str">
        <f>"523166"</f>
        <v>523166</v>
      </c>
    </row>
    <row r="3414" spans="1:11" x14ac:dyDescent="0.25">
      <c r="A3414">
        <v>2023</v>
      </c>
      <c r="B3414" t="s">
        <v>793</v>
      </c>
      <c r="C3414" t="s">
        <v>794</v>
      </c>
      <c r="D3414" t="s">
        <v>19</v>
      </c>
      <c r="E3414" t="s">
        <v>20</v>
      </c>
      <c r="F3414" t="str">
        <f>"43605-1980"</f>
        <v>43605-1980</v>
      </c>
      <c r="G3414" t="str">
        <f>"637573"</f>
        <v>637573</v>
      </c>
      <c r="H3414" s="2">
        <f>10</f>
        <v>10</v>
      </c>
      <c r="I3414" t="s">
        <v>27</v>
      </c>
      <c r="J3414" t="s">
        <v>61</v>
      </c>
      <c r="K3414" t="str">
        <f>"119020"</f>
        <v>119020</v>
      </c>
    </row>
    <row r="3415" spans="1:11" x14ac:dyDescent="0.25">
      <c r="A3415">
        <v>2023</v>
      </c>
      <c r="B3415" t="s">
        <v>817</v>
      </c>
      <c r="C3415" t="s">
        <v>818</v>
      </c>
      <c r="D3415" t="s">
        <v>19</v>
      </c>
      <c r="E3415" t="s">
        <v>20</v>
      </c>
      <c r="F3415" t="str">
        <f>"43623-1544"</f>
        <v>43623-1544</v>
      </c>
      <c r="G3415" t="str">
        <f>"637573"</f>
        <v>637573</v>
      </c>
      <c r="H3415" s="2">
        <f>10</f>
        <v>10</v>
      </c>
      <c r="I3415" t="s">
        <v>27</v>
      </c>
      <c r="J3415" t="s">
        <v>61</v>
      </c>
      <c r="K3415" t="str">
        <f>"119142"</f>
        <v>119142</v>
      </c>
    </row>
    <row r="3416" spans="1:11" x14ac:dyDescent="0.25">
      <c r="A3416">
        <v>2023</v>
      </c>
      <c r="B3416" t="s">
        <v>840</v>
      </c>
      <c r="C3416" t="s">
        <v>841</v>
      </c>
      <c r="D3416" t="s">
        <v>19</v>
      </c>
      <c r="E3416" t="s">
        <v>20</v>
      </c>
      <c r="F3416" t="str">
        <f>"43607-3906"</f>
        <v>43607-3906</v>
      </c>
      <c r="G3416" t="str">
        <f>"637573"</f>
        <v>637573</v>
      </c>
      <c r="H3416" s="2">
        <f>20</f>
        <v>20</v>
      </c>
      <c r="I3416" t="s">
        <v>27</v>
      </c>
      <c r="J3416" t="s">
        <v>61</v>
      </c>
      <c r="K3416" t="str">
        <f>"119118"</f>
        <v>119118</v>
      </c>
    </row>
    <row r="3417" spans="1:11" x14ac:dyDescent="0.25">
      <c r="A3417">
        <v>2023</v>
      </c>
      <c r="B3417" t="s">
        <v>858</v>
      </c>
      <c r="C3417" t="s">
        <v>859</v>
      </c>
      <c r="D3417" t="s">
        <v>19</v>
      </c>
      <c r="E3417" t="s">
        <v>20</v>
      </c>
      <c r="F3417" t="str">
        <f>"43606-2054"</f>
        <v>43606-2054</v>
      </c>
      <c r="G3417" t="str">
        <f>"637573"</f>
        <v>637573</v>
      </c>
      <c r="H3417" s="2">
        <f>10</f>
        <v>10</v>
      </c>
      <c r="I3417" t="s">
        <v>27</v>
      </c>
      <c r="J3417" t="s">
        <v>61</v>
      </c>
      <c r="K3417" t="str">
        <f>"118566"</f>
        <v>118566</v>
      </c>
    </row>
    <row r="3418" spans="1:11" x14ac:dyDescent="0.25">
      <c r="A3418">
        <v>2023</v>
      </c>
      <c r="B3418" t="s">
        <v>862</v>
      </c>
      <c r="C3418" t="s">
        <v>863</v>
      </c>
      <c r="D3418" t="s">
        <v>125</v>
      </c>
      <c r="E3418" t="s">
        <v>20</v>
      </c>
      <c r="F3418" t="str">
        <f>"43537-1216"</f>
        <v>43537-1216</v>
      </c>
      <c r="G3418" t="str">
        <f>"637573"</f>
        <v>637573</v>
      </c>
      <c r="H3418" s="2">
        <f>10</f>
        <v>10</v>
      </c>
      <c r="I3418" t="s">
        <v>27</v>
      </c>
      <c r="J3418" t="s">
        <v>61</v>
      </c>
      <c r="K3418" t="str">
        <f>"119003"</f>
        <v>119003</v>
      </c>
    </row>
    <row r="3419" spans="1:11" x14ac:dyDescent="0.25">
      <c r="A3419">
        <v>2023</v>
      </c>
      <c r="B3419" t="s">
        <v>866</v>
      </c>
      <c r="C3419" t="s">
        <v>867</v>
      </c>
      <c r="D3419" t="s">
        <v>868</v>
      </c>
      <c r="E3419" t="s">
        <v>869</v>
      </c>
      <c r="F3419" t="str">
        <f>"54402"</f>
        <v>54402</v>
      </c>
      <c r="G3419" t="str">
        <f>"632514"</f>
        <v>632514</v>
      </c>
      <c r="H3419" s="2">
        <f>1</f>
        <v>1</v>
      </c>
      <c r="I3419" t="s">
        <v>27</v>
      </c>
      <c r="J3419" t="s">
        <v>195</v>
      </c>
      <c r="K3419" t="str">
        <f>"11004102"</f>
        <v>11004102</v>
      </c>
    </row>
    <row r="3420" spans="1:11" x14ac:dyDescent="0.25">
      <c r="A3420">
        <v>2023</v>
      </c>
      <c r="B3420" t="s">
        <v>870</v>
      </c>
      <c r="C3420" t="s">
        <v>871</v>
      </c>
      <c r="D3420" t="s">
        <v>19</v>
      </c>
      <c r="E3420" t="s">
        <v>20</v>
      </c>
      <c r="F3420" t="str">
        <f>"43612"</f>
        <v>43612</v>
      </c>
      <c r="G3420" t="str">
        <f>"632482"</f>
        <v>632482</v>
      </c>
      <c r="H3420" s="2">
        <f>2722.5</f>
        <v>2722.5</v>
      </c>
      <c r="I3420" t="s">
        <v>27</v>
      </c>
      <c r="J3420" t="s">
        <v>157</v>
      </c>
      <c r="K3420" t="str">
        <f>"523227"</f>
        <v>523227</v>
      </c>
    </row>
    <row r="3421" spans="1:11" x14ac:dyDescent="0.25">
      <c r="A3421">
        <v>2023</v>
      </c>
      <c r="B3421" t="s">
        <v>878</v>
      </c>
      <c r="C3421" t="s">
        <v>879</v>
      </c>
      <c r="D3421" t="s">
        <v>50</v>
      </c>
      <c r="E3421" t="s">
        <v>20</v>
      </c>
      <c r="F3421" t="str">
        <f>"43560"</f>
        <v>43560</v>
      </c>
      <c r="G3421" t="str">
        <f>"632482"</f>
        <v>632482</v>
      </c>
      <c r="H3421" s="2">
        <f>275.4</f>
        <v>275.39999999999998</v>
      </c>
      <c r="I3421" t="s">
        <v>27</v>
      </c>
      <c r="J3421" t="s">
        <v>157</v>
      </c>
      <c r="K3421" t="str">
        <f>"524102"</f>
        <v>524102</v>
      </c>
    </row>
    <row r="3422" spans="1:11" x14ac:dyDescent="0.25">
      <c r="A3422">
        <v>2023</v>
      </c>
      <c r="B3422" t="s">
        <v>892</v>
      </c>
      <c r="C3422" t="s">
        <v>893</v>
      </c>
      <c r="D3422" t="s">
        <v>19</v>
      </c>
      <c r="E3422" t="s">
        <v>20</v>
      </c>
      <c r="F3422" t="str">
        <f>"43607-2672"</f>
        <v>43607-2672</v>
      </c>
      <c r="G3422" t="str">
        <f>"637573"</f>
        <v>637573</v>
      </c>
      <c r="H3422" s="2">
        <f>20</f>
        <v>20</v>
      </c>
      <c r="I3422" t="s">
        <v>27</v>
      </c>
      <c r="J3422" t="s">
        <v>61</v>
      </c>
      <c r="K3422" t="str">
        <f>"120122"</f>
        <v>120122</v>
      </c>
    </row>
    <row r="3423" spans="1:11" x14ac:dyDescent="0.25">
      <c r="A3423">
        <v>2023</v>
      </c>
      <c r="B3423" t="s">
        <v>905</v>
      </c>
      <c r="C3423" t="s">
        <v>906</v>
      </c>
      <c r="D3423" t="s">
        <v>19</v>
      </c>
      <c r="E3423" t="s">
        <v>20</v>
      </c>
      <c r="F3423" t="str">
        <f>"43605"</f>
        <v>43605</v>
      </c>
      <c r="G3423" t="str">
        <f>"632514"</f>
        <v>632514</v>
      </c>
      <c r="H3423" s="2">
        <f>16.75</f>
        <v>16.75</v>
      </c>
      <c r="I3423" t="s">
        <v>27</v>
      </c>
      <c r="J3423" t="s">
        <v>195</v>
      </c>
      <c r="K3423" t="str">
        <f>"44009268"</f>
        <v>44009268</v>
      </c>
    </row>
    <row r="3424" spans="1:11" x14ac:dyDescent="0.25">
      <c r="A3424">
        <v>2023</v>
      </c>
      <c r="B3424" t="s">
        <v>910</v>
      </c>
      <c r="C3424" t="s">
        <v>911</v>
      </c>
      <c r="D3424" t="s">
        <v>19</v>
      </c>
      <c r="E3424" t="s">
        <v>20</v>
      </c>
      <c r="F3424" t="str">
        <f>"43617"</f>
        <v>43617</v>
      </c>
      <c r="G3424" t="str">
        <f>"632482"</f>
        <v>632482</v>
      </c>
      <c r="H3424" s="2">
        <f>17.19</f>
        <v>17.190000000000001</v>
      </c>
      <c r="I3424" t="s">
        <v>27</v>
      </c>
      <c r="J3424" t="s">
        <v>157</v>
      </c>
      <c r="K3424" t="str">
        <f>"521961"</f>
        <v>521961</v>
      </c>
    </row>
    <row r="3425" spans="1:11" x14ac:dyDescent="0.25">
      <c r="A3425">
        <v>2023</v>
      </c>
      <c r="B3425" t="s">
        <v>913</v>
      </c>
      <c r="C3425" t="s">
        <v>914</v>
      </c>
      <c r="D3425" t="s">
        <v>19</v>
      </c>
      <c r="E3425" t="s">
        <v>20</v>
      </c>
      <c r="F3425" t="str">
        <f>"43617"</f>
        <v>43617</v>
      </c>
      <c r="G3425" t="str">
        <f>"632482"</f>
        <v>632482</v>
      </c>
      <c r="H3425" s="2">
        <f>17.19</f>
        <v>17.190000000000001</v>
      </c>
      <c r="I3425" t="s">
        <v>27</v>
      </c>
      <c r="J3425" t="s">
        <v>157</v>
      </c>
      <c r="K3425" t="str">
        <f>"521962"</f>
        <v>521962</v>
      </c>
    </row>
    <row r="3426" spans="1:11" x14ac:dyDescent="0.25">
      <c r="A3426">
        <v>2023</v>
      </c>
      <c r="B3426" t="s">
        <v>920</v>
      </c>
      <c r="C3426" t="s">
        <v>927</v>
      </c>
      <c r="D3426" t="s">
        <v>922</v>
      </c>
      <c r="E3426" t="s">
        <v>923</v>
      </c>
      <c r="F3426" t="str">
        <f>"90012"</f>
        <v>90012</v>
      </c>
      <c r="G3426" t="str">
        <f>"632514"</f>
        <v>632514</v>
      </c>
      <c r="H3426" s="2">
        <f>1</f>
        <v>1</v>
      </c>
      <c r="I3426" t="s">
        <v>27</v>
      </c>
      <c r="J3426" t="s">
        <v>195</v>
      </c>
      <c r="K3426" t="str">
        <f>"11004239"</f>
        <v>11004239</v>
      </c>
    </row>
    <row r="3427" spans="1:11" x14ac:dyDescent="0.25">
      <c r="A3427">
        <v>2023</v>
      </c>
      <c r="B3427" t="s">
        <v>920</v>
      </c>
      <c r="C3427" t="s">
        <v>928</v>
      </c>
      <c r="D3427" t="s">
        <v>50</v>
      </c>
      <c r="E3427" t="s">
        <v>20</v>
      </c>
      <c r="F3427" t="str">
        <f>"43560"</f>
        <v>43560</v>
      </c>
      <c r="G3427" t="str">
        <f>"632514"</f>
        <v>632514</v>
      </c>
      <c r="H3427" s="2">
        <f>5</f>
        <v>5</v>
      </c>
      <c r="I3427" t="s">
        <v>27</v>
      </c>
      <c r="J3427" t="s">
        <v>195</v>
      </c>
      <c r="K3427" t="str">
        <f>"22025313"</f>
        <v>22025313</v>
      </c>
    </row>
    <row r="3428" spans="1:11" x14ac:dyDescent="0.25">
      <c r="A3428">
        <v>2023</v>
      </c>
      <c r="B3428" t="s">
        <v>931</v>
      </c>
      <c r="C3428" t="s">
        <v>932</v>
      </c>
      <c r="D3428" t="s">
        <v>19</v>
      </c>
      <c r="E3428" t="s">
        <v>20</v>
      </c>
      <c r="F3428" t="str">
        <f>"43604"</f>
        <v>43604</v>
      </c>
      <c r="G3428" t="str">
        <f>"632483"</f>
        <v>632483</v>
      </c>
      <c r="H3428" s="2">
        <f>20</f>
        <v>20</v>
      </c>
      <c r="I3428" t="s">
        <v>27</v>
      </c>
      <c r="J3428" t="s">
        <v>108</v>
      </c>
      <c r="K3428" t="str">
        <f>"40476"</f>
        <v>40476</v>
      </c>
    </row>
    <row r="3429" spans="1:11" x14ac:dyDescent="0.25">
      <c r="A3429">
        <v>2023</v>
      </c>
      <c r="B3429" t="s">
        <v>931</v>
      </c>
      <c r="C3429" t="s">
        <v>256</v>
      </c>
      <c r="D3429" t="s">
        <v>19</v>
      </c>
      <c r="E3429" t="s">
        <v>20</v>
      </c>
      <c r="F3429" t="str">
        <f>"43604"</f>
        <v>43604</v>
      </c>
      <c r="G3429" t="str">
        <f>"632483"</f>
        <v>632483</v>
      </c>
      <c r="H3429" s="2">
        <f>6.4</f>
        <v>6.4</v>
      </c>
      <c r="I3429" t="s">
        <v>27</v>
      </c>
      <c r="J3429" t="s">
        <v>108</v>
      </c>
      <c r="K3429" t="str">
        <f>"39244"</f>
        <v>39244</v>
      </c>
    </row>
    <row r="3430" spans="1:11" x14ac:dyDescent="0.25">
      <c r="A3430">
        <v>2023</v>
      </c>
      <c r="B3430" t="s">
        <v>967</v>
      </c>
      <c r="C3430" t="s">
        <v>968</v>
      </c>
      <c r="D3430" t="s">
        <v>19</v>
      </c>
      <c r="E3430" t="s">
        <v>20</v>
      </c>
      <c r="F3430" t="str">
        <f>"43620-1581"</f>
        <v>43620-1581</v>
      </c>
      <c r="G3430" t="str">
        <f>"637573"</f>
        <v>637573</v>
      </c>
      <c r="H3430" s="2">
        <f>10</f>
        <v>10</v>
      </c>
      <c r="I3430" t="s">
        <v>27</v>
      </c>
      <c r="J3430" t="s">
        <v>61</v>
      </c>
      <c r="K3430" t="str">
        <f>"120337"</f>
        <v>120337</v>
      </c>
    </row>
    <row r="3431" spans="1:11" x14ac:dyDescent="0.25">
      <c r="A3431">
        <v>2023</v>
      </c>
      <c r="B3431" t="s">
        <v>969</v>
      </c>
      <c r="C3431" t="s">
        <v>970</v>
      </c>
      <c r="D3431" t="s">
        <v>19</v>
      </c>
      <c r="E3431" t="s">
        <v>20</v>
      </c>
      <c r="F3431" t="str">
        <f>"43623"</f>
        <v>43623</v>
      </c>
      <c r="G3431" t="str">
        <f>"589300"</f>
        <v>589300</v>
      </c>
      <c r="H3431" s="2">
        <f>16.5</f>
        <v>16.5</v>
      </c>
      <c r="I3431" t="s">
        <v>148</v>
      </c>
      <c r="J3431" t="s">
        <v>971</v>
      </c>
      <c r="K3431" t="str">
        <f>"26023"</f>
        <v>26023</v>
      </c>
    </row>
    <row r="3432" spans="1:11" x14ac:dyDescent="0.25">
      <c r="A3432">
        <v>2023</v>
      </c>
      <c r="B3432" t="s">
        <v>972</v>
      </c>
      <c r="C3432" t="s">
        <v>973</v>
      </c>
      <c r="D3432" t="s">
        <v>19</v>
      </c>
      <c r="E3432" t="s">
        <v>20</v>
      </c>
      <c r="F3432" t="str">
        <f>"43614"</f>
        <v>43614</v>
      </c>
      <c r="G3432" t="str">
        <f>"638581"</f>
        <v>638581</v>
      </c>
      <c r="H3432" s="2">
        <f>11.14</f>
        <v>11.14</v>
      </c>
      <c r="I3432" t="s">
        <v>27</v>
      </c>
      <c r="J3432" t="s">
        <v>61</v>
      </c>
      <c r="K3432" t="str">
        <f>"334127"</f>
        <v>334127</v>
      </c>
    </row>
    <row r="3433" spans="1:11" x14ac:dyDescent="0.25">
      <c r="A3433">
        <v>2023</v>
      </c>
      <c r="B3433" t="s">
        <v>974</v>
      </c>
      <c r="C3433" t="s">
        <v>975</v>
      </c>
      <c r="D3433" t="s">
        <v>976</v>
      </c>
      <c r="E3433" t="s">
        <v>977</v>
      </c>
      <c r="F3433" t="str">
        <f>"52655"</f>
        <v>52655</v>
      </c>
      <c r="G3433" t="str">
        <f>"638581"</f>
        <v>638581</v>
      </c>
      <c r="H3433" s="2">
        <f>7.02</f>
        <v>7.02</v>
      </c>
      <c r="I3433" t="s">
        <v>27</v>
      </c>
      <c r="J3433" t="s">
        <v>61</v>
      </c>
      <c r="K3433" t="str">
        <f>"334276"</f>
        <v>334276</v>
      </c>
    </row>
    <row r="3434" spans="1:11" x14ac:dyDescent="0.25">
      <c r="A3434">
        <v>2023</v>
      </c>
      <c r="B3434" t="s">
        <v>995</v>
      </c>
      <c r="C3434" t="s">
        <v>996</v>
      </c>
      <c r="D3434" t="s">
        <v>997</v>
      </c>
      <c r="E3434" t="s">
        <v>418</v>
      </c>
      <c r="F3434" t="str">
        <f>"60690-2747"</f>
        <v>60690-2747</v>
      </c>
      <c r="G3434" t="str">
        <f>"Je04112023"</f>
        <v>Je04112023</v>
      </c>
      <c r="H3434" s="2">
        <f>110</f>
        <v>110</v>
      </c>
      <c r="I3434" t="s">
        <v>15</v>
      </c>
      <c r="J3434" t="s">
        <v>412</v>
      </c>
      <c r="K3434" t="str">
        <f>"60073011"</f>
        <v>60073011</v>
      </c>
    </row>
    <row r="3435" spans="1:11" x14ac:dyDescent="0.25">
      <c r="A3435">
        <v>2023</v>
      </c>
      <c r="B3435" t="s">
        <v>998</v>
      </c>
      <c r="C3435" t="s">
        <v>999</v>
      </c>
      <c r="D3435" t="s">
        <v>19</v>
      </c>
      <c r="E3435" t="s">
        <v>20</v>
      </c>
      <c r="F3435" t="str">
        <f>"43617-1034"</f>
        <v>43617-1034</v>
      </c>
      <c r="G3435" t="str">
        <f>"Je10162023"</f>
        <v>Je10162023</v>
      </c>
      <c r="H3435" s="2">
        <f>11.4</f>
        <v>11.4</v>
      </c>
      <c r="I3435" t="s">
        <v>15</v>
      </c>
      <c r="J3435" t="s">
        <v>93</v>
      </c>
      <c r="K3435" t="str">
        <f>"60088765"</f>
        <v>60088765</v>
      </c>
    </row>
    <row r="3436" spans="1:11" x14ac:dyDescent="0.25">
      <c r="A3436">
        <v>2023</v>
      </c>
      <c r="B3436" t="s">
        <v>1000</v>
      </c>
      <c r="C3436" t="s">
        <v>1001</v>
      </c>
      <c r="D3436" t="s">
        <v>1002</v>
      </c>
      <c r="E3436" t="s">
        <v>204</v>
      </c>
      <c r="F3436" t="str">
        <f>"30062"</f>
        <v>30062</v>
      </c>
      <c r="G3436" t="str">
        <f>"632514"</f>
        <v>632514</v>
      </c>
      <c r="H3436" s="2">
        <f>203.18</f>
        <v>203.18</v>
      </c>
      <c r="I3436" t="s">
        <v>27</v>
      </c>
      <c r="J3436" t="s">
        <v>195</v>
      </c>
      <c r="K3436" t="str">
        <f>"33012102"</f>
        <v>33012102</v>
      </c>
    </row>
    <row r="3437" spans="1:11" x14ac:dyDescent="0.25">
      <c r="A3437">
        <v>2023</v>
      </c>
      <c r="B3437" t="s">
        <v>1008</v>
      </c>
      <c r="C3437" t="s">
        <v>68</v>
      </c>
      <c r="F3437" t="str">
        <f>""</f>
        <v/>
      </c>
      <c r="G3437" t="str">
        <f>"632514"</f>
        <v>632514</v>
      </c>
      <c r="H3437" s="2">
        <f>4</f>
        <v>4</v>
      </c>
      <c r="I3437" t="s">
        <v>27</v>
      </c>
      <c r="J3437" t="s">
        <v>195</v>
      </c>
      <c r="K3437" t="str">
        <f>"22024089"</f>
        <v>22024089</v>
      </c>
    </row>
    <row r="3438" spans="1:11" x14ac:dyDescent="0.25">
      <c r="A3438">
        <v>2023</v>
      </c>
      <c r="B3438" t="s">
        <v>1011</v>
      </c>
      <c r="C3438" t="s">
        <v>1012</v>
      </c>
      <c r="D3438" t="s">
        <v>19</v>
      </c>
      <c r="E3438" t="s">
        <v>20</v>
      </c>
      <c r="F3438" t="str">
        <f>"43613"</f>
        <v>43613</v>
      </c>
      <c r="G3438" t="str">
        <f>"632482"</f>
        <v>632482</v>
      </c>
      <c r="H3438" s="2">
        <f>30.78</f>
        <v>30.78</v>
      </c>
      <c r="I3438" t="s">
        <v>27</v>
      </c>
      <c r="J3438" t="s">
        <v>157</v>
      </c>
      <c r="K3438" t="str">
        <f>"520950"</f>
        <v>520950</v>
      </c>
    </row>
    <row r="3439" spans="1:11" x14ac:dyDescent="0.25">
      <c r="A3439">
        <v>2023</v>
      </c>
      <c r="B3439" t="s">
        <v>1033</v>
      </c>
      <c r="C3439" t="s">
        <v>1034</v>
      </c>
      <c r="D3439" t="s">
        <v>50</v>
      </c>
      <c r="E3439" t="s">
        <v>20</v>
      </c>
      <c r="F3439" t="str">
        <f>"43560-3354"</f>
        <v>43560-3354</v>
      </c>
      <c r="G3439" t="str">
        <f>"637573"</f>
        <v>637573</v>
      </c>
      <c r="H3439" s="2">
        <f>20</f>
        <v>20</v>
      </c>
      <c r="I3439" t="s">
        <v>27</v>
      </c>
      <c r="J3439" t="s">
        <v>61</v>
      </c>
      <c r="K3439" t="str">
        <f>"119826"</f>
        <v>119826</v>
      </c>
    </row>
    <row r="3440" spans="1:11" x14ac:dyDescent="0.25">
      <c r="A3440">
        <v>2023</v>
      </c>
      <c r="B3440" t="s">
        <v>1043</v>
      </c>
      <c r="C3440" t="s">
        <v>1044</v>
      </c>
      <c r="D3440" t="s">
        <v>19</v>
      </c>
      <c r="E3440" t="s">
        <v>20</v>
      </c>
      <c r="F3440" t="str">
        <f>"43623-1409"</f>
        <v>43623-1409</v>
      </c>
      <c r="G3440" t="str">
        <f>"Je04112023"</f>
        <v>Je04112023</v>
      </c>
      <c r="H3440" s="2">
        <f>265.2</f>
        <v>265.2</v>
      </c>
      <c r="I3440" t="s">
        <v>15</v>
      </c>
      <c r="J3440" t="s">
        <v>412</v>
      </c>
      <c r="K3440" t="str">
        <f>"60073458"</f>
        <v>60073458</v>
      </c>
    </row>
    <row r="3441" spans="1:11" x14ac:dyDescent="0.25">
      <c r="A3441">
        <v>2023</v>
      </c>
      <c r="B3441" t="s">
        <v>1043</v>
      </c>
      <c r="C3441" t="s">
        <v>1044</v>
      </c>
      <c r="D3441" t="s">
        <v>19</v>
      </c>
      <c r="E3441" t="s">
        <v>20</v>
      </c>
      <c r="F3441" t="str">
        <f>"43623-1409"</f>
        <v>43623-1409</v>
      </c>
      <c r="G3441" t="str">
        <f>"Je10162023"</f>
        <v>Je10162023</v>
      </c>
      <c r="H3441" s="2">
        <f>694.21</f>
        <v>694.21</v>
      </c>
      <c r="I3441" t="s">
        <v>15</v>
      </c>
      <c r="J3441" t="s">
        <v>93</v>
      </c>
      <c r="K3441" t="str">
        <f>"60082544"</f>
        <v>60082544</v>
      </c>
    </row>
    <row r="3442" spans="1:11" x14ac:dyDescent="0.25">
      <c r="A3442">
        <v>2023</v>
      </c>
      <c r="B3442" t="s">
        <v>1049</v>
      </c>
      <c r="C3442" t="s">
        <v>1050</v>
      </c>
      <c r="D3442" t="s">
        <v>19</v>
      </c>
      <c r="E3442" t="s">
        <v>20</v>
      </c>
      <c r="F3442" t="str">
        <f>"43613"</f>
        <v>43613</v>
      </c>
      <c r="G3442" t="str">
        <f t="shared" ref="G3442:G3448" si="111">"632514"</f>
        <v>632514</v>
      </c>
      <c r="H3442" s="2">
        <f>14.26</f>
        <v>14.26</v>
      </c>
      <c r="I3442" t="s">
        <v>27</v>
      </c>
      <c r="J3442" t="s">
        <v>195</v>
      </c>
      <c r="K3442" t="str">
        <f>"33011937"</f>
        <v>33011937</v>
      </c>
    </row>
    <row r="3443" spans="1:11" x14ac:dyDescent="0.25">
      <c r="A3443">
        <v>2023</v>
      </c>
      <c r="B3443" t="s">
        <v>1049</v>
      </c>
      <c r="C3443" t="s">
        <v>1050</v>
      </c>
      <c r="D3443" t="s">
        <v>19</v>
      </c>
      <c r="E3443" t="s">
        <v>20</v>
      </c>
      <c r="F3443" t="str">
        <f>"43613"</f>
        <v>43613</v>
      </c>
      <c r="G3443" t="str">
        <f t="shared" si="111"/>
        <v>632514</v>
      </c>
      <c r="H3443" s="2">
        <f>49.99</f>
        <v>49.99</v>
      </c>
      <c r="I3443" t="s">
        <v>27</v>
      </c>
      <c r="J3443" t="s">
        <v>195</v>
      </c>
      <c r="K3443" t="str">
        <f>"33011992"</f>
        <v>33011992</v>
      </c>
    </row>
    <row r="3444" spans="1:11" x14ac:dyDescent="0.25">
      <c r="A3444">
        <v>2023</v>
      </c>
      <c r="B3444" t="s">
        <v>1049</v>
      </c>
      <c r="C3444" t="s">
        <v>1050</v>
      </c>
      <c r="D3444" t="s">
        <v>19</v>
      </c>
      <c r="E3444" t="s">
        <v>20</v>
      </c>
      <c r="F3444" t="str">
        <f>"43613"</f>
        <v>43613</v>
      </c>
      <c r="G3444" t="str">
        <f t="shared" si="111"/>
        <v>632514</v>
      </c>
      <c r="H3444" s="2">
        <f>153.94</f>
        <v>153.94</v>
      </c>
      <c r="I3444" t="s">
        <v>27</v>
      </c>
      <c r="J3444" t="s">
        <v>195</v>
      </c>
      <c r="K3444" t="str">
        <f>"33011248"</f>
        <v>33011248</v>
      </c>
    </row>
    <row r="3445" spans="1:11" x14ac:dyDescent="0.25">
      <c r="A3445">
        <v>2023</v>
      </c>
      <c r="B3445" t="s">
        <v>1049</v>
      </c>
      <c r="C3445" t="s">
        <v>1050</v>
      </c>
      <c r="D3445" t="s">
        <v>19</v>
      </c>
      <c r="E3445" t="s">
        <v>20</v>
      </c>
      <c r="F3445" t="str">
        <f>"43613"</f>
        <v>43613</v>
      </c>
      <c r="G3445" t="str">
        <f t="shared" si="111"/>
        <v>632514</v>
      </c>
      <c r="H3445" s="2">
        <f>10.9</f>
        <v>10.9</v>
      </c>
      <c r="I3445" t="s">
        <v>27</v>
      </c>
      <c r="J3445" t="s">
        <v>195</v>
      </c>
      <c r="K3445" t="str">
        <f>"33011265"</f>
        <v>33011265</v>
      </c>
    </row>
    <row r="3446" spans="1:11" x14ac:dyDescent="0.25">
      <c r="A3446">
        <v>2023</v>
      </c>
      <c r="B3446" t="s">
        <v>1049</v>
      </c>
      <c r="C3446" t="s">
        <v>1050</v>
      </c>
      <c r="D3446" t="s">
        <v>19</v>
      </c>
      <c r="E3446" t="s">
        <v>20</v>
      </c>
      <c r="F3446" t="str">
        <f>"43613"</f>
        <v>43613</v>
      </c>
      <c r="G3446" t="str">
        <f t="shared" si="111"/>
        <v>632514</v>
      </c>
      <c r="H3446" s="2">
        <f>15.17</f>
        <v>15.17</v>
      </c>
      <c r="I3446" t="s">
        <v>27</v>
      </c>
      <c r="J3446" t="s">
        <v>195</v>
      </c>
      <c r="K3446" t="str">
        <f>"33011680"</f>
        <v>33011680</v>
      </c>
    </row>
    <row r="3447" spans="1:11" x14ac:dyDescent="0.25">
      <c r="A3447">
        <v>2023</v>
      </c>
      <c r="B3447" t="s">
        <v>1055</v>
      </c>
      <c r="C3447" t="s">
        <v>1056</v>
      </c>
      <c r="D3447" t="s">
        <v>19</v>
      </c>
      <c r="E3447" t="s">
        <v>20</v>
      </c>
      <c r="F3447" t="str">
        <f>"43610"</f>
        <v>43610</v>
      </c>
      <c r="G3447" t="str">
        <f t="shared" si="111"/>
        <v>632514</v>
      </c>
      <c r="H3447" s="2">
        <f>5</f>
        <v>5</v>
      </c>
      <c r="I3447" t="s">
        <v>27</v>
      </c>
      <c r="J3447" t="s">
        <v>195</v>
      </c>
      <c r="K3447" t="str">
        <f>"33011416"</f>
        <v>33011416</v>
      </c>
    </row>
    <row r="3448" spans="1:11" x14ac:dyDescent="0.25">
      <c r="A3448">
        <v>2023</v>
      </c>
      <c r="B3448" t="s">
        <v>1064</v>
      </c>
      <c r="C3448" t="s">
        <v>1065</v>
      </c>
      <c r="D3448" t="s">
        <v>1063</v>
      </c>
      <c r="E3448" t="s">
        <v>985</v>
      </c>
      <c r="F3448" t="str">
        <f>"80237"</f>
        <v>80237</v>
      </c>
      <c r="G3448" t="str">
        <f t="shared" si="111"/>
        <v>632514</v>
      </c>
      <c r="H3448" s="2">
        <f>15</f>
        <v>15</v>
      </c>
      <c r="I3448" t="s">
        <v>27</v>
      </c>
      <c r="J3448" t="s">
        <v>195</v>
      </c>
      <c r="K3448" t="str">
        <f>"11004103"</f>
        <v>11004103</v>
      </c>
    </row>
    <row r="3449" spans="1:11" x14ac:dyDescent="0.25">
      <c r="A3449">
        <v>2023</v>
      </c>
      <c r="B3449" t="s">
        <v>1070</v>
      </c>
      <c r="C3449" t="s">
        <v>1071</v>
      </c>
      <c r="D3449" t="s">
        <v>19</v>
      </c>
      <c r="E3449" t="s">
        <v>20</v>
      </c>
      <c r="F3449" t="str">
        <f>"43612-1420"</f>
        <v>43612-1420</v>
      </c>
      <c r="G3449" t="str">
        <f>"637573"</f>
        <v>637573</v>
      </c>
      <c r="H3449" s="2">
        <f>10</f>
        <v>10</v>
      </c>
      <c r="I3449" t="s">
        <v>27</v>
      </c>
      <c r="J3449" t="s">
        <v>61</v>
      </c>
      <c r="K3449" t="str">
        <f>"119155"</f>
        <v>119155</v>
      </c>
    </row>
    <row r="3450" spans="1:11" x14ac:dyDescent="0.25">
      <c r="A3450">
        <v>2023</v>
      </c>
      <c r="B3450" t="s">
        <v>1092</v>
      </c>
      <c r="C3450" t="s">
        <v>1093</v>
      </c>
      <c r="D3450" t="s">
        <v>19</v>
      </c>
      <c r="E3450" t="s">
        <v>20</v>
      </c>
      <c r="F3450" t="str">
        <f>"43611"</f>
        <v>43611</v>
      </c>
      <c r="G3450" t="str">
        <f>"Je12142023"</f>
        <v>Je12142023</v>
      </c>
      <c r="H3450" s="2">
        <f>175.92</f>
        <v>175.92</v>
      </c>
      <c r="I3450" t="s">
        <v>15</v>
      </c>
      <c r="J3450" t="s">
        <v>176</v>
      </c>
      <c r="K3450" t="str">
        <f>"60097368"</f>
        <v>60097368</v>
      </c>
    </row>
    <row r="3451" spans="1:11" x14ac:dyDescent="0.25">
      <c r="A3451">
        <v>2023</v>
      </c>
      <c r="B3451" t="s">
        <v>1094</v>
      </c>
      <c r="C3451" t="s">
        <v>1095</v>
      </c>
      <c r="D3451" t="s">
        <v>19</v>
      </c>
      <c r="E3451" t="s">
        <v>20</v>
      </c>
      <c r="F3451" t="str">
        <f>"43613"</f>
        <v>43613</v>
      </c>
      <c r="G3451" t="str">
        <f>"632482"</f>
        <v>632482</v>
      </c>
      <c r="H3451" s="2">
        <f>3.33</f>
        <v>3.33</v>
      </c>
      <c r="I3451" t="s">
        <v>27</v>
      </c>
      <c r="J3451" t="s">
        <v>157</v>
      </c>
      <c r="K3451" t="str">
        <f>"521343"</f>
        <v>521343</v>
      </c>
    </row>
    <row r="3452" spans="1:11" x14ac:dyDescent="0.25">
      <c r="A3452">
        <v>2023</v>
      </c>
      <c r="B3452" t="s">
        <v>1113</v>
      </c>
      <c r="C3452" t="s">
        <v>1114</v>
      </c>
      <c r="D3452" t="s">
        <v>105</v>
      </c>
      <c r="E3452" t="s">
        <v>20</v>
      </c>
      <c r="F3452" t="str">
        <f>"43528-9567"</f>
        <v>43528-9567</v>
      </c>
      <c r="G3452" t="str">
        <f>"637573"</f>
        <v>637573</v>
      </c>
      <c r="H3452" s="2">
        <f>10</f>
        <v>10</v>
      </c>
      <c r="I3452" t="s">
        <v>27</v>
      </c>
      <c r="J3452" t="s">
        <v>61</v>
      </c>
      <c r="K3452" t="str">
        <f>"120629"</f>
        <v>120629</v>
      </c>
    </row>
    <row r="3453" spans="1:11" x14ac:dyDescent="0.25">
      <c r="A3453">
        <v>2023</v>
      </c>
      <c r="B3453" t="s">
        <v>1133</v>
      </c>
      <c r="C3453" t="s">
        <v>1134</v>
      </c>
      <c r="D3453" t="s">
        <v>19</v>
      </c>
      <c r="E3453" t="s">
        <v>20</v>
      </c>
      <c r="F3453" t="str">
        <f>"43609"</f>
        <v>43609</v>
      </c>
      <c r="G3453" t="str">
        <f>"Je012023"</f>
        <v>Je012023</v>
      </c>
      <c r="H3453" s="2">
        <f>15</f>
        <v>15</v>
      </c>
      <c r="I3453" t="s">
        <v>15</v>
      </c>
      <c r="J3453" t="s">
        <v>397</v>
      </c>
      <c r="K3453" t="str">
        <f>"60062492"</f>
        <v>60062492</v>
      </c>
    </row>
    <row r="3454" spans="1:11" x14ac:dyDescent="0.25">
      <c r="A3454">
        <v>2023</v>
      </c>
      <c r="B3454" t="s">
        <v>1153</v>
      </c>
      <c r="C3454" t="s">
        <v>1154</v>
      </c>
      <c r="D3454" t="s">
        <v>19</v>
      </c>
      <c r="E3454" t="s">
        <v>20</v>
      </c>
      <c r="F3454" t="str">
        <f>"43611"</f>
        <v>43611</v>
      </c>
      <c r="G3454" t="str">
        <f t="shared" ref="G3454:G3459" si="112">"632482"</f>
        <v>632482</v>
      </c>
      <c r="H3454" s="2">
        <f>21</f>
        <v>21</v>
      </c>
      <c r="I3454" t="s">
        <v>27</v>
      </c>
      <c r="J3454" t="s">
        <v>157</v>
      </c>
      <c r="K3454" t="str">
        <f>"521607"</f>
        <v>521607</v>
      </c>
    </row>
    <row r="3455" spans="1:11" x14ac:dyDescent="0.25">
      <c r="A3455">
        <v>2023</v>
      </c>
      <c r="B3455" t="s">
        <v>1164</v>
      </c>
      <c r="C3455" t="s">
        <v>1165</v>
      </c>
      <c r="D3455" t="s">
        <v>19</v>
      </c>
      <c r="E3455" t="s">
        <v>20</v>
      </c>
      <c r="F3455" t="str">
        <f>"43611"</f>
        <v>43611</v>
      </c>
      <c r="G3455" t="str">
        <f t="shared" si="112"/>
        <v>632482</v>
      </c>
      <c r="H3455" s="2">
        <f>400</f>
        <v>400</v>
      </c>
      <c r="I3455" t="s">
        <v>27</v>
      </c>
      <c r="J3455" t="s">
        <v>157</v>
      </c>
      <c r="K3455" t="str">
        <f>"523107"</f>
        <v>523107</v>
      </c>
    </row>
    <row r="3456" spans="1:11" x14ac:dyDescent="0.25">
      <c r="A3456">
        <v>2023</v>
      </c>
      <c r="B3456" t="s">
        <v>1166</v>
      </c>
      <c r="C3456" t="s">
        <v>1167</v>
      </c>
      <c r="D3456" t="s">
        <v>164</v>
      </c>
      <c r="E3456" t="s">
        <v>20</v>
      </c>
      <c r="F3456" t="str">
        <f>"43558"</f>
        <v>43558</v>
      </c>
      <c r="G3456" t="str">
        <f t="shared" si="112"/>
        <v>632482</v>
      </c>
      <c r="H3456" s="2">
        <f>50</f>
        <v>50</v>
      </c>
      <c r="I3456" t="s">
        <v>27</v>
      </c>
      <c r="J3456" t="s">
        <v>157</v>
      </c>
      <c r="K3456" t="str">
        <f>"522646"</f>
        <v>522646</v>
      </c>
    </row>
    <row r="3457" spans="1:11" x14ac:dyDescent="0.25">
      <c r="A3457">
        <v>2023</v>
      </c>
      <c r="B3457" t="s">
        <v>1166</v>
      </c>
      <c r="C3457" t="s">
        <v>1168</v>
      </c>
      <c r="D3457" t="s">
        <v>164</v>
      </c>
      <c r="E3457" t="s">
        <v>20</v>
      </c>
      <c r="F3457" t="str">
        <f>"43558"</f>
        <v>43558</v>
      </c>
      <c r="G3457" t="str">
        <f t="shared" si="112"/>
        <v>632482</v>
      </c>
      <c r="H3457" s="2">
        <f>50</f>
        <v>50</v>
      </c>
      <c r="I3457" t="s">
        <v>27</v>
      </c>
      <c r="J3457" t="s">
        <v>157</v>
      </c>
      <c r="K3457" t="str">
        <f>"521592"</f>
        <v>521592</v>
      </c>
    </row>
    <row r="3458" spans="1:11" x14ac:dyDescent="0.25">
      <c r="A3458">
        <v>2023</v>
      </c>
      <c r="B3458" t="s">
        <v>1166</v>
      </c>
      <c r="C3458" t="s">
        <v>1167</v>
      </c>
      <c r="D3458" t="s">
        <v>164</v>
      </c>
      <c r="E3458" t="s">
        <v>20</v>
      </c>
      <c r="F3458" t="str">
        <f>"43558"</f>
        <v>43558</v>
      </c>
      <c r="G3458" t="str">
        <f t="shared" si="112"/>
        <v>632482</v>
      </c>
      <c r="H3458" s="2">
        <f>50</f>
        <v>50</v>
      </c>
      <c r="I3458" t="s">
        <v>27</v>
      </c>
      <c r="J3458" t="s">
        <v>157</v>
      </c>
      <c r="K3458" t="str">
        <f>"521247"</f>
        <v>521247</v>
      </c>
    </row>
    <row r="3459" spans="1:11" x14ac:dyDescent="0.25">
      <c r="A3459">
        <v>2023</v>
      </c>
      <c r="B3459" t="s">
        <v>1166</v>
      </c>
      <c r="C3459" t="s">
        <v>1168</v>
      </c>
      <c r="D3459" t="s">
        <v>164</v>
      </c>
      <c r="E3459" t="s">
        <v>20</v>
      </c>
      <c r="F3459" t="str">
        <f>"43558"</f>
        <v>43558</v>
      </c>
      <c r="G3459" t="str">
        <f t="shared" si="112"/>
        <v>632482</v>
      </c>
      <c r="H3459" s="2">
        <f>50</f>
        <v>50</v>
      </c>
      <c r="I3459" t="s">
        <v>27</v>
      </c>
      <c r="J3459" t="s">
        <v>157</v>
      </c>
      <c r="K3459" t="str">
        <f>"522185"</f>
        <v>522185</v>
      </c>
    </row>
    <row r="3460" spans="1:11" x14ac:dyDescent="0.25">
      <c r="A3460">
        <v>2023</v>
      </c>
      <c r="B3460" t="s">
        <v>1175</v>
      </c>
      <c r="C3460" t="s">
        <v>1176</v>
      </c>
      <c r="D3460" t="s">
        <v>1177</v>
      </c>
      <c r="E3460" t="s">
        <v>418</v>
      </c>
      <c r="F3460" t="str">
        <f>"60563"</f>
        <v>60563</v>
      </c>
      <c r="G3460" t="str">
        <f>"595350"</f>
        <v>595350</v>
      </c>
      <c r="H3460" s="2">
        <f>499.06</f>
        <v>499.06</v>
      </c>
      <c r="I3460" t="s">
        <v>86</v>
      </c>
      <c r="J3460" t="s">
        <v>1178</v>
      </c>
      <c r="K3460" t="str">
        <f>"30130"</f>
        <v>30130</v>
      </c>
    </row>
    <row r="3461" spans="1:11" x14ac:dyDescent="0.25">
      <c r="A3461">
        <v>2023</v>
      </c>
      <c r="B3461" t="s">
        <v>1185</v>
      </c>
      <c r="C3461" t="s">
        <v>1186</v>
      </c>
      <c r="D3461" t="s">
        <v>19</v>
      </c>
      <c r="E3461" t="s">
        <v>20</v>
      </c>
      <c r="F3461" t="str">
        <f>"43604"</f>
        <v>43604</v>
      </c>
      <c r="G3461" t="str">
        <f>"632482"</f>
        <v>632482</v>
      </c>
      <c r="H3461" s="2">
        <f>17.19</f>
        <v>17.190000000000001</v>
      </c>
      <c r="I3461" t="s">
        <v>27</v>
      </c>
      <c r="J3461" t="s">
        <v>157</v>
      </c>
      <c r="K3461" t="str">
        <f>"521963"</f>
        <v>521963</v>
      </c>
    </row>
    <row r="3462" spans="1:11" x14ac:dyDescent="0.25">
      <c r="A3462">
        <v>2023</v>
      </c>
      <c r="B3462" t="s">
        <v>1189</v>
      </c>
      <c r="C3462" t="s">
        <v>1190</v>
      </c>
      <c r="D3462" t="s">
        <v>19</v>
      </c>
      <c r="E3462" t="s">
        <v>20</v>
      </c>
      <c r="F3462" t="str">
        <f>"43615"</f>
        <v>43615</v>
      </c>
      <c r="G3462" t="str">
        <f>"Je12142023"</f>
        <v>Je12142023</v>
      </c>
      <c r="H3462" s="2">
        <f>159.32</f>
        <v>159.32</v>
      </c>
      <c r="I3462" t="s">
        <v>15</v>
      </c>
      <c r="J3462" t="s">
        <v>176</v>
      </c>
      <c r="K3462" t="str">
        <f>"60100394"</f>
        <v>60100394</v>
      </c>
    </row>
    <row r="3463" spans="1:11" x14ac:dyDescent="0.25">
      <c r="A3463">
        <v>2023</v>
      </c>
      <c r="B3463" t="s">
        <v>1199</v>
      </c>
      <c r="C3463" t="s">
        <v>1200</v>
      </c>
      <c r="D3463" t="s">
        <v>19</v>
      </c>
      <c r="E3463" t="s">
        <v>20</v>
      </c>
      <c r="F3463" t="str">
        <f>"43607"</f>
        <v>43607</v>
      </c>
      <c r="G3463" t="str">
        <f>"Je12142023"</f>
        <v>Je12142023</v>
      </c>
      <c r="H3463" s="2">
        <f>61.06</f>
        <v>61.06</v>
      </c>
      <c r="I3463" t="s">
        <v>15</v>
      </c>
      <c r="J3463" t="s">
        <v>176</v>
      </c>
      <c r="K3463" t="str">
        <f>"60105594"</f>
        <v>60105594</v>
      </c>
    </row>
    <row r="3464" spans="1:11" x14ac:dyDescent="0.25">
      <c r="A3464">
        <v>2023</v>
      </c>
      <c r="B3464" t="s">
        <v>1204</v>
      </c>
      <c r="C3464" t="s">
        <v>1205</v>
      </c>
      <c r="D3464" t="s">
        <v>19</v>
      </c>
      <c r="E3464" t="s">
        <v>20</v>
      </c>
      <c r="F3464" t="str">
        <f>"43610"</f>
        <v>43610</v>
      </c>
      <c r="G3464" t="str">
        <f>"589332"</f>
        <v>589332</v>
      </c>
      <c r="H3464" s="2">
        <f>289</f>
        <v>289</v>
      </c>
      <c r="I3464" t="s">
        <v>519</v>
      </c>
      <c r="J3464" t="s">
        <v>519</v>
      </c>
      <c r="K3464" t="str">
        <f>"15915"</f>
        <v>15915</v>
      </c>
    </row>
    <row r="3465" spans="1:11" x14ac:dyDescent="0.25">
      <c r="A3465">
        <v>2023</v>
      </c>
      <c r="B3465" t="s">
        <v>1206</v>
      </c>
      <c r="C3465" t="s">
        <v>1207</v>
      </c>
      <c r="D3465" t="s">
        <v>19</v>
      </c>
      <c r="E3465" t="s">
        <v>20</v>
      </c>
      <c r="F3465" t="str">
        <f>"43614"</f>
        <v>43614</v>
      </c>
      <c r="G3465" t="str">
        <f>"Je10162023"</f>
        <v>Je10162023</v>
      </c>
      <c r="H3465" s="2">
        <f>61.46</f>
        <v>61.46</v>
      </c>
      <c r="I3465" t="s">
        <v>15</v>
      </c>
      <c r="J3465" t="s">
        <v>93</v>
      </c>
      <c r="K3465" t="str">
        <f>"60089104"</f>
        <v>60089104</v>
      </c>
    </row>
    <row r="3466" spans="1:11" x14ac:dyDescent="0.25">
      <c r="A3466">
        <v>2023</v>
      </c>
      <c r="B3466" t="s">
        <v>1206</v>
      </c>
      <c r="C3466" t="s">
        <v>1207</v>
      </c>
      <c r="D3466" t="s">
        <v>19</v>
      </c>
      <c r="E3466" t="s">
        <v>20</v>
      </c>
      <c r="F3466" t="str">
        <f>"43614"</f>
        <v>43614</v>
      </c>
      <c r="G3466" t="str">
        <f>"Je12142023"</f>
        <v>Je12142023</v>
      </c>
      <c r="H3466" s="2">
        <f>56.25</f>
        <v>56.25</v>
      </c>
      <c r="I3466" t="s">
        <v>15</v>
      </c>
      <c r="J3466" t="s">
        <v>176</v>
      </c>
      <c r="K3466" t="str">
        <f>"60102313"</f>
        <v>60102313</v>
      </c>
    </row>
    <row r="3467" spans="1:11" x14ac:dyDescent="0.25">
      <c r="A3467">
        <v>2023</v>
      </c>
      <c r="B3467" t="s">
        <v>1226</v>
      </c>
      <c r="C3467" t="s">
        <v>1227</v>
      </c>
      <c r="D3467" t="s">
        <v>19</v>
      </c>
      <c r="E3467" t="s">
        <v>20</v>
      </c>
      <c r="F3467" t="str">
        <f>"43614-3205"</f>
        <v>43614-3205</v>
      </c>
      <c r="G3467" t="str">
        <f>"637573"</f>
        <v>637573</v>
      </c>
      <c r="H3467" s="2">
        <f>20</f>
        <v>20</v>
      </c>
      <c r="I3467" t="s">
        <v>27</v>
      </c>
      <c r="J3467" t="s">
        <v>61</v>
      </c>
      <c r="K3467" t="str">
        <f>"120392"</f>
        <v>120392</v>
      </c>
    </row>
    <row r="3468" spans="1:11" x14ac:dyDescent="0.25">
      <c r="A3468">
        <v>2023</v>
      </c>
      <c r="B3468" t="s">
        <v>1233</v>
      </c>
      <c r="C3468" t="s">
        <v>1234</v>
      </c>
      <c r="D3468" t="s">
        <v>19</v>
      </c>
      <c r="E3468" t="s">
        <v>20</v>
      </c>
      <c r="F3468" t="str">
        <f>"43614-4161"</f>
        <v>43614-4161</v>
      </c>
      <c r="G3468" t="str">
        <f>"637573"</f>
        <v>637573</v>
      </c>
      <c r="H3468" s="2">
        <f>20</f>
        <v>20</v>
      </c>
      <c r="I3468" t="s">
        <v>27</v>
      </c>
      <c r="J3468" t="s">
        <v>61</v>
      </c>
      <c r="K3468" t="str">
        <f>"120124"</f>
        <v>120124</v>
      </c>
    </row>
    <row r="3469" spans="1:11" x14ac:dyDescent="0.25">
      <c r="A3469">
        <v>2023</v>
      </c>
      <c r="B3469" t="s">
        <v>1237</v>
      </c>
      <c r="C3469" t="s">
        <v>1238</v>
      </c>
      <c r="D3469" t="s">
        <v>1239</v>
      </c>
      <c r="E3469" t="s">
        <v>20</v>
      </c>
      <c r="F3469" t="str">
        <f>"43402"</f>
        <v>43402</v>
      </c>
      <c r="G3469" t="str">
        <f>"632482"</f>
        <v>632482</v>
      </c>
      <c r="H3469" s="2">
        <f>7.5</f>
        <v>7.5</v>
      </c>
      <c r="I3469" t="s">
        <v>27</v>
      </c>
      <c r="J3469" t="s">
        <v>157</v>
      </c>
      <c r="K3469" t="str">
        <f>"523072"</f>
        <v>523072</v>
      </c>
    </row>
    <row r="3470" spans="1:11" x14ac:dyDescent="0.25">
      <c r="A3470">
        <v>2023</v>
      </c>
      <c r="B3470" t="s">
        <v>1240</v>
      </c>
      <c r="C3470" t="s">
        <v>1241</v>
      </c>
      <c r="D3470" t="s">
        <v>19</v>
      </c>
      <c r="E3470" t="s">
        <v>20</v>
      </c>
      <c r="F3470" t="str">
        <f>"43613"</f>
        <v>43613</v>
      </c>
      <c r="G3470" t="str">
        <f>"Je12142023"</f>
        <v>Je12142023</v>
      </c>
      <c r="H3470" s="2">
        <f>103.54</f>
        <v>103.54</v>
      </c>
      <c r="I3470" t="s">
        <v>15</v>
      </c>
      <c r="J3470" t="s">
        <v>176</v>
      </c>
      <c r="K3470" t="str">
        <f>"60105595"</f>
        <v>60105595</v>
      </c>
    </row>
    <row r="3471" spans="1:11" x14ac:dyDescent="0.25">
      <c r="A3471">
        <v>2023</v>
      </c>
      <c r="B3471" t="s">
        <v>1242</v>
      </c>
      <c r="C3471" t="s">
        <v>1243</v>
      </c>
      <c r="D3471" t="s">
        <v>50</v>
      </c>
      <c r="E3471" t="s">
        <v>20</v>
      </c>
      <c r="F3471" t="str">
        <f>"43560"</f>
        <v>43560</v>
      </c>
      <c r="G3471" t="str">
        <f>"Je012023"</f>
        <v>Je012023</v>
      </c>
      <c r="H3471" s="2">
        <f>3134.98</f>
        <v>3134.98</v>
      </c>
      <c r="I3471" t="s">
        <v>15</v>
      </c>
      <c r="J3471" t="s">
        <v>397</v>
      </c>
      <c r="K3471" t="str">
        <f>"60061446"</f>
        <v>60061446</v>
      </c>
    </row>
    <row r="3472" spans="1:11" x14ac:dyDescent="0.25">
      <c r="A3472">
        <v>2023</v>
      </c>
      <c r="B3472" t="s">
        <v>1249</v>
      </c>
      <c r="C3472" t="s">
        <v>1250</v>
      </c>
      <c r="D3472" t="s">
        <v>19</v>
      </c>
      <c r="E3472" t="s">
        <v>20</v>
      </c>
      <c r="F3472" t="str">
        <f>"43614-2681"</f>
        <v>43614-2681</v>
      </c>
      <c r="G3472" t="str">
        <f>"637573"</f>
        <v>637573</v>
      </c>
      <c r="H3472" s="2">
        <f>20</f>
        <v>20</v>
      </c>
      <c r="I3472" t="s">
        <v>27</v>
      </c>
      <c r="J3472" t="s">
        <v>61</v>
      </c>
      <c r="K3472" t="str">
        <f>"120658"</f>
        <v>120658</v>
      </c>
    </row>
    <row r="3473" spans="1:11" x14ac:dyDescent="0.25">
      <c r="A3473">
        <v>2023</v>
      </c>
      <c r="B3473" t="s">
        <v>1262</v>
      </c>
      <c r="C3473" t="s">
        <v>1263</v>
      </c>
      <c r="D3473" t="s">
        <v>19</v>
      </c>
      <c r="E3473" t="s">
        <v>20</v>
      </c>
      <c r="F3473" t="str">
        <f>"43623"</f>
        <v>43623</v>
      </c>
      <c r="G3473" t="str">
        <f>"632482"</f>
        <v>632482</v>
      </c>
      <c r="H3473" s="2">
        <f>80</f>
        <v>80</v>
      </c>
      <c r="I3473" t="s">
        <v>27</v>
      </c>
      <c r="J3473" t="s">
        <v>157</v>
      </c>
      <c r="K3473" t="str">
        <f>"522598"</f>
        <v>522598</v>
      </c>
    </row>
    <row r="3474" spans="1:11" x14ac:dyDescent="0.25">
      <c r="A3474">
        <v>2023</v>
      </c>
      <c r="B3474" t="s">
        <v>1262</v>
      </c>
      <c r="C3474" t="s">
        <v>1263</v>
      </c>
      <c r="D3474" t="s">
        <v>19</v>
      </c>
      <c r="E3474" t="s">
        <v>20</v>
      </c>
      <c r="F3474" t="str">
        <f>"43623"</f>
        <v>43623</v>
      </c>
      <c r="G3474" t="str">
        <f>"632482"</f>
        <v>632482</v>
      </c>
      <c r="H3474" s="2">
        <f>90</f>
        <v>90</v>
      </c>
      <c r="I3474" t="s">
        <v>27</v>
      </c>
      <c r="J3474" t="s">
        <v>157</v>
      </c>
      <c r="K3474" t="str">
        <f>"522247"</f>
        <v>522247</v>
      </c>
    </row>
    <row r="3475" spans="1:11" x14ac:dyDescent="0.25">
      <c r="A3475">
        <v>2023</v>
      </c>
      <c r="B3475" t="s">
        <v>1262</v>
      </c>
      <c r="C3475" t="s">
        <v>1263</v>
      </c>
      <c r="D3475" t="s">
        <v>19</v>
      </c>
      <c r="E3475" t="s">
        <v>20</v>
      </c>
      <c r="F3475" t="str">
        <f>"43623"</f>
        <v>43623</v>
      </c>
      <c r="G3475" t="str">
        <f>"632482"</f>
        <v>632482</v>
      </c>
      <c r="H3475" s="2">
        <f>80</f>
        <v>80</v>
      </c>
      <c r="I3475" t="s">
        <v>27</v>
      </c>
      <c r="J3475" t="s">
        <v>157</v>
      </c>
      <c r="K3475" t="str">
        <f>"521741"</f>
        <v>521741</v>
      </c>
    </row>
    <row r="3476" spans="1:11" x14ac:dyDescent="0.25">
      <c r="A3476">
        <v>2023</v>
      </c>
      <c r="B3476" t="s">
        <v>1276</v>
      </c>
      <c r="C3476" t="s">
        <v>1277</v>
      </c>
      <c r="D3476" t="s">
        <v>50</v>
      </c>
      <c r="E3476" t="s">
        <v>20</v>
      </c>
      <c r="F3476" t="str">
        <f>"43560-9391"</f>
        <v>43560-9391</v>
      </c>
      <c r="G3476" t="str">
        <f>"637573"</f>
        <v>637573</v>
      </c>
      <c r="H3476" s="2">
        <f>10</f>
        <v>10</v>
      </c>
      <c r="I3476" t="s">
        <v>27</v>
      </c>
      <c r="J3476" t="s">
        <v>61</v>
      </c>
      <c r="K3476" t="str">
        <f>"118983"</f>
        <v>118983</v>
      </c>
    </row>
    <row r="3477" spans="1:11" x14ac:dyDescent="0.25">
      <c r="A3477">
        <v>2023</v>
      </c>
      <c r="B3477" t="s">
        <v>1280</v>
      </c>
      <c r="C3477" t="s">
        <v>1281</v>
      </c>
      <c r="D3477" t="s">
        <v>105</v>
      </c>
      <c r="E3477" t="s">
        <v>20</v>
      </c>
      <c r="F3477" t="str">
        <f>"43528"</f>
        <v>43528</v>
      </c>
      <c r="G3477" t="str">
        <f>"Je12142023"</f>
        <v>Je12142023</v>
      </c>
      <c r="H3477" s="2">
        <f>131.48</f>
        <v>131.47999999999999</v>
      </c>
      <c r="I3477" t="s">
        <v>15</v>
      </c>
      <c r="J3477" t="s">
        <v>176</v>
      </c>
      <c r="K3477" t="str">
        <f>"60098479"</f>
        <v>60098479</v>
      </c>
    </row>
    <row r="3478" spans="1:11" x14ac:dyDescent="0.25">
      <c r="A3478">
        <v>2023</v>
      </c>
      <c r="B3478" t="s">
        <v>1282</v>
      </c>
      <c r="C3478" t="s">
        <v>1283</v>
      </c>
      <c r="D3478" t="s">
        <v>19</v>
      </c>
      <c r="E3478" t="s">
        <v>20</v>
      </c>
      <c r="F3478" t="str">
        <f>"43612"</f>
        <v>43612</v>
      </c>
      <c r="G3478" t="str">
        <f>"632482"</f>
        <v>632482</v>
      </c>
      <c r="H3478" s="2">
        <f>17.19</f>
        <v>17.190000000000001</v>
      </c>
      <c r="I3478" t="s">
        <v>27</v>
      </c>
      <c r="J3478" t="s">
        <v>157</v>
      </c>
      <c r="K3478" t="str">
        <f>"521967"</f>
        <v>521967</v>
      </c>
    </row>
    <row r="3479" spans="1:11" x14ac:dyDescent="0.25">
      <c r="A3479">
        <v>2023</v>
      </c>
      <c r="B3479" t="s">
        <v>1295</v>
      </c>
      <c r="C3479" t="s">
        <v>1296</v>
      </c>
      <c r="D3479" t="s">
        <v>58</v>
      </c>
      <c r="E3479" t="s">
        <v>20</v>
      </c>
      <c r="F3479" t="str">
        <f>"43616-4624"</f>
        <v>43616-4624</v>
      </c>
      <c r="G3479" t="str">
        <f>"637573"</f>
        <v>637573</v>
      </c>
      <c r="H3479" s="2">
        <f>10</f>
        <v>10</v>
      </c>
      <c r="I3479" t="s">
        <v>27</v>
      </c>
      <c r="J3479" t="s">
        <v>61</v>
      </c>
      <c r="K3479" t="str">
        <f>"119658"</f>
        <v>119658</v>
      </c>
    </row>
    <row r="3480" spans="1:11" x14ac:dyDescent="0.25">
      <c r="A3480">
        <v>2023</v>
      </c>
      <c r="B3480" t="s">
        <v>1297</v>
      </c>
      <c r="C3480" t="s">
        <v>1298</v>
      </c>
      <c r="D3480" t="s">
        <v>1299</v>
      </c>
      <c r="E3480" t="s">
        <v>20</v>
      </c>
      <c r="F3480" t="str">
        <f>"43504"</f>
        <v>43504</v>
      </c>
      <c r="G3480" t="str">
        <f>"632514"</f>
        <v>632514</v>
      </c>
      <c r="H3480" s="2">
        <f>5</f>
        <v>5</v>
      </c>
      <c r="I3480" t="s">
        <v>27</v>
      </c>
      <c r="J3480" t="s">
        <v>195</v>
      </c>
      <c r="K3480" t="str">
        <f>"22024718"</f>
        <v>22024718</v>
      </c>
    </row>
    <row r="3481" spans="1:11" x14ac:dyDescent="0.25">
      <c r="A3481">
        <v>2023</v>
      </c>
      <c r="B3481" t="s">
        <v>1305</v>
      </c>
      <c r="C3481" t="s">
        <v>1306</v>
      </c>
      <c r="D3481" t="s">
        <v>1307</v>
      </c>
      <c r="E3481" t="s">
        <v>20</v>
      </c>
      <c r="F3481" t="str">
        <f>"43416-9542"</f>
        <v>43416-9542</v>
      </c>
      <c r="G3481" t="str">
        <f>"Je04112023"</f>
        <v>Je04112023</v>
      </c>
      <c r="H3481" s="2">
        <f>2941</f>
        <v>2941</v>
      </c>
      <c r="I3481" t="s">
        <v>15</v>
      </c>
      <c r="J3481" t="s">
        <v>412</v>
      </c>
      <c r="K3481" t="str">
        <f>"60072761"</f>
        <v>60072761</v>
      </c>
    </row>
    <row r="3482" spans="1:11" x14ac:dyDescent="0.25">
      <c r="A3482">
        <v>2023</v>
      </c>
      <c r="B3482" t="s">
        <v>1350</v>
      </c>
      <c r="C3482" t="s">
        <v>1351</v>
      </c>
      <c r="D3482" t="s">
        <v>19</v>
      </c>
      <c r="E3482" t="s">
        <v>20</v>
      </c>
      <c r="F3482" t="str">
        <f>"43611"</f>
        <v>43611</v>
      </c>
      <c r="G3482" t="str">
        <f>"Je12142023"</f>
        <v>Je12142023</v>
      </c>
      <c r="H3482" s="2">
        <f>193.98</f>
        <v>193.98</v>
      </c>
      <c r="I3482" t="s">
        <v>15</v>
      </c>
      <c r="J3482" t="s">
        <v>176</v>
      </c>
      <c r="K3482" t="str">
        <f>"60100039"</f>
        <v>60100039</v>
      </c>
    </row>
    <row r="3483" spans="1:11" x14ac:dyDescent="0.25">
      <c r="A3483">
        <v>2023</v>
      </c>
      <c r="B3483" t="s">
        <v>1366</v>
      </c>
      <c r="C3483" t="s">
        <v>1367</v>
      </c>
      <c r="D3483" t="s">
        <v>19</v>
      </c>
      <c r="E3483" t="s">
        <v>20</v>
      </c>
      <c r="F3483" t="str">
        <f>"43620"</f>
        <v>43620</v>
      </c>
      <c r="G3483" t="str">
        <f>"Je012023"</f>
        <v>Je012023</v>
      </c>
      <c r="H3483" s="2">
        <f>160</f>
        <v>160</v>
      </c>
      <c r="I3483" t="s">
        <v>15</v>
      </c>
      <c r="J3483" t="s">
        <v>397</v>
      </c>
      <c r="K3483" t="str">
        <f>"60059273"</f>
        <v>60059273</v>
      </c>
    </row>
    <row r="3484" spans="1:11" x14ac:dyDescent="0.25">
      <c r="A3484">
        <v>2023</v>
      </c>
      <c r="B3484" t="s">
        <v>1370</v>
      </c>
      <c r="C3484" t="s">
        <v>1371</v>
      </c>
      <c r="D3484" t="s">
        <v>19</v>
      </c>
      <c r="E3484" t="s">
        <v>20</v>
      </c>
      <c r="F3484" t="str">
        <f t="shared" ref="F3484:F3490" si="113">"43614"</f>
        <v>43614</v>
      </c>
      <c r="G3484" t="str">
        <f t="shared" ref="G3484:G3490" si="114">"632482"</f>
        <v>632482</v>
      </c>
      <c r="H3484" s="2">
        <f>1.82</f>
        <v>1.82</v>
      </c>
      <c r="I3484" t="s">
        <v>27</v>
      </c>
      <c r="J3484" t="s">
        <v>157</v>
      </c>
      <c r="K3484" t="str">
        <f>"521852"</f>
        <v>521852</v>
      </c>
    </row>
    <row r="3485" spans="1:11" x14ac:dyDescent="0.25">
      <c r="A3485">
        <v>2023</v>
      </c>
      <c r="B3485" t="s">
        <v>1370</v>
      </c>
      <c r="C3485" t="s">
        <v>1371</v>
      </c>
      <c r="D3485" t="s">
        <v>19</v>
      </c>
      <c r="E3485" t="s">
        <v>20</v>
      </c>
      <c r="F3485" t="str">
        <f t="shared" si="113"/>
        <v>43614</v>
      </c>
      <c r="G3485" t="str">
        <f t="shared" si="114"/>
        <v>632482</v>
      </c>
      <c r="H3485" s="2">
        <f>4.55</f>
        <v>4.55</v>
      </c>
      <c r="I3485" t="s">
        <v>27</v>
      </c>
      <c r="J3485" t="s">
        <v>157</v>
      </c>
      <c r="K3485" t="str">
        <f>"521415"</f>
        <v>521415</v>
      </c>
    </row>
    <row r="3486" spans="1:11" x14ac:dyDescent="0.25">
      <c r="A3486">
        <v>2023</v>
      </c>
      <c r="B3486" t="s">
        <v>1370</v>
      </c>
      <c r="C3486" t="s">
        <v>1371</v>
      </c>
      <c r="D3486" t="s">
        <v>19</v>
      </c>
      <c r="E3486" t="s">
        <v>20</v>
      </c>
      <c r="F3486" t="str">
        <f t="shared" si="113"/>
        <v>43614</v>
      </c>
      <c r="G3486" t="str">
        <f t="shared" si="114"/>
        <v>632482</v>
      </c>
      <c r="H3486" s="2">
        <f>4.55</f>
        <v>4.55</v>
      </c>
      <c r="I3486" t="s">
        <v>27</v>
      </c>
      <c r="J3486" t="s">
        <v>157</v>
      </c>
      <c r="K3486" t="str">
        <f>"521539"</f>
        <v>521539</v>
      </c>
    </row>
    <row r="3487" spans="1:11" x14ac:dyDescent="0.25">
      <c r="A3487">
        <v>2023</v>
      </c>
      <c r="B3487" t="s">
        <v>1370</v>
      </c>
      <c r="C3487" t="s">
        <v>1371</v>
      </c>
      <c r="D3487" t="s">
        <v>19</v>
      </c>
      <c r="E3487" t="s">
        <v>20</v>
      </c>
      <c r="F3487" t="str">
        <f t="shared" si="113"/>
        <v>43614</v>
      </c>
      <c r="G3487" t="str">
        <f t="shared" si="114"/>
        <v>632482</v>
      </c>
      <c r="H3487" s="2">
        <f>2.28</f>
        <v>2.2799999999999998</v>
      </c>
      <c r="I3487" t="s">
        <v>27</v>
      </c>
      <c r="J3487" t="s">
        <v>157</v>
      </c>
      <c r="K3487" t="str">
        <f>"521075"</f>
        <v>521075</v>
      </c>
    </row>
    <row r="3488" spans="1:11" x14ac:dyDescent="0.25">
      <c r="A3488">
        <v>2023</v>
      </c>
      <c r="B3488" t="s">
        <v>1370</v>
      </c>
      <c r="C3488" t="s">
        <v>1371</v>
      </c>
      <c r="D3488" t="s">
        <v>19</v>
      </c>
      <c r="E3488" t="s">
        <v>20</v>
      </c>
      <c r="F3488" t="str">
        <f t="shared" si="113"/>
        <v>43614</v>
      </c>
      <c r="G3488" t="str">
        <f t="shared" si="114"/>
        <v>632482</v>
      </c>
      <c r="H3488" s="2">
        <f>4.55</f>
        <v>4.55</v>
      </c>
      <c r="I3488" t="s">
        <v>27</v>
      </c>
      <c r="J3488" t="s">
        <v>157</v>
      </c>
      <c r="K3488" t="str">
        <f>"520601"</f>
        <v>520601</v>
      </c>
    </row>
    <row r="3489" spans="1:11" x14ac:dyDescent="0.25">
      <c r="A3489">
        <v>2023</v>
      </c>
      <c r="B3489" t="s">
        <v>1370</v>
      </c>
      <c r="C3489" t="s">
        <v>1371</v>
      </c>
      <c r="D3489" t="s">
        <v>19</v>
      </c>
      <c r="E3489" t="s">
        <v>20</v>
      </c>
      <c r="F3489" t="str">
        <f t="shared" si="113"/>
        <v>43614</v>
      </c>
      <c r="G3489" t="str">
        <f t="shared" si="114"/>
        <v>632482</v>
      </c>
      <c r="H3489" s="2">
        <f>2.28</f>
        <v>2.2799999999999998</v>
      </c>
      <c r="I3489" t="s">
        <v>27</v>
      </c>
      <c r="J3489" t="s">
        <v>157</v>
      </c>
      <c r="K3489" t="str">
        <f>"522257"</f>
        <v>522257</v>
      </c>
    </row>
    <row r="3490" spans="1:11" x14ac:dyDescent="0.25">
      <c r="A3490">
        <v>2023</v>
      </c>
      <c r="B3490" t="s">
        <v>1370</v>
      </c>
      <c r="C3490" t="s">
        <v>1371</v>
      </c>
      <c r="D3490" t="s">
        <v>19</v>
      </c>
      <c r="E3490" t="s">
        <v>20</v>
      </c>
      <c r="F3490" t="str">
        <f t="shared" si="113"/>
        <v>43614</v>
      </c>
      <c r="G3490" t="str">
        <f t="shared" si="114"/>
        <v>632482</v>
      </c>
      <c r="H3490" s="2">
        <f>4.55</f>
        <v>4.55</v>
      </c>
      <c r="I3490" t="s">
        <v>27</v>
      </c>
      <c r="J3490" t="s">
        <v>157</v>
      </c>
      <c r="K3490" t="str">
        <f>"520822"</f>
        <v>520822</v>
      </c>
    </row>
    <row r="3491" spans="1:11" x14ac:dyDescent="0.25">
      <c r="A3491">
        <v>2023</v>
      </c>
      <c r="B3491" t="s">
        <v>1391</v>
      </c>
      <c r="C3491" t="s">
        <v>1392</v>
      </c>
      <c r="D3491" t="s">
        <v>19</v>
      </c>
      <c r="E3491" t="s">
        <v>20</v>
      </c>
      <c r="F3491" t="str">
        <f>"43615"</f>
        <v>43615</v>
      </c>
      <c r="G3491" t="str">
        <f>"632483"</f>
        <v>632483</v>
      </c>
      <c r="H3491" s="2">
        <f>40</f>
        <v>40</v>
      </c>
      <c r="I3491" t="s">
        <v>27</v>
      </c>
      <c r="J3491" t="s">
        <v>108</v>
      </c>
      <c r="K3491" t="str">
        <f>"39712"</f>
        <v>39712</v>
      </c>
    </row>
    <row r="3492" spans="1:11" x14ac:dyDescent="0.25">
      <c r="A3492">
        <v>2023</v>
      </c>
      <c r="B3492" t="s">
        <v>1399</v>
      </c>
      <c r="C3492" t="s">
        <v>1400</v>
      </c>
      <c r="D3492" t="s">
        <v>19</v>
      </c>
      <c r="E3492" t="s">
        <v>20</v>
      </c>
      <c r="F3492" t="str">
        <f>"43623"</f>
        <v>43623</v>
      </c>
      <c r="G3492" t="str">
        <f>"632483"</f>
        <v>632483</v>
      </c>
      <c r="H3492" s="2">
        <f>17.4</f>
        <v>17.399999999999999</v>
      </c>
      <c r="I3492" t="s">
        <v>27</v>
      </c>
      <c r="J3492" t="s">
        <v>108</v>
      </c>
      <c r="K3492" t="str">
        <f>"38540"</f>
        <v>38540</v>
      </c>
    </row>
    <row r="3493" spans="1:11" x14ac:dyDescent="0.25">
      <c r="A3493">
        <v>2023</v>
      </c>
      <c r="B3493" t="s">
        <v>1411</v>
      </c>
      <c r="C3493" t="s">
        <v>1412</v>
      </c>
      <c r="D3493" t="s">
        <v>105</v>
      </c>
      <c r="E3493" t="s">
        <v>20</v>
      </c>
      <c r="F3493" t="str">
        <f>"43528-9507"</f>
        <v>43528-9507</v>
      </c>
      <c r="G3493" t="str">
        <f>"637573"</f>
        <v>637573</v>
      </c>
      <c r="H3493" s="2">
        <f>10</f>
        <v>10</v>
      </c>
      <c r="I3493" t="s">
        <v>27</v>
      </c>
      <c r="J3493" t="s">
        <v>61</v>
      </c>
      <c r="K3493" t="str">
        <f>"120887"</f>
        <v>120887</v>
      </c>
    </row>
    <row r="3494" spans="1:11" x14ac:dyDescent="0.25">
      <c r="A3494">
        <v>2023</v>
      </c>
      <c r="B3494" t="s">
        <v>1422</v>
      </c>
      <c r="C3494" t="s">
        <v>1423</v>
      </c>
      <c r="D3494" t="s">
        <v>111</v>
      </c>
      <c r="E3494" t="s">
        <v>20</v>
      </c>
      <c r="F3494" t="str">
        <f>"43213"</f>
        <v>43213</v>
      </c>
      <c r="G3494" t="str">
        <f>"632514"</f>
        <v>632514</v>
      </c>
      <c r="H3494" s="2">
        <f>1.5</f>
        <v>1.5</v>
      </c>
      <c r="I3494" t="s">
        <v>27</v>
      </c>
      <c r="J3494" t="s">
        <v>195</v>
      </c>
      <c r="K3494" t="str">
        <f>"11004327"</f>
        <v>11004327</v>
      </c>
    </row>
    <row r="3495" spans="1:11" x14ac:dyDescent="0.25">
      <c r="A3495">
        <v>2023</v>
      </c>
      <c r="B3495" t="s">
        <v>1436</v>
      </c>
      <c r="C3495" t="s">
        <v>1437</v>
      </c>
      <c r="D3495" t="s">
        <v>19</v>
      </c>
      <c r="E3495" t="s">
        <v>20</v>
      </c>
      <c r="F3495" t="str">
        <f>"43614-1156"</f>
        <v>43614-1156</v>
      </c>
      <c r="G3495" t="str">
        <f>"637573"</f>
        <v>637573</v>
      </c>
      <c r="H3495" s="2">
        <f>40</f>
        <v>40</v>
      </c>
      <c r="I3495" t="s">
        <v>27</v>
      </c>
      <c r="J3495" t="s">
        <v>61</v>
      </c>
      <c r="K3495" t="str">
        <f>"120783"</f>
        <v>120783</v>
      </c>
    </row>
    <row r="3496" spans="1:11" x14ac:dyDescent="0.25">
      <c r="A3496">
        <v>2023</v>
      </c>
      <c r="B3496" t="s">
        <v>1436</v>
      </c>
      <c r="C3496" t="s">
        <v>1437</v>
      </c>
      <c r="D3496" t="s">
        <v>19</v>
      </c>
      <c r="E3496" t="s">
        <v>20</v>
      </c>
      <c r="F3496" t="str">
        <f>"43614-1156"</f>
        <v>43614-1156</v>
      </c>
      <c r="G3496" t="str">
        <f>"637573"</f>
        <v>637573</v>
      </c>
      <c r="H3496" s="2">
        <f>40</f>
        <v>40</v>
      </c>
      <c r="I3496" t="s">
        <v>27</v>
      </c>
      <c r="J3496" t="s">
        <v>61</v>
      </c>
      <c r="K3496" t="str">
        <f>"120839"</f>
        <v>120839</v>
      </c>
    </row>
    <row r="3497" spans="1:11" x14ac:dyDescent="0.25">
      <c r="A3497">
        <v>2023</v>
      </c>
      <c r="B3497" t="s">
        <v>1438</v>
      </c>
      <c r="C3497" t="s">
        <v>1439</v>
      </c>
      <c r="D3497" t="s">
        <v>899</v>
      </c>
      <c r="E3497" t="s">
        <v>20</v>
      </c>
      <c r="F3497" t="str">
        <f>"43412-9715"</f>
        <v>43412-9715</v>
      </c>
      <c r="G3497" t="str">
        <f>"637573"</f>
        <v>637573</v>
      </c>
      <c r="H3497" s="2">
        <f>30</f>
        <v>30</v>
      </c>
      <c r="I3497" t="s">
        <v>27</v>
      </c>
      <c r="J3497" t="s">
        <v>61</v>
      </c>
      <c r="K3497" t="str">
        <f>"118534"</f>
        <v>118534</v>
      </c>
    </row>
    <row r="3498" spans="1:11" x14ac:dyDescent="0.25">
      <c r="A3498">
        <v>2023</v>
      </c>
      <c r="B3498" t="s">
        <v>1438</v>
      </c>
      <c r="C3498" t="s">
        <v>1439</v>
      </c>
      <c r="D3498" t="s">
        <v>899</v>
      </c>
      <c r="E3498" t="s">
        <v>20</v>
      </c>
      <c r="F3498" t="str">
        <f>"43412-9715"</f>
        <v>43412-9715</v>
      </c>
      <c r="G3498" t="str">
        <f>"637573"</f>
        <v>637573</v>
      </c>
      <c r="H3498" s="2">
        <f>30</f>
        <v>30</v>
      </c>
      <c r="I3498" t="s">
        <v>27</v>
      </c>
      <c r="J3498" t="s">
        <v>61</v>
      </c>
      <c r="K3498" t="str">
        <f>"118587"</f>
        <v>118587</v>
      </c>
    </row>
    <row r="3499" spans="1:11" x14ac:dyDescent="0.25">
      <c r="A3499">
        <v>2023</v>
      </c>
      <c r="B3499" t="s">
        <v>1440</v>
      </c>
      <c r="C3499" t="s">
        <v>1441</v>
      </c>
      <c r="D3499" t="s">
        <v>19</v>
      </c>
      <c r="E3499" t="s">
        <v>20</v>
      </c>
      <c r="F3499" t="str">
        <f>"43623-3863"</f>
        <v>43623-3863</v>
      </c>
      <c r="G3499" t="str">
        <f>"637573"</f>
        <v>637573</v>
      </c>
      <c r="H3499" s="2">
        <f>10</f>
        <v>10</v>
      </c>
      <c r="I3499" t="s">
        <v>27</v>
      </c>
      <c r="J3499" t="s">
        <v>61</v>
      </c>
      <c r="K3499" t="str">
        <f>"119633"</f>
        <v>119633</v>
      </c>
    </row>
    <row r="3500" spans="1:11" x14ac:dyDescent="0.25">
      <c r="A3500">
        <v>2023</v>
      </c>
      <c r="B3500" t="s">
        <v>1442</v>
      </c>
      <c r="C3500" t="s">
        <v>1443</v>
      </c>
      <c r="D3500" t="s">
        <v>19</v>
      </c>
      <c r="E3500" t="s">
        <v>20</v>
      </c>
      <c r="F3500" t="str">
        <f>"43617"</f>
        <v>43617</v>
      </c>
      <c r="G3500" t="str">
        <f>"632482"</f>
        <v>632482</v>
      </c>
      <c r="H3500" s="2">
        <f>122.75</f>
        <v>122.75</v>
      </c>
      <c r="I3500" t="s">
        <v>27</v>
      </c>
      <c r="J3500" t="s">
        <v>157</v>
      </c>
      <c r="K3500" t="str">
        <f>"521954"</f>
        <v>521954</v>
      </c>
    </row>
    <row r="3501" spans="1:11" x14ac:dyDescent="0.25">
      <c r="A3501">
        <v>2023</v>
      </c>
      <c r="B3501" t="s">
        <v>1454</v>
      </c>
      <c r="C3501" t="s">
        <v>1455</v>
      </c>
      <c r="D3501" t="s">
        <v>19</v>
      </c>
      <c r="E3501" t="s">
        <v>20</v>
      </c>
      <c r="F3501" t="str">
        <f>"43615"</f>
        <v>43615</v>
      </c>
      <c r="G3501" t="str">
        <f>"Je12142023"</f>
        <v>Je12142023</v>
      </c>
      <c r="H3501" s="2">
        <f>197.28</f>
        <v>197.28</v>
      </c>
      <c r="I3501" t="s">
        <v>15</v>
      </c>
      <c r="J3501" t="s">
        <v>176</v>
      </c>
      <c r="K3501" t="str">
        <f>"60097157"</f>
        <v>60097157</v>
      </c>
    </row>
    <row r="3502" spans="1:11" x14ac:dyDescent="0.25">
      <c r="A3502">
        <v>2023</v>
      </c>
      <c r="B3502" t="s">
        <v>1456</v>
      </c>
      <c r="C3502" t="s">
        <v>1457</v>
      </c>
      <c r="D3502" t="s">
        <v>19</v>
      </c>
      <c r="E3502" t="s">
        <v>20</v>
      </c>
      <c r="F3502" t="str">
        <f>"43611"</f>
        <v>43611</v>
      </c>
      <c r="G3502" t="str">
        <f>"Je12142023"</f>
        <v>Je12142023</v>
      </c>
      <c r="H3502" s="2">
        <f>24.08</f>
        <v>24.08</v>
      </c>
      <c r="I3502" t="s">
        <v>15</v>
      </c>
      <c r="J3502" t="s">
        <v>176</v>
      </c>
      <c r="K3502" t="str">
        <f>"60045913"</f>
        <v>60045913</v>
      </c>
    </row>
    <row r="3503" spans="1:11" x14ac:dyDescent="0.25">
      <c r="A3503">
        <v>2023</v>
      </c>
      <c r="B3503" t="s">
        <v>1460</v>
      </c>
      <c r="C3503" t="s">
        <v>1461</v>
      </c>
      <c r="D3503" t="s">
        <v>19</v>
      </c>
      <c r="E3503" t="s">
        <v>20</v>
      </c>
      <c r="F3503" t="str">
        <f>"43605"</f>
        <v>43605</v>
      </c>
      <c r="G3503" t="str">
        <f>"632482"</f>
        <v>632482</v>
      </c>
      <c r="H3503" s="2">
        <f>50</f>
        <v>50</v>
      </c>
      <c r="I3503" t="s">
        <v>27</v>
      </c>
      <c r="J3503" t="s">
        <v>157</v>
      </c>
      <c r="K3503" t="str">
        <f>"522434"</f>
        <v>522434</v>
      </c>
    </row>
    <row r="3504" spans="1:11" x14ac:dyDescent="0.25">
      <c r="A3504">
        <v>2023</v>
      </c>
      <c r="B3504" t="s">
        <v>1460</v>
      </c>
      <c r="C3504" t="s">
        <v>1461</v>
      </c>
      <c r="D3504" t="s">
        <v>19</v>
      </c>
      <c r="E3504" t="s">
        <v>20</v>
      </c>
      <c r="F3504" t="str">
        <f>"43605"</f>
        <v>43605</v>
      </c>
      <c r="G3504" t="str">
        <f>"632482"</f>
        <v>632482</v>
      </c>
      <c r="H3504" s="2">
        <f>286</f>
        <v>286</v>
      </c>
      <c r="I3504" t="s">
        <v>27</v>
      </c>
      <c r="J3504" t="s">
        <v>157</v>
      </c>
      <c r="K3504" t="str">
        <f>"522534"</f>
        <v>522534</v>
      </c>
    </row>
    <row r="3505" spans="1:11" x14ac:dyDescent="0.25">
      <c r="A3505">
        <v>2023</v>
      </c>
      <c r="B3505" t="s">
        <v>1470</v>
      </c>
      <c r="C3505" t="s">
        <v>1471</v>
      </c>
      <c r="D3505" t="s">
        <v>19</v>
      </c>
      <c r="E3505" t="s">
        <v>20</v>
      </c>
      <c r="F3505" t="str">
        <f>"43611-1030"</f>
        <v>43611-1030</v>
      </c>
      <c r="G3505" t="str">
        <f>"637573"</f>
        <v>637573</v>
      </c>
      <c r="H3505" s="2">
        <f>40</f>
        <v>40</v>
      </c>
      <c r="I3505" t="s">
        <v>27</v>
      </c>
      <c r="J3505" t="s">
        <v>61</v>
      </c>
      <c r="K3505" t="str">
        <f>"120840"</f>
        <v>120840</v>
      </c>
    </row>
    <row r="3506" spans="1:11" x14ac:dyDescent="0.25">
      <c r="A3506">
        <v>2023</v>
      </c>
      <c r="B3506" t="s">
        <v>1488</v>
      </c>
      <c r="C3506" t="s">
        <v>1489</v>
      </c>
      <c r="D3506" t="s">
        <v>19</v>
      </c>
      <c r="E3506" t="s">
        <v>20</v>
      </c>
      <c r="F3506" t="str">
        <f>"43612-1132"</f>
        <v>43612-1132</v>
      </c>
      <c r="G3506" t="str">
        <f>"637573"</f>
        <v>637573</v>
      </c>
      <c r="H3506" s="2">
        <f>50</f>
        <v>50</v>
      </c>
      <c r="I3506" t="s">
        <v>27</v>
      </c>
      <c r="J3506" t="s">
        <v>61</v>
      </c>
      <c r="K3506" t="str">
        <f>"120252"</f>
        <v>120252</v>
      </c>
    </row>
    <row r="3507" spans="1:11" x14ac:dyDescent="0.25">
      <c r="A3507">
        <v>2023</v>
      </c>
      <c r="B3507" t="s">
        <v>1498</v>
      </c>
      <c r="C3507" t="s">
        <v>1499</v>
      </c>
      <c r="D3507" t="s">
        <v>50</v>
      </c>
      <c r="E3507" t="s">
        <v>20</v>
      </c>
      <c r="F3507" t="str">
        <f>"43560-1808"</f>
        <v>43560-1808</v>
      </c>
      <c r="G3507" t="str">
        <f>"637573"</f>
        <v>637573</v>
      </c>
      <c r="H3507" s="2">
        <f>20</f>
        <v>20</v>
      </c>
      <c r="I3507" t="s">
        <v>27</v>
      </c>
      <c r="J3507" t="s">
        <v>61</v>
      </c>
      <c r="K3507" t="str">
        <f>"119889"</f>
        <v>119889</v>
      </c>
    </row>
    <row r="3508" spans="1:11" x14ac:dyDescent="0.25">
      <c r="A3508">
        <v>2023</v>
      </c>
      <c r="B3508" t="s">
        <v>1517</v>
      </c>
      <c r="C3508" t="s">
        <v>1518</v>
      </c>
      <c r="D3508" t="s">
        <v>323</v>
      </c>
      <c r="E3508" t="s">
        <v>20</v>
      </c>
      <c r="F3508" t="str">
        <f>"43571"</f>
        <v>43571</v>
      </c>
      <c r="G3508" t="str">
        <f>"Je12142023"</f>
        <v>Je12142023</v>
      </c>
      <c r="H3508" s="2">
        <f>365</f>
        <v>365</v>
      </c>
      <c r="I3508" t="s">
        <v>15</v>
      </c>
      <c r="J3508" t="s">
        <v>176</v>
      </c>
      <c r="K3508" t="str">
        <f>"60103227"</f>
        <v>60103227</v>
      </c>
    </row>
    <row r="3509" spans="1:11" x14ac:dyDescent="0.25">
      <c r="A3509">
        <v>2023</v>
      </c>
      <c r="B3509" t="s">
        <v>1519</v>
      </c>
      <c r="C3509" t="s">
        <v>1520</v>
      </c>
      <c r="D3509" t="s">
        <v>19</v>
      </c>
      <c r="E3509" t="s">
        <v>20</v>
      </c>
      <c r="F3509" t="str">
        <f>"43604"</f>
        <v>43604</v>
      </c>
      <c r="G3509" t="str">
        <f>"632483"</f>
        <v>632483</v>
      </c>
      <c r="H3509" s="2">
        <f>2.6</f>
        <v>2.6</v>
      </c>
      <c r="I3509" t="s">
        <v>27</v>
      </c>
      <c r="J3509" t="s">
        <v>108</v>
      </c>
      <c r="K3509" t="str">
        <f>"38769"</f>
        <v>38769</v>
      </c>
    </row>
    <row r="3510" spans="1:11" x14ac:dyDescent="0.25">
      <c r="A3510">
        <v>2023</v>
      </c>
      <c r="B3510" t="s">
        <v>1527</v>
      </c>
      <c r="C3510" t="s">
        <v>1528</v>
      </c>
      <c r="D3510" t="s">
        <v>422</v>
      </c>
      <c r="E3510" t="s">
        <v>20</v>
      </c>
      <c r="F3510" t="str">
        <f>"44114"</f>
        <v>44114</v>
      </c>
      <c r="G3510" t="str">
        <f>"632483"</f>
        <v>632483</v>
      </c>
      <c r="H3510" s="2">
        <f>362.71</f>
        <v>362.71</v>
      </c>
      <c r="I3510" t="s">
        <v>27</v>
      </c>
      <c r="J3510" t="s">
        <v>108</v>
      </c>
      <c r="K3510" t="str">
        <f>"39949"</f>
        <v>39949</v>
      </c>
    </row>
    <row r="3511" spans="1:11" x14ac:dyDescent="0.25">
      <c r="A3511">
        <v>2023</v>
      </c>
      <c r="B3511" t="s">
        <v>1535</v>
      </c>
      <c r="C3511" t="s">
        <v>1536</v>
      </c>
      <c r="D3511" t="s">
        <v>50</v>
      </c>
      <c r="E3511" t="s">
        <v>20</v>
      </c>
      <c r="F3511" t="str">
        <f>"43560-9003"</f>
        <v>43560-9003</v>
      </c>
      <c r="G3511" t="str">
        <f>"637573"</f>
        <v>637573</v>
      </c>
      <c r="H3511" s="2">
        <f>10</f>
        <v>10</v>
      </c>
      <c r="I3511" t="s">
        <v>27</v>
      </c>
      <c r="J3511" t="s">
        <v>61</v>
      </c>
      <c r="K3511" t="str">
        <f>"119497"</f>
        <v>119497</v>
      </c>
    </row>
    <row r="3512" spans="1:11" x14ac:dyDescent="0.25">
      <c r="A3512">
        <v>2023</v>
      </c>
      <c r="B3512" t="s">
        <v>1537</v>
      </c>
      <c r="C3512" t="s">
        <v>1538</v>
      </c>
      <c r="D3512" t="s">
        <v>19</v>
      </c>
      <c r="E3512" t="s">
        <v>20</v>
      </c>
      <c r="F3512" t="str">
        <f>"43615-5748"</f>
        <v>43615-5748</v>
      </c>
      <c r="G3512" t="str">
        <f>"637573"</f>
        <v>637573</v>
      </c>
      <c r="H3512" s="2">
        <f>10</f>
        <v>10</v>
      </c>
      <c r="I3512" t="s">
        <v>27</v>
      </c>
      <c r="J3512" t="s">
        <v>61</v>
      </c>
      <c r="K3512" t="str">
        <f>"119659"</f>
        <v>119659</v>
      </c>
    </row>
    <row r="3513" spans="1:11" x14ac:dyDescent="0.25">
      <c r="A3513">
        <v>2023</v>
      </c>
      <c r="B3513" t="s">
        <v>1545</v>
      </c>
      <c r="C3513" t="s">
        <v>1546</v>
      </c>
      <c r="D3513" t="s">
        <v>19</v>
      </c>
      <c r="E3513" t="s">
        <v>20</v>
      </c>
      <c r="F3513" t="str">
        <f>"43611-1558"</f>
        <v>43611-1558</v>
      </c>
      <c r="G3513" t="str">
        <f>"637573"</f>
        <v>637573</v>
      </c>
      <c r="H3513" s="2">
        <f>10</f>
        <v>10</v>
      </c>
      <c r="I3513" t="s">
        <v>27</v>
      </c>
      <c r="J3513" t="s">
        <v>61</v>
      </c>
      <c r="K3513" t="str">
        <f>"118769"</f>
        <v>118769</v>
      </c>
    </row>
    <row r="3514" spans="1:11" x14ac:dyDescent="0.25">
      <c r="A3514">
        <v>2023</v>
      </c>
      <c r="B3514" t="s">
        <v>1575</v>
      </c>
      <c r="C3514" t="s">
        <v>1576</v>
      </c>
      <c r="D3514" t="s">
        <v>19</v>
      </c>
      <c r="E3514" t="s">
        <v>20</v>
      </c>
      <c r="F3514" t="str">
        <f>"43607-2105"</f>
        <v>43607-2105</v>
      </c>
      <c r="G3514" t="str">
        <f>"637573"</f>
        <v>637573</v>
      </c>
      <c r="H3514" s="2">
        <f>10</f>
        <v>10</v>
      </c>
      <c r="I3514" t="s">
        <v>27</v>
      </c>
      <c r="J3514" t="s">
        <v>61</v>
      </c>
      <c r="K3514" t="str">
        <f>"118770"</f>
        <v>118770</v>
      </c>
    </row>
    <row r="3515" spans="1:11" x14ac:dyDescent="0.25">
      <c r="A3515">
        <v>2023</v>
      </c>
      <c r="B3515" t="s">
        <v>1577</v>
      </c>
      <c r="C3515" t="s">
        <v>1578</v>
      </c>
      <c r="D3515" t="s">
        <v>19</v>
      </c>
      <c r="E3515" t="s">
        <v>20</v>
      </c>
      <c r="F3515" t="str">
        <f>"43604"</f>
        <v>43604</v>
      </c>
      <c r="G3515" t="str">
        <f>"Je12142023"</f>
        <v>Je12142023</v>
      </c>
      <c r="H3515" s="2">
        <f>35</f>
        <v>35</v>
      </c>
      <c r="I3515" t="s">
        <v>15</v>
      </c>
      <c r="J3515" t="s">
        <v>176</v>
      </c>
      <c r="K3515" t="str">
        <f>"60103514"</f>
        <v>60103514</v>
      </c>
    </row>
    <row r="3516" spans="1:11" x14ac:dyDescent="0.25">
      <c r="A3516">
        <v>2023</v>
      </c>
      <c r="B3516" t="s">
        <v>1581</v>
      </c>
      <c r="C3516" t="s">
        <v>1582</v>
      </c>
      <c r="D3516" t="s">
        <v>164</v>
      </c>
      <c r="E3516" t="s">
        <v>20</v>
      </c>
      <c r="F3516" t="str">
        <f>"43558-9474"</f>
        <v>43558-9474</v>
      </c>
      <c r="G3516" t="str">
        <f>"637573"</f>
        <v>637573</v>
      </c>
      <c r="H3516" s="2">
        <f>10</f>
        <v>10</v>
      </c>
      <c r="I3516" t="s">
        <v>27</v>
      </c>
      <c r="J3516" t="s">
        <v>61</v>
      </c>
      <c r="K3516" t="str">
        <f>"119817"</f>
        <v>119817</v>
      </c>
    </row>
    <row r="3517" spans="1:11" x14ac:dyDescent="0.25">
      <c r="A3517">
        <v>2023</v>
      </c>
      <c r="B3517" t="s">
        <v>1583</v>
      </c>
      <c r="C3517" t="s">
        <v>1584</v>
      </c>
      <c r="D3517" t="s">
        <v>19</v>
      </c>
      <c r="E3517" t="s">
        <v>20</v>
      </c>
      <c r="F3517" t="str">
        <f>"43612"</f>
        <v>43612</v>
      </c>
      <c r="G3517" t="str">
        <f>"632482"</f>
        <v>632482</v>
      </c>
      <c r="H3517" s="2">
        <f>5</f>
        <v>5</v>
      </c>
      <c r="I3517" t="s">
        <v>27</v>
      </c>
      <c r="J3517" t="s">
        <v>157</v>
      </c>
      <c r="K3517" t="str">
        <f>"521452"</f>
        <v>521452</v>
      </c>
    </row>
    <row r="3518" spans="1:11" x14ac:dyDescent="0.25">
      <c r="A3518">
        <v>2023</v>
      </c>
      <c r="B3518" t="s">
        <v>1585</v>
      </c>
      <c r="C3518" t="s">
        <v>1586</v>
      </c>
      <c r="D3518" t="s">
        <v>19</v>
      </c>
      <c r="E3518" t="s">
        <v>20</v>
      </c>
      <c r="F3518" t="str">
        <f>"43612"</f>
        <v>43612</v>
      </c>
      <c r="G3518" t="str">
        <f>"632482"</f>
        <v>632482</v>
      </c>
      <c r="H3518" s="2">
        <f>50</f>
        <v>50</v>
      </c>
      <c r="I3518" t="s">
        <v>27</v>
      </c>
      <c r="J3518" t="s">
        <v>157</v>
      </c>
      <c r="K3518" t="str">
        <f>"521407"</f>
        <v>521407</v>
      </c>
    </row>
    <row r="3519" spans="1:11" x14ac:dyDescent="0.25">
      <c r="A3519">
        <v>2023</v>
      </c>
      <c r="B3519" t="s">
        <v>1597</v>
      </c>
      <c r="C3519" t="s">
        <v>1598</v>
      </c>
      <c r="D3519" t="s">
        <v>19</v>
      </c>
      <c r="E3519" t="s">
        <v>20</v>
      </c>
      <c r="F3519" t="str">
        <f>"43605"</f>
        <v>43605</v>
      </c>
      <c r="G3519" t="str">
        <f>"632514"</f>
        <v>632514</v>
      </c>
      <c r="H3519" s="2">
        <f>3</f>
        <v>3</v>
      </c>
      <c r="I3519" t="s">
        <v>27</v>
      </c>
      <c r="J3519" t="s">
        <v>195</v>
      </c>
      <c r="K3519" t="str">
        <f>"44009142"</f>
        <v>44009142</v>
      </c>
    </row>
    <row r="3520" spans="1:11" x14ac:dyDescent="0.25">
      <c r="A3520">
        <v>2023</v>
      </c>
      <c r="B3520" t="s">
        <v>1601</v>
      </c>
      <c r="C3520" t="s">
        <v>1602</v>
      </c>
      <c r="D3520" t="s">
        <v>19</v>
      </c>
      <c r="E3520" t="s">
        <v>20</v>
      </c>
      <c r="F3520" t="str">
        <f>"43614"</f>
        <v>43614</v>
      </c>
      <c r="G3520" t="str">
        <f>"632483"</f>
        <v>632483</v>
      </c>
      <c r="H3520" s="2">
        <f>20</f>
        <v>20</v>
      </c>
      <c r="I3520" t="s">
        <v>27</v>
      </c>
      <c r="J3520" t="s">
        <v>108</v>
      </c>
      <c r="K3520" t="str">
        <f>"39523"</f>
        <v>39523</v>
      </c>
    </row>
    <row r="3521" spans="1:11" x14ac:dyDescent="0.25">
      <c r="A3521">
        <v>2023</v>
      </c>
      <c r="B3521" t="s">
        <v>1603</v>
      </c>
      <c r="C3521" t="s">
        <v>1604</v>
      </c>
      <c r="D3521" t="s">
        <v>19</v>
      </c>
      <c r="E3521" t="s">
        <v>20</v>
      </c>
      <c r="F3521" t="str">
        <f>"43608-2165"</f>
        <v>43608-2165</v>
      </c>
      <c r="G3521" t="str">
        <f>"637573"</f>
        <v>637573</v>
      </c>
      <c r="H3521" s="2">
        <f>10</f>
        <v>10</v>
      </c>
      <c r="I3521" t="s">
        <v>27</v>
      </c>
      <c r="J3521" t="s">
        <v>61</v>
      </c>
      <c r="K3521" t="str">
        <f>"120187"</f>
        <v>120187</v>
      </c>
    </row>
    <row r="3522" spans="1:11" x14ac:dyDescent="0.25">
      <c r="A3522">
        <v>2023</v>
      </c>
      <c r="B3522" t="s">
        <v>1639</v>
      </c>
      <c r="C3522" t="s">
        <v>1640</v>
      </c>
      <c r="D3522" t="s">
        <v>19</v>
      </c>
      <c r="E3522" t="s">
        <v>20</v>
      </c>
      <c r="F3522" t="str">
        <f>"43605"</f>
        <v>43605</v>
      </c>
      <c r="G3522" t="str">
        <f>"Je12142023"</f>
        <v>Je12142023</v>
      </c>
      <c r="H3522" s="2">
        <f>57.7</f>
        <v>57.7</v>
      </c>
      <c r="I3522" t="s">
        <v>15</v>
      </c>
      <c r="J3522" t="s">
        <v>176</v>
      </c>
      <c r="K3522" t="str">
        <f>"60100041"</f>
        <v>60100041</v>
      </c>
    </row>
    <row r="3523" spans="1:11" x14ac:dyDescent="0.25">
      <c r="A3523">
        <v>2023</v>
      </c>
      <c r="B3523" t="s">
        <v>1667</v>
      </c>
      <c r="C3523" t="s">
        <v>1668</v>
      </c>
      <c r="D3523" t="s">
        <v>19</v>
      </c>
      <c r="E3523" t="s">
        <v>20</v>
      </c>
      <c r="F3523" t="str">
        <f>"43607-2370"</f>
        <v>43607-2370</v>
      </c>
      <c r="G3523" t="str">
        <f>"637573"</f>
        <v>637573</v>
      </c>
      <c r="H3523" s="2">
        <f>40</f>
        <v>40</v>
      </c>
      <c r="I3523" t="s">
        <v>27</v>
      </c>
      <c r="J3523" t="s">
        <v>61</v>
      </c>
      <c r="K3523" t="str">
        <f>"118884"</f>
        <v>118884</v>
      </c>
    </row>
    <row r="3524" spans="1:11" x14ac:dyDescent="0.25">
      <c r="A3524">
        <v>2023</v>
      </c>
      <c r="B3524" t="s">
        <v>1667</v>
      </c>
      <c r="C3524" t="s">
        <v>1668</v>
      </c>
      <c r="D3524" t="s">
        <v>19</v>
      </c>
      <c r="E3524" t="s">
        <v>20</v>
      </c>
      <c r="F3524" t="str">
        <f>"43607-2370"</f>
        <v>43607-2370</v>
      </c>
      <c r="G3524" t="str">
        <f>"637573"</f>
        <v>637573</v>
      </c>
      <c r="H3524" s="2">
        <f>30</f>
        <v>30</v>
      </c>
      <c r="I3524" t="s">
        <v>27</v>
      </c>
      <c r="J3524" t="s">
        <v>61</v>
      </c>
      <c r="K3524" t="str">
        <f>"118947"</f>
        <v>118947</v>
      </c>
    </row>
    <row r="3525" spans="1:11" x14ac:dyDescent="0.25">
      <c r="A3525">
        <v>2023</v>
      </c>
      <c r="B3525" t="s">
        <v>1671</v>
      </c>
      <c r="C3525" t="s">
        <v>1672</v>
      </c>
      <c r="D3525" t="s">
        <v>19</v>
      </c>
      <c r="E3525" t="s">
        <v>20</v>
      </c>
      <c r="F3525" t="str">
        <f>"43612"</f>
        <v>43612</v>
      </c>
      <c r="G3525" t="str">
        <f>"Je04112023"</f>
        <v>Je04112023</v>
      </c>
      <c r="H3525" s="2">
        <f>200.17</f>
        <v>200.17</v>
      </c>
      <c r="I3525" t="s">
        <v>15</v>
      </c>
      <c r="J3525" t="s">
        <v>412</v>
      </c>
      <c r="K3525" t="str">
        <f>"60074861"</f>
        <v>60074861</v>
      </c>
    </row>
    <row r="3526" spans="1:11" x14ac:dyDescent="0.25">
      <c r="A3526">
        <v>2023</v>
      </c>
      <c r="B3526" t="s">
        <v>1673</v>
      </c>
      <c r="C3526" t="s">
        <v>1674</v>
      </c>
      <c r="D3526" t="s">
        <v>19</v>
      </c>
      <c r="E3526" t="s">
        <v>20</v>
      </c>
      <c r="F3526" t="str">
        <f>"43605"</f>
        <v>43605</v>
      </c>
      <c r="G3526" t="str">
        <f>"589332"</f>
        <v>589332</v>
      </c>
      <c r="H3526" s="2">
        <f>10</f>
        <v>10</v>
      </c>
      <c r="I3526" t="s">
        <v>519</v>
      </c>
      <c r="J3526" t="s">
        <v>519</v>
      </c>
      <c r="K3526" t="str">
        <f>"15105"</f>
        <v>15105</v>
      </c>
    </row>
    <row r="3527" spans="1:11" x14ac:dyDescent="0.25">
      <c r="A3527">
        <v>2023</v>
      </c>
      <c r="B3527" t="s">
        <v>1673</v>
      </c>
      <c r="C3527" t="s">
        <v>1674</v>
      </c>
      <c r="D3527" t="s">
        <v>19</v>
      </c>
      <c r="E3527" t="s">
        <v>20</v>
      </c>
      <c r="F3527" t="str">
        <f>"43605"</f>
        <v>43605</v>
      </c>
      <c r="G3527" t="str">
        <f>"589332"</f>
        <v>589332</v>
      </c>
      <c r="H3527" s="2">
        <f>10</f>
        <v>10</v>
      </c>
      <c r="I3527" t="s">
        <v>519</v>
      </c>
      <c r="J3527" t="s">
        <v>519</v>
      </c>
      <c r="K3527" t="str">
        <f>"15010"</f>
        <v>15010</v>
      </c>
    </row>
    <row r="3528" spans="1:11" x14ac:dyDescent="0.25">
      <c r="A3528">
        <v>2023</v>
      </c>
      <c r="B3528" t="s">
        <v>1673</v>
      </c>
      <c r="C3528" t="s">
        <v>1674</v>
      </c>
      <c r="D3528" t="s">
        <v>19</v>
      </c>
      <c r="E3528" t="s">
        <v>20</v>
      </c>
      <c r="F3528" t="str">
        <f>"43605"</f>
        <v>43605</v>
      </c>
      <c r="G3528" t="str">
        <f>"589332"</f>
        <v>589332</v>
      </c>
      <c r="H3528" s="2">
        <f>10</f>
        <v>10</v>
      </c>
      <c r="I3528" t="s">
        <v>519</v>
      </c>
      <c r="J3528" t="s">
        <v>519</v>
      </c>
      <c r="K3528" t="str">
        <f>"15041"</f>
        <v>15041</v>
      </c>
    </row>
    <row r="3529" spans="1:11" x14ac:dyDescent="0.25">
      <c r="A3529">
        <v>2023</v>
      </c>
      <c r="B3529" t="s">
        <v>1681</v>
      </c>
      <c r="C3529" t="s">
        <v>1682</v>
      </c>
      <c r="D3529" t="s">
        <v>1683</v>
      </c>
      <c r="E3529" t="s">
        <v>462</v>
      </c>
      <c r="F3529" t="str">
        <f>"33573"</f>
        <v>33573</v>
      </c>
      <c r="G3529" t="str">
        <f>"632482"</f>
        <v>632482</v>
      </c>
      <c r="H3529" s="2">
        <f>100</f>
        <v>100</v>
      </c>
      <c r="I3529" t="s">
        <v>27</v>
      </c>
      <c r="J3529" t="s">
        <v>157</v>
      </c>
      <c r="K3529" t="str">
        <f>"522115"</f>
        <v>522115</v>
      </c>
    </row>
    <row r="3530" spans="1:11" x14ac:dyDescent="0.25">
      <c r="A3530">
        <v>2023</v>
      </c>
      <c r="B3530" t="s">
        <v>1681</v>
      </c>
      <c r="C3530" t="s">
        <v>1682</v>
      </c>
      <c r="D3530" t="s">
        <v>1683</v>
      </c>
      <c r="E3530" t="s">
        <v>462</v>
      </c>
      <c r="F3530" t="str">
        <f>"33573"</f>
        <v>33573</v>
      </c>
      <c r="G3530" t="str">
        <f>"632482"</f>
        <v>632482</v>
      </c>
      <c r="H3530" s="2">
        <f>100</f>
        <v>100</v>
      </c>
      <c r="I3530" t="s">
        <v>27</v>
      </c>
      <c r="J3530" t="s">
        <v>157</v>
      </c>
      <c r="K3530" t="str">
        <f>"523167"</f>
        <v>523167</v>
      </c>
    </row>
    <row r="3531" spans="1:11" x14ac:dyDescent="0.25">
      <c r="A3531">
        <v>2023</v>
      </c>
      <c r="B3531" t="s">
        <v>1684</v>
      </c>
      <c r="C3531" t="s">
        <v>1685</v>
      </c>
      <c r="D3531" t="s">
        <v>19</v>
      </c>
      <c r="E3531" t="s">
        <v>20</v>
      </c>
      <c r="F3531" t="str">
        <f>"43606"</f>
        <v>43606</v>
      </c>
      <c r="G3531" t="str">
        <f>"632483"</f>
        <v>632483</v>
      </c>
      <c r="H3531" s="2">
        <f>8.8</f>
        <v>8.8000000000000007</v>
      </c>
      <c r="I3531" t="s">
        <v>27</v>
      </c>
      <c r="J3531" t="s">
        <v>108</v>
      </c>
      <c r="K3531" t="str">
        <f>"39103"</f>
        <v>39103</v>
      </c>
    </row>
    <row r="3532" spans="1:11" x14ac:dyDescent="0.25">
      <c r="A3532">
        <v>2023</v>
      </c>
      <c r="B3532" t="s">
        <v>1689</v>
      </c>
      <c r="C3532" t="s">
        <v>1690</v>
      </c>
      <c r="D3532" t="s">
        <v>19</v>
      </c>
      <c r="E3532" t="s">
        <v>20</v>
      </c>
      <c r="F3532" t="str">
        <f>"43612"</f>
        <v>43612</v>
      </c>
      <c r="G3532" t="str">
        <f>"Je012023"</f>
        <v>Je012023</v>
      </c>
      <c r="H3532" s="2">
        <f>15</f>
        <v>15</v>
      </c>
      <c r="I3532" t="s">
        <v>15</v>
      </c>
      <c r="J3532" t="s">
        <v>397</v>
      </c>
      <c r="K3532" t="str">
        <f>"60060174"</f>
        <v>60060174</v>
      </c>
    </row>
    <row r="3533" spans="1:11" x14ac:dyDescent="0.25">
      <c r="A3533">
        <v>2023</v>
      </c>
      <c r="B3533" t="s">
        <v>1693</v>
      </c>
      <c r="C3533" t="s">
        <v>1694</v>
      </c>
      <c r="D3533" t="s">
        <v>58</v>
      </c>
      <c r="E3533" t="s">
        <v>20</v>
      </c>
      <c r="F3533" t="str">
        <f>"43616"</f>
        <v>43616</v>
      </c>
      <c r="G3533" t="str">
        <f>"632483"</f>
        <v>632483</v>
      </c>
      <c r="H3533" s="2">
        <f>20</f>
        <v>20</v>
      </c>
      <c r="I3533" t="s">
        <v>27</v>
      </c>
      <c r="J3533" t="s">
        <v>108</v>
      </c>
      <c r="K3533" t="str">
        <f>"39017"</f>
        <v>39017</v>
      </c>
    </row>
    <row r="3534" spans="1:11" x14ac:dyDescent="0.25">
      <c r="A3534">
        <v>2023</v>
      </c>
      <c r="B3534" t="s">
        <v>1705</v>
      </c>
      <c r="C3534" t="s">
        <v>1706</v>
      </c>
      <c r="D3534" t="s">
        <v>19</v>
      </c>
      <c r="E3534" t="s">
        <v>20</v>
      </c>
      <c r="F3534" t="str">
        <f>"43604"</f>
        <v>43604</v>
      </c>
      <c r="G3534" t="str">
        <f>"632483"</f>
        <v>632483</v>
      </c>
      <c r="H3534" s="2">
        <f>92</f>
        <v>92</v>
      </c>
      <c r="I3534" t="s">
        <v>27</v>
      </c>
      <c r="J3534" t="s">
        <v>108</v>
      </c>
      <c r="K3534" t="str">
        <f>"39937"</f>
        <v>39937</v>
      </c>
    </row>
    <row r="3535" spans="1:11" x14ac:dyDescent="0.25">
      <c r="A3535">
        <v>2023</v>
      </c>
      <c r="B3535" t="s">
        <v>1707</v>
      </c>
      <c r="C3535" t="s">
        <v>1708</v>
      </c>
      <c r="D3535" t="s">
        <v>19</v>
      </c>
      <c r="E3535" t="s">
        <v>20</v>
      </c>
      <c r="F3535" t="str">
        <f>"43604"</f>
        <v>43604</v>
      </c>
      <c r="G3535" t="str">
        <f>"632483"</f>
        <v>632483</v>
      </c>
      <c r="H3535" s="2">
        <f>12.2</f>
        <v>12.2</v>
      </c>
      <c r="I3535" t="s">
        <v>27</v>
      </c>
      <c r="J3535" t="s">
        <v>108</v>
      </c>
      <c r="K3535" t="str">
        <f>"38532"</f>
        <v>38532</v>
      </c>
    </row>
    <row r="3536" spans="1:11" x14ac:dyDescent="0.25">
      <c r="A3536">
        <v>2023</v>
      </c>
      <c r="B3536" t="s">
        <v>1719</v>
      </c>
      <c r="C3536" t="s">
        <v>1720</v>
      </c>
      <c r="D3536" t="s">
        <v>19</v>
      </c>
      <c r="E3536" t="s">
        <v>20</v>
      </c>
      <c r="F3536" t="str">
        <f>"43606"</f>
        <v>43606</v>
      </c>
      <c r="G3536" t="str">
        <f>"Je12142023"</f>
        <v>Je12142023</v>
      </c>
      <c r="H3536" s="2">
        <f>459</f>
        <v>459</v>
      </c>
      <c r="I3536" t="s">
        <v>15</v>
      </c>
      <c r="J3536" t="s">
        <v>176</v>
      </c>
      <c r="K3536" t="str">
        <f>"60096642"</f>
        <v>60096642</v>
      </c>
    </row>
    <row r="3537" spans="1:11" x14ac:dyDescent="0.25">
      <c r="A3537">
        <v>2023</v>
      </c>
      <c r="B3537" t="s">
        <v>1723</v>
      </c>
      <c r="C3537" t="s">
        <v>1724</v>
      </c>
      <c r="D3537" t="s">
        <v>19</v>
      </c>
      <c r="E3537" t="s">
        <v>20</v>
      </c>
      <c r="F3537" t="str">
        <f>"43604"</f>
        <v>43604</v>
      </c>
      <c r="G3537" t="str">
        <f>"Je12142023"</f>
        <v>Je12142023</v>
      </c>
      <c r="H3537" s="2">
        <f>41.58</f>
        <v>41.58</v>
      </c>
      <c r="I3537" t="s">
        <v>15</v>
      </c>
      <c r="J3537" t="s">
        <v>176</v>
      </c>
      <c r="K3537" t="str">
        <f>"60103036"</f>
        <v>60103036</v>
      </c>
    </row>
    <row r="3538" spans="1:11" x14ac:dyDescent="0.25">
      <c r="A3538">
        <v>2023</v>
      </c>
      <c r="B3538" t="s">
        <v>1730</v>
      </c>
      <c r="C3538" t="s">
        <v>1731</v>
      </c>
      <c r="D3538" t="s">
        <v>19</v>
      </c>
      <c r="E3538" t="s">
        <v>20</v>
      </c>
      <c r="F3538" t="str">
        <f>"43604"</f>
        <v>43604</v>
      </c>
      <c r="G3538" t="str">
        <f>"632482"</f>
        <v>632482</v>
      </c>
      <c r="H3538" s="2">
        <f>17.19</f>
        <v>17.190000000000001</v>
      </c>
      <c r="I3538" t="s">
        <v>27</v>
      </c>
      <c r="J3538" t="s">
        <v>157</v>
      </c>
      <c r="K3538" t="str">
        <f>"521971"</f>
        <v>521971</v>
      </c>
    </row>
    <row r="3539" spans="1:11" x14ac:dyDescent="0.25">
      <c r="A3539">
        <v>2023</v>
      </c>
      <c r="B3539" t="s">
        <v>1735</v>
      </c>
      <c r="C3539" t="s">
        <v>1736</v>
      </c>
      <c r="D3539" t="s">
        <v>19</v>
      </c>
      <c r="E3539" t="s">
        <v>20</v>
      </c>
      <c r="F3539" t="str">
        <f>"43615-3438"</f>
        <v>43615-3438</v>
      </c>
      <c r="G3539" t="str">
        <f>"Je012023"</f>
        <v>Je012023</v>
      </c>
      <c r="H3539" s="2">
        <f>569.75</f>
        <v>569.75</v>
      </c>
      <c r="I3539" t="s">
        <v>15</v>
      </c>
      <c r="J3539" t="s">
        <v>397</v>
      </c>
      <c r="K3539" t="str">
        <f>"60067799"</f>
        <v>60067799</v>
      </c>
    </row>
    <row r="3540" spans="1:11" x14ac:dyDescent="0.25">
      <c r="A3540">
        <v>2023</v>
      </c>
      <c r="B3540" t="s">
        <v>1746</v>
      </c>
      <c r="C3540" t="s">
        <v>1747</v>
      </c>
      <c r="D3540" t="s">
        <v>64</v>
      </c>
      <c r="E3540" t="s">
        <v>20</v>
      </c>
      <c r="F3540" t="str">
        <f>"43566"</f>
        <v>43566</v>
      </c>
      <c r="G3540" t="str">
        <f>"Je12142023"</f>
        <v>Je12142023</v>
      </c>
      <c r="H3540" s="2">
        <f>200</f>
        <v>200</v>
      </c>
      <c r="I3540" t="s">
        <v>15</v>
      </c>
      <c r="J3540" t="s">
        <v>176</v>
      </c>
      <c r="K3540" t="str">
        <f>"60100990"</f>
        <v>60100990</v>
      </c>
    </row>
    <row r="3541" spans="1:11" x14ac:dyDescent="0.25">
      <c r="A3541">
        <v>2023</v>
      </c>
      <c r="B3541" t="s">
        <v>1752</v>
      </c>
      <c r="C3541" t="s">
        <v>1753</v>
      </c>
      <c r="D3541" t="s">
        <v>1754</v>
      </c>
      <c r="E3541" t="s">
        <v>20</v>
      </c>
      <c r="F3541" t="str">
        <f>"45040"</f>
        <v>45040</v>
      </c>
      <c r="G3541" t="str">
        <f>"632483"</f>
        <v>632483</v>
      </c>
      <c r="H3541" s="2">
        <f>23.35</f>
        <v>23.35</v>
      </c>
      <c r="I3541" t="s">
        <v>27</v>
      </c>
      <c r="J3541" t="s">
        <v>108</v>
      </c>
      <c r="K3541" t="str">
        <f>"40597"</f>
        <v>40597</v>
      </c>
    </row>
    <row r="3542" spans="1:11" x14ac:dyDescent="0.25">
      <c r="A3542">
        <v>2023</v>
      </c>
      <c r="B3542" t="s">
        <v>1758</v>
      </c>
      <c r="C3542" t="s">
        <v>1759</v>
      </c>
      <c r="D3542" t="s">
        <v>19</v>
      </c>
      <c r="E3542" t="s">
        <v>20</v>
      </c>
      <c r="F3542" t="str">
        <f>"43607"</f>
        <v>43607</v>
      </c>
      <c r="G3542" t="str">
        <f>"Je06132023"</f>
        <v>Je06132023</v>
      </c>
      <c r="H3542" s="2">
        <f>20</f>
        <v>20</v>
      </c>
      <c r="I3542" t="s">
        <v>15</v>
      </c>
      <c r="J3542" t="s">
        <v>16</v>
      </c>
      <c r="K3542" t="str">
        <f>"60081247"</f>
        <v>60081247</v>
      </c>
    </row>
    <row r="3543" spans="1:11" x14ac:dyDescent="0.25">
      <c r="A3543">
        <v>2023</v>
      </c>
      <c r="B3543" t="s">
        <v>1760</v>
      </c>
      <c r="C3543" t="s">
        <v>1761</v>
      </c>
      <c r="D3543" t="s">
        <v>1054</v>
      </c>
      <c r="E3543" t="s">
        <v>14</v>
      </c>
      <c r="F3543" t="str">
        <f>"48182"</f>
        <v>48182</v>
      </c>
      <c r="G3543" t="str">
        <f>"632482"</f>
        <v>632482</v>
      </c>
      <c r="H3543" s="2">
        <f>122.75</f>
        <v>122.75</v>
      </c>
      <c r="I3543" t="s">
        <v>27</v>
      </c>
      <c r="J3543" t="s">
        <v>157</v>
      </c>
      <c r="K3543" t="str">
        <f>"521943"</f>
        <v>521943</v>
      </c>
    </row>
    <row r="3544" spans="1:11" x14ac:dyDescent="0.25">
      <c r="A3544">
        <v>2023</v>
      </c>
      <c r="B3544" t="s">
        <v>1762</v>
      </c>
      <c r="C3544" t="s">
        <v>1763</v>
      </c>
      <c r="D3544" t="s">
        <v>164</v>
      </c>
      <c r="E3544" t="s">
        <v>20</v>
      </c>
      <c r="F3544" t="str">
        <f>"43558"</f>
        <v>43558</v>
      </c>
      <c r="G3544" t="str">
        <f>"Je12142023"</f>
        <v>Je12142023</v>
      </c>
      <c r="H3544" s="2">
        <f>1750.52</f>
        <v>1750.52</v>
      </c>
      <c r="I3544" t="s">
        <v>15</v>
      </c>
      <c r="J3544" t="s">
        <v>176</v>
      </c>
      <c r="K3544" t="str">
        <f>"60095669"</f>
        <v>60095669</v>
      </c>
    </row>
    <row r="3545" spans="1:11" x14ac:dyDescent="0.25">
      <c r="A3545">
        <v>2023</v>
      </c>
      <c r="B3545" t="s">
        <v>1774</v>
      </c>
      <c r="C3545" t="s">
        <v>1775</v>
      </c>
      <c r="D3545" t="s">
        <v>19</v>
      </c>
      <c r="E3545" t="s">
        <v>20</v>
      </c>
      <c r="F3545" t="str">
        <f>"43611-1005"</f>
        <v>43611-1005</v>
      </c>
      <c r="G3545" t="str">
        <f>"637573"</f>
        <v>637573</v>
      </c>
      <c r="H3545" s="2">
        <f>20</f>
        <v>20</v>
      </c>
      <c r="I3545" t="s">
        <v>27</v>
      </c>
      <c r="J3545" t="s">
        <v>61</v>
      </c>
      <c r="K3545" t="str">
        <f>"119910"</f>
        <v>119910</v>
      </c>
    </row>
    <row r="3546" spans="1:11" x14ac:dyDescent="0.25">
      <c r="A3546">
        <v>2023</v>
      </c>
      <c r="B3546" t="s">
        <v>1796</v>
      </c>
      <c r="C3546" t="s">
        <v>1797</v>
      </c>
      <c r="D3546" t="s">
        <v>19</v>
      </c>
      <c r="E3546" t="s">
        <v>20</v>
      </c>
      <c r="F3546" t="str">
        <f>"43615-5240"</f>
        <v>43615-5240</v>
      </c>
      <c r="G3546" t="str">
        <f>"637573"</f>
        <v>637573</v>
      </c>
      <c r="H3546" s="2">
        <f>10</f>
        <v>10</v>
      </c>
      <c r="I3546" t="s">
        <v>27</v>
      </c>
      <c r="J3546" t="s">
        <v>61</v>
      </c>
      <c r="K3546" t="str">
        <f>"118986"</f>
        <v>118986</v>
      </c>
    </row>
    <row r="3547" spans="1:11" x14ac:dyDescent="0.25">
      <c r="A3547">
        <v>2023</v>
      </c>
      <c r="B3547" t="s">
        <v>1810</v>
      </c>
      <c r="C3547" t="s">
        <v>1811</v>
      </c>
      <c r="D3547" t="s">
        <v>1812</v>
      </c>
      <c r="E3547" t="s">
        <v>1813</v>
      </c>
      <c r="F3547" t="str">
        <f>"38654"</f>
        <v>38654</v>
      </c>
      <c r="G3547" t="str">
        <f>"632514"</f>
        <v>632514</v>
      </c>
      <c r="H3547" s="2">
        <f>55.68</f>
        <v>55.68</v>
      </c>
      <c r="I3547" t="s">
        <v>27</v>
      </c>
      <c r="J3547" t="s">
        <v>195</v>
      </c>
      <c r="K3547" t="str">
        <f>"33011490"</f>
        <v>33011490</v>
      </c>
    </row>
    <row r="3548" spans="1:11" x14ac:dyDescent="0.25">
      <c r="A3548">
        <v>2023</v>
      </c>
      <c r="B3548" t="s">
        <v>1821</v>
      </c>
      <c r="C3548" t="s">
        <v>1822</v>
      </c>
      <c r="D3548" t="s">
        <v>164</v>
      </c>
      <c r="E3548" t="s">
        <v>20</v>
      </c>
      <c r="F3548" t="str">
        <f>"43558"</f>
        <v>43558</v>
      </c>
      <c r="G3548" t="str">
        <f>"632514"</f>
        <v>632514</v>
      </c>
      <c r="H3548" s="2">
        <f>2</f>
        <v>2</v>
      </c>
      <c r="I3548" t="s">
        <v>27</v>
      </c>
      <c r="J3548" t="s">
        <v>195</v>
      </c>
      <c r="K3548" t="str">
        <f>"33011891"</f>
        <v>33011891</v>
      </c>
    </row>
    <row r="3549" spans="1:11" x14ac:dyDescent="0.25">
      <c r="A3549">
        <v>2023</v>
      </c>
      <c r="B3549" t="s">
        <v>1823</v>
      </c>
      <c r="C3549" t="s">
        <v>1824</v>
      </c>
      <c r="D3549" t="s">
        <v>1825</v>
      </c>
      <c r="E3549" t="s">
        <v>20</v>
      </c>
      <c r="F3549" t="str">
        <f>"43430"</f>
        <v>43430</v>
      </c>
      <c r="G3549" t="str">
        <f>"Je04112023"</f>
        <v>Je04112023</v>
      </c>
      <c r="H3549" s="2">
        <f>61.48</f>
        <v>61.48</v>
      </c>
      <c r="I3549" t="s">
        <v>15</v>
      </c>
      <c r="J3549" t="s">
        <v>412</v>
      </c>
      <c r="K3549" t="str">
        <f>"60071524"</f>
        <v>60071524</v>
      </c>
    </row>
    <row r="3550" spans="1:11" x14ac:dyDescent="0.25">
      <c r="A3550">
        <v>2023</v>
      </c>
      <c r="B3550" t="s">
        <v>1832</v>
      </c>
      <c r="C3550" t="s">
        <v>1833</v>
      </c>
      <c r="D3550" t="s">
        <v>373</v>
      </c>
      <c r="E3550" t="s">
        <v>14</v>
      </c>
      <c r="F3550" t="str">
        <f>"48083"</f>
        <v>48083</v>
      </c>
      <c r="G3550" t="str">
        <f>"Je12142023"</f>
        <v>Je12142023</v>
      </c>
      <c r="H3550" s="2">
        <f>1656.35</f>
        <v>1656.35</v>
      </c>
      <c r="I3550" t="s">
        <v>15</v>
      </c>
      <c r="J3550" t="s">
        <v>176</v>
      </c>
      <c r="K3550" t="str">
        <f>"60094537"</f>
        <v>60094537</v>
      </c>
    </row>
    <row r="3551" spans="1:11" x14ac:dyDescent="0.25">
      <c r="A3551">
        <v>2023</v>
      </c>
      <c r="B3551" t="s">
        <v>1834</v>
      </c>
      <c r="C3551" t="s">
        <v>1835</v>
      </c>
      <c r="D3551" t="s">
        <v>1836</v>
      </c>
      <c r="E3551" t="s">
        <v>1837</v>
      </c>
      <c r="F3551" t="str">
        <f>"10924"</f>
        <v>10924</v>
      </c>
      <c r="G3551" t="str">
        <f>"Je06132023"</f>
        <v>Je06132023</v>
      </c>
      <c r="H3551" s="2">
        <f>2.14</f>
        <v>2.14</v>
      </c>
      <c r="I3551" t="s">
        <v>15</v>
      </c>
      <c r="J3551" t="s">
        <v>16</v>
      </c>
      <c r="K3551" t="str">
        <f>"60076146"</f>
        <v>60076146</v>
      </c>
    </row>
    <row r="3552" spans="1:11" x14ac:dyDescent="0.25">
      <c r="A3552">
        <v>2023</v>
      </c>
      <c r="B3552" t="s">
        <v>1844</v>
      </c>
      <c r="C3552" t="s">
        <v>1845</v>
      </c>
      <c r="D3552" t="s">
        <v>19</v>
      </c>
      <c r="E3552" t="s">
        <v>20</v>
      </c>
      <c r="F3552" t="str">
        <f>"43605"</f>
        <v>43605</v>
      </c>
      <c r="G3552" t="str">
        <f>"Je12142023"</f>
        <v>Je12142023</v>
      </c>
      <c r="H3552" s="2">
        <f>200.82</f>
        <v>200.82</v>
      </c>
      <c r="I3552" t="s">
        <v>15</v>
      </c>
      <c r="J3552" t="s">
        <v>176</v>
      </c>
      <c r="K3552" t="str">
        <f>"60096259"</f>
        <v>60096259</v>
      </c>
    </row>
    <row r="3553" spans="1:11" x14ac:dyDescent="0.25">
      <c r="A3553">
        <v>2023</v>
      </c>
      <c r="B3553" t="s">
        <v>1848</v>
      </c>
      <c r="C3553" t="s">
        <v>1849</v>
      </c>
      <c r="D3553" t="s">
        <v>19</v>
      </c>
      <c r="E3553" t="s">
        <v>20</v>
      </c>
      <c r="F3553" t="str">
        <f>"43606-1064"</f>
        <v>43606-1064</v>
      </c>
      <c r="G3553" t="str">
        <f>"637573"</f>
        <v>637573</v>
      </c>
      <c r="H3553" s="2">
        <f>10</f>
        <v>10</v>
      </c>
      <c r="I3553" t="s">
        <v>27</v>
      </c>
      <c r="J3553" t="s">
        <v>61</v>
      </c>
      <c r="K3553" t="str">
        <f>"119735"</f>
        <v>119735</v>
      </c>
    </row>
    <row r="3554" spans="1:11" x14ac:dyDescent="0.25">
      <c r="A3554">
        <v>2023</v>
      </c>
      <c r="B3554" t="s">
        <v>1850</v>
      </c>
      <c r="C3554" t="s">
        <v>1851</v>
      </c>
      <c r="D3554" t="s">
        <v>323</v>
      </c>
      <c r="E3554" t="s">
        <v>20</v>
      </c>
      <c r="F3554" t="str">
        <f>"43571-9167"</f>
        <v>43571-9167</v>
      </c>
      <c r="G3554" t="str">
        <f>"637573"</f>
        <v>637573</v>
      </c>
      <c r="H3554" s="2">
        <f>10</f>
        <v>10</v>
      </c>
      <c r="I3554" t="s">
        <v>27</v>
      </c>
      <c r="J3554" t="s">
        <v>61</v>
      </c>
      <c r="K3554" t="str">
        <f>"120395"</f>
        <v>120395</v>
      </c>
    </row>
    <row r="3555" spans="1:11" x14ac:dyDescent="0.25">
      <c r="A3555">
        <v>2023</v>
      </c>
      <c r="B3555" t="s">
        <v>1852</v>
      </c>
      <c r="C3555" t="s">
        <v>1853</v>
      </c>
      <c r="D3555" t="s">
        <v>64</v>
      </c>
      <c r="E3555" t="s">
        <v>20</v>
      </c>
      <c r="F3555" t="str">
        <f>"43566"</f>
        <v>43566</v>
      </c>
      <c r="G3555" t="str">
        <f>"638581"</f>
        <v>638581</v>
      </c>
      <c r="H3555" s="2">
        <f>2.05</f>
        <v>2.0499999999999998</v>
      </c>
      <c r="I3555" t="s">
        <v>27</v>
      </c>
      <c r="J3555" t="s">
        <v>61</v>
      </c>
      <c r="K3555" t="str">
        <f>"333867"</f>
        <v>333867</v>
      </c>
    </row>
    <row r="3556" spans="1:11" x14ac:dyDescent="0.25">
      <c r="A3556">
        <v>2023</v>
      </c>
      <c r="B3556" t="s">
        <v>1854</v>
      </c>
      <c r="C3556" t="s">
        <v>1855</v>
      </c>
      <c r="D3556" t="s">
        <v>125</v>
      </c>
      <c r="E3556" t="s">
        <v>20</v>
      </c>
      <c r="F3556" t="str">
        <f>"43537"</f>
        <v>43537</v>
      </c>
      <c r="G3556" t="str">
        <f>"Je10162023"</f>
        <v>Je10162023</v>
      </c>
      <c r="H3556" s="2">
        <f>199.72</f>
        <v>199.72</v>
      </c>
      <c r="I3556" t="s">
        <v>15</v>
      </c>
      <c r="J3556" t="s">
        <v>93</v>
      </c>
      <c r="K3556" t="str">
        <f>"60087029"</f>
        <v>60087029</v>
      </c>
    </row>
    <row r="3557" spans="1:11" x14ac:dyDescent="0.25">
      <c r="A3557">
        <v>2023</v>
      </c>
      <c r="B3557" t="s">
        <v>1866</v>
      </c>
      <c r="C3557" t="s">
        <v>1867</v>
      </c>
      <c r="D3557" t="s">
        <v>19</v>
      </c>
      <c r="E3557" t="s">
        <v>20</v>
      </c>
      <c r="F3557" t="str">
        <f>"43606"</f>
        <v>43606</v>
      </c>
      <c r="G3557" t="str">
        <f>"589332"</f>
        <v>589332</v>
      </c>
      <c r="H3557" s="2">
        <f>50</f>
        <v>50</v>
      </c>
      <c r="I3557" t="s">
        <v>519</v>
      </c>
      <c r="J3557" t="s">
        <v>519</v>
      </c>
      <c r="K3557" t="str">
        <f>"15824"</f>
        <v>15824</v>
      </c>
    </row>
    <row r="3558" spans="1:11" x14ac:dyDescent="0.25">
      <c r="A3558">
        <v>2023</v>
      </c>
      <c r="B3558" t="s">
        <v>1876</v>
      </c>
      <c r="C3558" t="s">
        <v>1877</v>
      </c>
      <c r="D3558" t="s">
        <v>19</v>
      </c>
      <c r="E3558" t="s">
        <v>20</v>
      </c>
      <c r="F3558" t="str">
        <f>"43607"</f>
        <v>43607</v>
      </c>
      <c r="G3558" t="str">
        <f>"632482"</f>
        <v>632482</v>
      </c>
      <c r="H3558" s="2">
        <f>3.33</f>
        <v>3.33</v>
      </c>
      <c r="I3558" t="s">
        <v>27</v>
      </c>
      <c r="J3558" t="s">
        <v>157</v>
      </c>
      <c r="K3558" t="str">
        <f>"521342"</f>
        <v>521342</v>
      </c>
    </row>
    <row r="3559" spans="1:11" x14ac:dyDescent="0.25">
      <c r="A3559">
        <v>2023</v>
      </c>
      <c r="B3559" t="s">
        <v>1882</v>
      </c>
      <c r="C3559" t="s">
        <v>1883</v>
      </c>
      <c r="D3559" t="s">
        <v>19</v>
      </c>
      <c r="E3559" t="s">
        <v>20</v>
      </c>
      <c r="F3559" t="str">
        <f>"43613-2980"</f>
        <v>43613-2980</v>
      </c>
      <c r="G3559" t="str">
        <f>"637573"</f>
        <v>637573</v>
      </c>
      <c r="H3559" s="2">
        <f>10</f>
        <v>10</v>
      </c>
      <c r="I3559" t="s">
        <v>27</v>
      </c>
      <c r="J3559" t="s">
        <v>61</v>
      </c>
      <c r="K3559" t="str">
        <f>"120843"</f>
        <v>120843</v>
      </c>
    </row>
    <row r="3560" spans="1:11" x14ac:dyDescent="0.25">
      <c r="A3560">
        <v>2023</v>
      </c>
      <c r="B3560" t="s">
        <v>1884</v>
      </c>
      <c r="C3560" t="s">
        <v>1885</v>
      </c>
      <c r="D3560" t="s">
        <v>58</v>
      </c>
      <c r="E3560" t="s">
        <v>20</v>
      </c>
      <c r="F3560" t="str">
        <f>"43616-3750"</f>
        <v>43616-3750</v>
      </c>
      <c r="G3560" t="str">
        <f>"637573"</f>
        <v>637573</v>
      </c>
      <c r="H3560" s="2">
        <f>10</f>
        <v>10</v>
      </c>
      <c r="I3560" t="s">
        <v>27</v>
      </c>
      <c r="J3560" t="s">
        <v>61</v>
      </c>
      <c r="K3560" t="str">
        <f>"118771"</f>
        <v>118771</v>
      </c>
    </row>
    <row r="3561" spans="1:11" x14ac:dyDescent="0.25">
      <c r="A3561">
        <v>2023</v>
      </c>
      <c r="B3561" t="s">
        <v>1886</v>
      </c>
      <c r="C3561" t="s">
        <v>1887</v>
      </c>
      <c r="D3561" t="s">
        <v>19</v>
      </c>
      <c r="E3561" t="s">
        <v>20</v>
      </c>
      <c r="F3561" t="str">
        <f>"43613"</f>
        <v>43613</v>
      </c>
      <c r="G3561" t="str">
        <f>"Je04112023"</f>
        <v>Je04112023</v>
      </c>
      <c r="H3561" s="2">
        <f>108.68</f>
        <v>108.68</v>
      </c>
      <c r="I3561" t="s">
        <v>15</v>
      </c>
      <c r="J3561" t="s">
        <v>412</v>
      </c>
      <c r="K3561" t="str">
        <f>"60074862"</f>
        <v>60074862</v>
      </c>
    </row>
    <row r="3562" spans="1:11" x14ac:dyDescent="0.25">
      <c r="A3562">
        <v>2023</v>
      </c>
      <c r="B3562" t="s">
        <v>1900</v>
      </c>
      <c r="C3562" t="s">
        <v>1901</v>
      </c>
      <c r="D3562" t="s">
        <v>50</v>
      </c>
      <c r="E3562" t="s">
        <v>20</v>
      </c>
      <c r="F3562" t="str">
        <f>"43560"</f>
        <v>43560</v>
      </c>
      <c r="G3562" t="str">
        <f>"589300"</f>
        <v>589300</v>
      </c>
      <c r="H3562" s="2">
        <f>89</f>
        <v>89</v>
      </c>
      <c r="I3562" t="s">
        <v>148</v>
      </c>
      <c r="J3562" t="s">
        <v>1902</v>
      </c>
      <c r="K3562" t="str">
        <f>"26023"</f>
        <v>26023</v>
      </c>
    </row>
    <row r="3563" spans="1:11" x14ac:dyDescent="0.25">
      <c r="A3563">
        <v>2023</v>
      </c>
      <c r="B3563" t="s">
        <v>1903</v>
      </c>
      <c r="C3563" t="s">
        <v>1904</v>
      </c>
      <c r="D3563" t="s">
        <v>19</v>
      </c>
      <c r="E3563" t="s">
        <v>20</v>
      </c>
      <c r="F3563" t="str">
        <f>"43607"</f>
        <v>43607</v>
      </c>
      <c r="G3563" t="str">
        <f>"Je012023"</f>
        <v>Je012023</v>
      </c>
      <c r="H3563" s="2">
        <f>7.89</f>
        <v>7.89</v>
      </c>
      <c r="I3563" t="s">
        <v>15</v>
      </c>
      <c r="J3563" t="s">
        <v>397</v>
      </c>
      <c r="K3563" t="str">
        <f>"60061447"</f>
        <v>60061447</v>
      </c>
    </row>
    <row r="3564" spans="1:11" x14ac:dyDescent="0.25">
      <c r="A3564">
        <v>2023</v>
      </c>
      <c r="B3564" t="s">
        <v>1905</v>
      </c>
      <c r="C3564" t="s">
        <v>1906</v>
      </c>
      <c r="D3564" t="s">
        <v>64</v>
      </c>
      <c r="E3564" t="s">
        <v>20</v>
      </c>
      <c r="F3564" t="str">
        <f>"43566-1239"</f>
        <v>43566-1239</v>
      </c>
      <c r="G3564" t="str">
        <f>"637573"</f>
        <v>637573</v>
      </c>
      <c r="H3564" s="2">
        <f>20</f>
        <v>20</v>
      </c>
      <c r="I3564" t="s">
        <v>27</v>
      </c>
      <c r="J3564" t="s">
        <v>61</v>
      </c>
      <c r="K3564" t="str">
        <f>"120076"</f>
        <v>120076</v>
      </c>
    </row>
    <row r="3565" spans="1:11" x14ac:dyDescent="0.25">
      <c r="A3565">
        <v>2023</v>
      </c>
      <c r="B3565" t="s">
        <v>1913</v>
      </c>
      <c r="C3565" t="s">
        <v>1914</v>
      </c>
      <c r="D3565" t="s">
        <v>125</v>
      </c>
      <c r="E3565" t="s">
        <v>20</v>
      </c>
      <c r="F3565" t="str">
        <f>"43537"</f>
        <v>43537</v>
      </c>
      <c r="G3565" t="str">
        <f>"632482"</f>
        <v>632482</v>
      </c>
      <c r="H3565" s="2">
        <f>10</f>
        <v>10</v>
      </c>
      <c r="I3565" t="s">
        <v>27</v>
      </c>
      <c r="J3565" t="s">
        <v>157</v>
      </c>
      <c r="K3565" t="str">
        <f>"523204"</f>
        <v>523204</v>
      </c>
    </row>
    <row r="3566" spans="1:11" x14ac:dyDescent="0.25">
      <c r="A3566">
        <v>2023</v>
      </c>
      <c r="B3566" t="s">
        <v>1913</v>
      </c>
      <c r="C3566" t="s">
        <v>1914</v>
      </c>
      <c r="D3566" t="s">
        <v>125</v>
      </c>
      <c r="E3566" t="s">
        <v>20</v>
      </c>
      <c r="F3566" t="str">
        <f>"43537"</f>
        <v>43537</v>
      </c>
      <c r="G3566" t="str">
        <f>"632482"</f>
        <v>632482</v>
      </c>
      <c r="H3566" s="2">
        <f>20</f>
        <v>20</v>
      </c>
      <c r="I3566" t="s">
        <v>27</v>
      </c>
      <c r="J3566" t="s">
        <v>157</v>
      </c>
      <c r="K3566" t="str">
        <f>"522727"</f>
        <v>522727</v>
      </c>
    </row>
    <row r="3567" spans="1:11" x14ac:dyDescent="0.25">
      <c r="A3567">
        <v>2023</v>
      </c>
      <c r="B3567" t="s">
        <v>1913</v>
      </c>
      <c r="C3567" t="s">
        <v>1914</v>
      </c>
      <c r="D3567" t="s">
        <v>125</v>
      </c>
      <c r="E3567" t="s">
        <v>20</v>
      </c>
      <c r="F3567" t="str">
        <f>"43537"</f>
        <v>43537</v>
      </c>
      <c r="G3567" t="str">
        <f>"632482"</f>
        <v>632482</v>
      </c>
      <c r="H3567" s="2">
        <f>10</f>
        <v>10</v>
      </c>
      <c r="I3567" t="s">
        <v>27</v>
      </c>
      <c r="J3567" t="s">
        <v>157</v>
      </c>
      <c r="K3567" t="str">
        <f>"522175"</f>
        <v>522175</v>
      </c>
    </row>
    <row r="3568" spans="1:11" x14ac:dyDescent="0.25">
      <c r="A3568">
        <v>2023</v>
      </c>
      <c r="B3568" t="s">
        <v>1915</v>
      </c>
      <c r="C3568" t="s">
        <v>1916</v>
      </c>
      <c r="D3568" t="s">
        <v>19</v>
      </c>
      <c r="E3568" t="s">
        <v>20</v>
      </c>
      <c r="F3568" t="str">
        <f>"43614"</f>
        <v>43614</v>
      </c>
      <c r="G3568" t="str">
        <f>"Je012023"</f>
        <v>Je012023</v>
      </c>
      <c r="H3568" s="2">
        <f>170</f>
        <v>170</v>
      </c>
      <c r="I3568" t="s">
        <v>15</v>
      </c>
      <c r="J3568" t="s">
        <v>397</v>
      </c>
      <c r="K3568" t="str">
        <f>"60059299"</f>
        <v>60059299</v>
      </c>
    </row>
    <row r="3569" spans="1:11" x14ac:dyDescent="0.25">
      <c r="A3569">
        <v>2023</v>
      </c>
      <c r="B3569" t="s">
        <v>1915</v>
      </c>
      <c r="C3569" t="s">
        <v>1916</v>
      </c>
      <c r="D3569" t="s">
        <v>19</v>
      </c>
      <c r="E3569" t="s">
        <v>20</v>
      </c>
      <c r="F3569" t="str">
        <f>"43614"</f>
        <v>43614</v>
      </c>
      <c r="G3569" t="str">
        <f>"Je12142023"</f>
        <v>Je12142023</v>
      </c>
      <c r="H3569" s="2">
        <f>200</f>
        <v>200</v>
      </c>
      <c r="I3569" t="s">
        <v>15</v>
      </c>
      <c r="J3569" t="s">
        <v>176</v>
      </c>
      <c r="K3569" t="str">
        <f>"60101000"</f>
        <v>60101000</v>
      </c>
    </row>
    <row r="3570" spans="1:11" x14ac:dyDescent="0.25">
      <c r="A3570">
        <v>2023</v>
      </c>
      <c r="B3570" t="s">
        <v>1915</v>
      </c>
      <c r="C3570" t="s">
        <v>1916</v>
      </c>
      <c r="D3570" t="s">
        <v>19</v>
      </c>
      <c r="E3570" t="s">
        <v>20</v>
      </c>
      <c r="F3570" t="str">
        <f>"43614"</f>
        <v>43614</v>
      </c>
      <c r="G3570" t="str">
        <f>"Je12142023"</f>
        <v>Je12142023</v>
      </c>
      <c r="H3570" s="2">
        <f>35</f>
        <v>35</v>
      </c>
      <c r="I3570" t="s">
        <v>15</v>
      </c>
      <c r="J3570" t="s">
        <v>176</v>
      </c>
      <c r="K3570" t="str">
        <f>"60103555"</f>
        <v>60103555</v>
      </c>
    </row>
    <row r="3571" spans="1:11" x14ac:dyDescent="0.25">
      <c r="A3571">
        <v>2023</v>
      </c>
      <c r="B3571" t="s">
        <v>1952</v>
      </c>
      <c r="C3571" t="s">
        <v>1953</v>
      </c>
      <c r="D3571" t="s">
        <v>125</v>
      </c>
      <c r="E3571" t="s">
        <v>20</v>
      </c>
      <c r="F3571" t="str">
        <f>"43537-2550"</f>
        <v>43537-2550</v>
      </c>
      <c r="G3571" t="str">
        <f>"637573"</f>
        <v>637573</v>
      </c>
      <c r="H3571" s="2">
        <f>10</f>
        <v>10</v>
      </c>
      <c r="I3571" t="s">
        <v>27</v>
      </c>
      <c r="J3571" t="s">
        <v>61</v>
      </c>
      <c r="K3571" t="str">
        <f>"120970"</f>
        <v>120970</v>
      </c>
    </row>
    <row r="3572" spans="1:11" x14ac:dyDescent="0.25">
      <c r="A3572">
        <v>2023</v>
      </c>
      <c r="B3572" t="s">
        <v>1960</v>
      </c>
      <c r="C3572" t="s">
        <v>1961</v>
      </c>
      <c r="D3572" t="s">
        <v>19</v>
      </c>
      <c r="E3572" t="s">
        <v>20</v>
      </c>
      <c r="F3572" t="str">
        <f t="shared" ref="F3572:F3584" si="115">"43606"</f>
        <v>43606</v>
      </c>
      <c r="G3572" t="str">
        <f t="shared" ref="G3572:G3590" si="116">"632482"</f>
        <v>632482</v>
      </c>
      <c r="H3572" s="2">
        <f>33.33</f>
        <v>33.33</v>
      </c>
      <c r="I3572" t="s">
        <v>27</v>
      </c>
      <c r="J3572" t="s">
        <v>157</v>
      </c>
      <c r="K3572" t="str">
        <f>"522857"</f>
        <v>522857</v>
      </c>
    </row>
    <row r="3573" spans="1:11" x14ac:dyDescent="0.25">
      <c r="A3573">
        <v>2023</v>
      </c>
      <c r="B3573" t="s">
        <v>1960</v>
      </c>
      <c r="C3573" t="s">
        <v>1961</v>
      </c>
      <c r="D3573" t="s">
        <v>19</v>
      </c>
      <c r="E3573" t="s">
        <v>20</v>
      </c>
      <c r="F3573" t="str">
        <f t="shared" si="115"/>
        <v>43606</v>
      </c>
      <c r="G3573" t="str">
        <f t="shared" si="116"/>
        <v>632482</v>
      </c>
      <c r="H3573" s="2">
        <f>38.33</f>
        <v>38.33</v>
      </c>
      <c r="I3573" t="s">
        <v>27</v>
      </c>
      <c r="J3573" t="s">
        <v>157</v>
      </c>
      <c r="K3573" t="str">
        <f>"523003"</f>
        <v>523003</v>
      </c>
    </row>
    <row r="3574" spans="1:11" x14ac:dyDescent="0.25">
      <c r="A3574">
        <v>2023</v>
      </c>
      <c r="B3574" t="s">
        <v>1960</v>
      </c>
      <c r="C3574" t="s">
        <v>1961</v>
      </c>
      <c r="D3574" t="s">
        <v>19</v>
      </c>
      <c r="E3574" t="s">
        <v>20</v>
      </c>
      <c r="F3574" t="str">
        <f t="shared" si="115"/>
        <v>43606</v>
      </c>
      <c r="G3574" t="str">
        <f t="shared" si="116"/>
        <v>632482</v>
      </c>
      <c r="H3574" s="2">
        <f>43.33</f>
        <v>43.33</v>
      </c>
      <c r="I3574" t="s">
        <v>27</v>
      </c>
      <c r="J3574" t="s">
        <v>157</v>
      </c>
      <c r="K3574" t="str">
        <f>"523192"</f>
        <v>523192</v>
      </c>
    </row>
    <row r="3575" spans="1:11" x14ac:dyDescent="0.25">
      <c r="A3575">
        <v>2023</v>
      </c>
      <c r="B3575" t="s">
        <v>1960</v>
      </c>
      <c r="C3575" t="s">
        <v>1961</v>
      </c>
      <c r="D3575" t="s">
        <v>19</v>
      </c>
      <c r="E3575" t="s">
        <v>20</v>
      </c>
      <c r="F3575" t="str">
        <f t="shared" si="115"/>
        <v>43606</v>
      </c>
      <c r="G3575" t="str">
        <f t="shared" si="116"/>
        <v>632482</v>
      </c>
      <c r="H3575" s="2">
        <f>40</f>
        <v>40</v>
      </c>
      <c r="I3575" t="s">
        <v>27</v>
      </c>
      <c r="J3575" t="s">
        <v>157</v>
      </c>
      <c r="K3575" t="str">
        <f>"522620"</f>
        <v>522620</v>
      </c>
    </row>
    <row r="3576" spans="1:11" x14ac:dyDescent="0.25">
      <c r="A3576">
        <v>2023</v>
      </c>
      <c r="B3576" t="s">
        <v>1960</v>
      </c>
      <c r="C3576" t="s">
        <v>1961</v>
      </c>
      <c r="D3576" t="s">
        <v>19</v>
      </c>
      <c r="E3576" t="s">
        <v>20</v>
      </c>
      <c r="F3576" t="str">
        <f t="shared" si="115"/>
        <v>43606</v>
      </c>
      <c r="G3576" t="str">
        <f t="shared" si="116"/>
        <v>632482</v>
      </c>
      <c r="H3576" s="2">
        <f>36.66</f>
        <v>36.659999999999997</v>
      </c>
      <c r="I3576" t="s">
        <v>27</v>
      </c>
      <c r="J3576" t="s">
        <v>157</v>
      </c>
      <c r="K3576" t="str">
        <f>"522410"</f>
        <v>522410</v>
      </c>
    </row>
    <row r="3577" spans="1:11" x14ac:dyDescent="0.25">
      <c r="A3577">
        <v>2023</v>
      </c>
      <c r="B3577" t="s">
        <v>1960</v>
      </c>
      <c r="C3577" t="s">
        <v>1961</v>
      </c>
      <c r="D3577" t="s">
        <v>19</v>
      </c>
      <c r="E3577" t="s">
        <v>20</v>
      </c>
      <c r="F3577" t="str">
        <f t="shared" si="115"/>
        <v>43606</v>
      </c>
      <c r="G3577" t="str">
        <f t="shared" si="116"/>
        <v>632482</v>
      </c>
      <c r="H3577" s="2">
        <f>38.33</f>
        <v>38.33</v>
      </c>
      <c r="I3577" t="s">
        <v>27</v>
      </c>
      <c r="J3577" t="s">
        <v>157</v>
      </c>
      <c r="K3577" t="str">
        <f>"522154"</f>
        <v>522154</v>
      </c>
    </row>
    <row r="3578" spans="1:11" x14ac:dyDescent="0.25">
      <c r="A3578">
        <v>2023</v>
      </c>
      <c r="B3578" t="s">
        <v>1960</v>
      </c>
      <c r="C3578" t="s">
        <v>1961</v>
      </c>
      <c r="D3578" t="s">
        <v>19</v>
      </c>
      <c r="E3578" t="s">
        <v>20</v>
      </c>
      <c r="F3578" t="str">
        <f t="shared" si="115"/>
        <v>43606</v>
      </c>
      <c r="G3578" t="str">
        <f t="shared" si="116"/>
        <v>632482</v>
      </c>
      <c r="H3578" s="2">
        <f>5</f>
        <v>5</v>
      </c>
      <c r="I3578" t="s">
        <v>27</v>
      </c>
      <c r="J3578" t="s">
        <v>157</v>
      </c>
      <c r="K3578" t="str">
        <f>"524116"</f>
        <v>524116</v>
      </c>
    </row>
    <row r="3579" spans="1:11" x14ac:dyDescent="0.25">
      <c r="A3579">
        <v>2023</v>
      </c>
      <c r="B3579" t="s">
        <v>1960</v>
      </c>
      <c r="C3579" t="s">
        <v>1961</v>
      </c>
      <c r="D3579" t="s">
        <v>19</v>
      </c>
      <c r="E3579" t="s">
        <v>20</v>
      </c>
      <c r="F3579" t="str">
        <f t="shared" si="115"/>
        <v>43606</v>
      </c>
      <c r="G3579" t="str">
        <f t="shared" si="116"/>
        <v>632482</v>
      </c>
      <c r="H3579" s="2">
        <f>33.33</f>
        <v>33.33</v>
      </c>
      <c r="I3579" t="s">
        <v>27</v>
      </c>
      <c r="J3579" t="s">
        <v>157</v>
      </c>
      <c r="K3579" t="str">
        <f>"520720"</f>
        <v>520720</v>
      </c>
    </row>
    <row r="3580" spans="1:11" x14ac:dyDescent="0.25">
      <c r="A3580">
        <v>2023</v>
      </c>
      <c r="B3580" t="s">
        <v>1960</v>
      </c>
      <c r="C3580" t="s">
        <v>1961</v>
      </c>
      <c r="D3580" t="s">
        <v>19</v>
      </c>
      <c r="E3580" t="s">
        <v>20</v>
      </c>
      <c r="F3580" t="str">
        <f t="shared" si="115"/>
        <v>43606</v>
      </c>
      <c r="G3580" t="str">
        <f t="shared" si="116"/>
        <v>632482</v>
      </c>
      <c r="H3580" s="2">
        <f>33.33</f>
        <v>33.33</v>
      </c>
      <c r="I3580" t="s">
        <v>27</v>
      </c>
      <c r="J3580" t="s">
        <v>157</v>
      </c>
      <c r="K3580" t="str">
        <f>"520847"</f>
        <v>520847</v>
      </c>
    </row>
    <row r="3581" spans="1:11" x14ac:dyDescent="0.25">
      <c r="A3581">
        <v>2023</v>
      </c>
      <c r="B3581" t="s">
        <v>1960</v>
      </c>
      <c r="C3581" t="s">
        <v>1961</v>
      </c>
      <c r="D3581" t="s">
        <v>19</v>
      </c>
      <c r="E3581" t="s">
        <v>20</v>
      </c>
      <c r="F3581" t="str">
        <f t="shared" si="115"/>
        <v>43606</v>
      </c>
      <c r="G3581" t="str">
        <f t="shared" si="116"/>
        <v>632482</v>
      </c>
      <c r="H3581" s="2">
        <f>41.66</f>
        <v>41.66</v>
      </c>
      <c r="I3581" t="s">
        <v>27</v>
      </c>
      <c r="J3581" t="s">
        <v>157</v>
      </c>
      <c r="K3581" t="str">
        <f>"521351"</f>
        <v>521351</v>
      </c>
    </row>
    <row r="3582" spans="1:11" x14ac:dyDescent="0.25">
      <c r="A3582">
        <v>2023</v>
      </c>
      <c r="B3582" t="s">
        <v>1960</v>
      </c>
      <c r="C3582" t="s">
        <v>1961</v>
      </c>
      <c r="D3582" t="s">
        <v>19</v>
      </c>
      <c r="E3582" t="s">
        <v>20</v>
      </c>
      <c r="F3582" t="str">
        <f t="shared" si="115"/>
        <v>43606</v>
      </c>
      <c r="G3582" t="str">
        <f t="shared" si="116"/>
        <v>632482</v>
      </c>
      <c r="H3582" s="2">
        <f>50</f>
        <v>50</v>
      </c>
      <c r="I3582" t="s">
        <v>27</v>
      </c>
      <c r="J3582" t="s">
        <v>157</v>
      </c>
      <c r="K3582" t="str">
        <f>"521108"</f>
        <v>521108</v>
      </c>
    </row>
    <row r="3583" spans="1:11" x14ac:dyDescent="0.25">
      <c r="A3583">
        <v>2023</v>
      </c>
      <c r="B3583" t="s">
        <v>1960</v>
      </c>
      <c r="C3583" t="s">
        <v>1961</v>
      </c>
      <c r="D3583" t="s">
        <v>19</v>
      </c>
      <c r="E3583" t="s">
        <v>20</v>
      </c>
      <c r="F3583" t="str">
        <f t="shared" si="115"/>
        <v>43606</v>
      </c>
      <c r="G3583" t="str">
        <f t="shared" si="116"/>
        <v>632482</v>
      </c>
      <c r="H3583" s="2">
        <f>56.66</f>
        <v>56.66</v>
      </c>
      <c r="I3583" t="s">
        <v>27</v>
      </c>
      <c r="J3583" t="s">
        <v>157</v>
      </c>
      <c r="K3583" t="str">
        <f>"521569"</f>
        <v>521569</v>
      </c>
    </row>
    <row r="3584" spans="1:11" x14ac:dyDescent="0.25">
      <c r="A3584">
        <v>2023</v>
      </c>
      <c r="B3584" t="s">
        <v>1960</v>
      </c>
      <c r="C3584" t="s">
        <v>1961</v>
      </c>
      <c r="D3584" t="s">
        <v>19</v>
      </c>
      <c r="E3584" t="s">
        <v>20</v>
      </c>
      <c r="F3584" t="str">
        <f t="shared" si="115"/>
        <v>43606</v>
      </c>
      <c r="G3584" t="str">
        <f t="shared" si="116"/>
        <v>632482</v>
      </c>
      <c r="H3584" s="2">
        <f>50</f>
        <v>50</v>
      </c>
      <c r="I3584" t="s">
        <v>27</v>
      </c>
      <c r="J3584" t="s">
        <v>157</v>
      </c>
      <c r="K3584" t="str">
        <f>"521778"</f>
        <v>521778</v>
      </c>
    </row>
    <row r="3585" spans="1:11" x14ac:dyDescent="0.25">
      <c r="A3585">
        <v>2023</v>
      </c>
      <c r="B3585" t="s">
        <v>1962</v>
      </c>
      <c r="C3585" t="s">
        <v>1963</v>
      </c>
      <c r="D3585" t="s">
        <v>19</v>
      </c>
      <c r="E3585" t="s">
        <v>20</v>
      </c>
      <c r="F3585" t="str">
        <f>"43615"</f>
        <v>43615</v>
      </c>
      <c r="G3585" t="str">
        <f t="shared" si="116"/>
        <v>632482</v>
      </c>
      <c r="H3585" s="2">
        <f>5</f>
        <v>5</v>
      </c>
      <c r="I3585" t="s">
        <v>27</v>
      </c>
      <c r="J3585" t="s">
        <v>157</v>
      </c>
      <c r="K3585" t="str">
        <f>"520975"</f>
        <v>520975</v>
      </c>
    </row>
    <row r="3586" spans="1:11" x14ac:dyDescent="0.25">
      <c r="A3586">
        <v>2023</v>
      </c>
      <c r="B3586" t="s">
        <v>1962</v>
      </c>
      <c r="C3586" t="s">
        <v>1963</v>
      </c>
      <c r="D3586" t="s">
        <v>19</v>
      </c>
      <c r="E3586" t="s">
        <v>20</v>
      </c>
      <c r="F3586" t="str">
        <f>"43615"</f>
        <v>43615</v>
      </c>
      <c r="G3586" t="str">
        <f t="shared" si="116"/>
        <v>632482</v>
      </c>
      <c r="H3586" s="2">
        <f>7.5</f>
        <v>7.5</v>
      </c>
      <c r="I3586" t="s">
        <v>27</v>
      </c>
      <c r="J3586" t="s">
        <v>157</v>
      </c>
      <c r="K3586" t="str">
        <f>"520704"</f>
        <v>520704</v>
      </c>
    </row>
    <row r="3587" spans="1:11" x14ac:dyDescent="0.25">
      <c r="A3587">
        <v>2023</v>
      </c>
      <c r="B3587" t="s">
        <v>1968</v>
      </c>
      <c r="C3587" t="s">
        <v>1969</v>
      </c>
      <c r="D3587" t="s">
        <v>164</v>
      </c>
      <c r="E3587" t="s">
        <v>20</v>
      </c>
      <c r="F3587" t="str">
        <f>"43558"</f>
        <v>43558</v>
      </c>
      <c r="G3587" t="str">
        <f t="shared" si="116"/>
        <v>632482</v>
      </c>
      <c r="H3587" s="2">
        <f>35.71</f>
        <v>35.71</v>
      </c>
      <c r="I3587" t="s">
        <v>27</v>
      </c>
      <c r="J3587" t="s">
        <v>157</v>
      </c>
      <c r="K3587" t="str">
        <f>"521612"</f>
        <v>521612</v>
      </c>
    </row>
    <row r="3588" spans="1:11" x14ac:dyDescent="0.25">
      <c r="A3588">
        <v>2023</v>
      </c>
      <c r="B3588" t="s">
        <v>1968</v>
      </c>
      <c r="C3588" t="s">
        <v>1969</v>
      </c>
      <c r="D3588" t="s">
        <v>164</v>
      </c>
      <c r="E3588" t="s">
        <v>20</v>
      </c>
      <c r="F3588" t="str">
        <f>"43558"</f>
        <v>43558</v>
      </c>
      <c r="G3588" t="str">
        <f t="shared" si="116"/>
        <v>632482</v>
      </c>
      <c r="H3588" s="2">
        <f>20</f>
        <v>20</v>
      </c>
      <c r="I3588" t="s">
        <v>27</v>
      </c>
      <c r="J3588" t="s">
        <v>157</v>
      </c>
      <c r="K3588" t="str">
        <f>"521880"</f>
        <v>521880</v>
      </c>
    </row>
    <row r="3589" spans="1:11" x14ac:dyDescent="0.25">
      <c r="A3589">
        <v>2023</v>
      </c>
      <c r="B3589" t="s">
        <v>1968</v>
      </c>
      <c r="C3589" t="s">
        <v>1969</v>
      </c>
      <c r="D3589" t="s">
        <v>164</v>
      </c>
      <c r="E3589" t="s">
        <v>20</v>
      </c>
      <c r="F3589" t="str">
        <f>"43558"</f>
        <v>43558</v>
      </c>
      <c r="G3589" t="str">
        <f t="shared" si="116"/>
        <v>632482</v>
      </c>
      <c r="H3589" s="2">
        <f>15</f>
        <v>15</v>
      </c>
      <c r="I3589" t="s">
        <v>27</v>
      </c>
      <c r="J3589" t="s">
        <v>157</v>
      </c>
      <c r="K3589" t="str">
        <f>"522625"</f>
        <v>522625</v>
      </c>
    </row>
    <row r="3590" spans="1:11" x14ac:dyDescent="0.25">
      <c r="A3590">
        <v>2023</v>
      </c>
      <c r="B3590" t="s">
        <v>1968</v>
      </c>
      <c r="C3590" t="s">
        <v>1969</v>
      </c>
      <c r="D3590" t="s">
        <v>164</v>
      </c>
      <c r="E3590" t="s">
        <v>20</v>
      </c>
      <c r="F3590" t="str">
        <f>"43558"</f>
        <v>43558</v>
      </c>
      <c r="G3590" t="str">
        <f t="shared" si="116"/>
        <v>632482</v>
      </c>
      <c r="H3590" s="2">
        <f>10</f>
        <v>10</v>
      </c>
      <c r="I3590" t="s">
        <v>27</v>
      </c>
      <c r="J3590" t="s">
        <v>157</v>
      </c>
      <c r="K3590" t="str">
        <f>"522709"</f>
        <v>522709</v>
      </c>
    </row>
    <row r="3591" spans="1:11" x14ac:dyDescent="0.25">
      <c r="A3591">
        <v>2023</v>
      </c>
      <c r="B3591" t="s">
        <v>1972</v>
      </c>
      <c r="C3591" t="s">
        <v>1973</v>
      </c>
      <c r="D3591" t="s">
        <v>19</v>
      </c>
      <c r="E3591" t="s">
        <v>20</v>
      </c>
      <c r="F3591" t="str">
        <f>"43611"</f>
        <v>43611</v>
      </c>
      <c r="G3591" t="str">
        <f>"637573"</f>
        <v>637573</v>
      </c>
      <c r="H3591" s="2">
        <f>20</f>
        <v>20</v>
      </c>
      <c r="I3591" t="s">
        <v>27</v>
      </c>
      <c r="J3591" t="s">
        <v>61</v>
      </c>
      <c r="K3591" t="str">
        <f>"118376"</f>
        <v>118376</v>
      </c>
    </row>
    <row r="3592" spans="1:11" x14ac:dyDescent="0.25">
      <c r="A3592">
        <v>2023</v>
      </c>
      <c r="B3592" t="s">
        <v>1974</v>
      </c>
      <c r="C3592" t="s">
        <v>1975</v>
      </c>
      <c r="D3592" t="s">
        <v>19</v>
      </c>
      <c r="E3592" t="s">
        <v>20</v>
      </c>
      <c r="F3592" t="str">
        <f>"43613"</f>
        <v>43613</v>
      </c>
      <c r="G3592" t="str">
        <f>"632482"</f>
        <v>632482</v>
      </c>
      <c r="H3592" s="2">
        <f>17.19</f>
        <v>17.190000000000001</v>
      </c>
      <c r="I3592" t="s">
        <v>27</v>
      </c>
      <c r="J3592" t="s">
        <v>157</v>
      </c>
      <c r="K3592" t="str">
        <f>"521972"</f>
        <v>521972</v>
      </c>
    </row>
    <row r="3593" spans="1:11" x14ac:dyDescent="0.25">
      <c r="A3593">
        <v>2023</v>
      </c>
      <c r="B3593" t="s">
        <v>1976</v>
      </c>
      <c r="C3593" t="s">
        <v>1977</v>
      </c>
      <c r="D3593" t="s">
        <v>19</v>
      </c>
      <c r="E3593" t="s">
        <v>20</v>
      </c>
      <c r="F3593" t="str">
        <f>"43605"</f>
        <v>43605</v>
      </c>
      <c r="G3593" t="str">
        <f>"Je12142023"</f>
        <v>Je12142023</v>
      </c>
      <c r="H3593" s="2">
        <f>35</f>
        <v>35</v>
      </c>
      <c r="I3593" t="s">
        <v>15</v>
      </c>
      <c r="J3593" t="s">
        <v>176</v>
      </c>
      <c r="K3593" t="str">
        <f>"60104628"</f>
        <v>60104628</v>
      </c>
    </row>
    <row r="3594" spans="1:11" x14ac:dyDescent="0.25">
      <c r="A3594">
        <v>2023</v>
      </c>
      <c r="B3594" t="s">
        <v>2020</v>
      </c>
      <c r="C3594" t="s">
        <v>2021</v>
      </c>
      <c r="D3594" t="s">
        <v>19</v>
      </c>
      <c r="E3594" t="s">
        <v>20</v>
      </c>
      <c r="F3594" t="str">
        <f>"43623-2157"</f>
        <v>43623-2157</v>
      </c>
      <c r="G3594" t="str">
        <f>"637573"</f>
        <v>637573</v>
      </c>
      <c r="H3594" s="2">
        <f>20</f>
        <v>20</v>
      </c>
      <c r="I3594" t="s">
        <v>27</v>
      </c>
      <c r="J3594" t="s">
        <v>61</v>
      </c>
      <c r="K3594" t="str">
        <f>"119909"</f>
        <v>119909</v>
      </c>
    </row>
    <row r="3595" spans="1:11" x14ac:dyDescent="0.25">
      <c r="A3595">
        <v>2023</v>
      </c>
      <c r="B3595" t="s">
        <v>2026</v>
      </c>
      <c r="C3595" t="s">
        <v>2027</v>
      </c>
      <c r="D3595" t="s">
        <v>19</v>
      </c>
      <c r="E3595" t="s">
        <v>20</v>
      </c>
      <c r="F3595" t="str">
        <f>"43615"</f>
        <v>43615</v>
      </c>
      <c r="G3595" t="str">
        <f>"Je04112023"</f>
        <v>Je04112023</v>
      </c>
      <c r="H3595" s="2">
        <f>134.18</f>
        <v>134.18</v>
      </c>
      <c r="I3595" t="s">
        <v>15</v>
      </c>
      <c r="J3595" t="s">
        <v>412</v>
      </c>
      <c r="K3595" t="str">
        <f>"60072714"</f>
        <v>60072714</v>
      </c>
    </row>
    <row r="3596" spans="1:11" x14ac:dyDescent="0.25">
      <c r="A3596">
        <v>2023</v>
      </c>
      <c r="B3596" t="s">
        <v>2026</v>
      </c>
      <c r="C3596" t="s">
        <v>2027</v>
      </c>
      <c r="D3596" t="s">
        <v>19</v>
      </c>
      <c r="E3596" t="s">
        <v>20</v>
      </c>
      <c r="F3596" t="str">
        <f>"43615"</f>
        <v>43615</v>
      </c>
      <c r="G3596" t="str">
        <f>"Je04112023"</f>
        <v>Je04112023</v>
      </c>
      <c r="H3596" s="2">
        <f>48.44</f>
        <v>48.44</v>
      </c>
      <c r="I3596" t="s">
        <v>15</v>
      </c>
      <c r="J3596" t="s">
        <v>412</v>
      </c>
      <c r="K3596" t="str">
        <f>"60072715"</f>
        <v>60072715</v>
      </c>
    </row>
    <row r="3597" spans="1:11" x14ac:dyDescent="0.25">
      <c r="A3597">
        <v>2023</v>
      </c>
      <c r="B3597" t="s">
        <v>2030</v>
      </c>
      <c r="C3597" t="s">
        <v>2031</v>
      </c>
      <c r="D3597" t="s">
        <v>19</v>
      </c>
      <c r="E3597" t="s">
        <v>20</v>
      </c>
      <c r="F3597" t="str">
        <f>"43612"</f>
        <v>43612</v>
      </c>
      <c r="G3597" t="str">
        <f>"637573"</f>
        <v>637573</v>
      </c>
      <c r="H3597" s="2">
        <f>10</f>
        <v>10</v>
      </c>
      <c r="I3597" t="s">
        <v>27</v>
      </c>
      <c r="J3597" t="s">
        <v>61</v>
      </c>
      <c r="K3597" t="str">
        <f>"118992"</f>
        <v>118992</v>
      </c>
    </row>
    <row r="3598" spans="1:11" x14ac:dyDescent="0.25">
      <c r="A3598">
        <v>2023</v>
      </c>
      <c r="B3598" t="s">
        <v>2046</v>
      </c>
      <c r="C3598" t="s">
        <v>2047</v>
      </c>
      <c r="D3598" t="s">
        <v>58</v>
      </c>
      <c r="E3598" t="s">
        <v>20</v>
      </c>
      <c r="F3598" t="str">
        <f>"43616-2835"</f>
        <v>43616-2835</v>
      </c>
      <c r="G3598" t="str">
        <f>"637573"</f>
        <v>637573</v>
      </c>
      <c r="H3598" s="2">
        <f>10</f>
        <v>10</v>
      </c>
      <c r="I3598" t="s">
        <v>27</v>
      </c>
      <c r="J3598" t="s">
        <v>61</v>
      </c>
      <c r="K3598" t="str">
        <f>"119771"</f>
        <v>119771</v>
      </c>
    </row>
    <row r="3599" spans="1:11" x14ac:dyDescent="0.25">
      <c r="A3599">
        <v>2023</v>
      </c>
      <c r="B3599" t="s">
        <v>2058</v>
      </c>
      <c r="C3599" t="s">
        <v>2059</v>
      </c>
      <c r="D3599" t="s">
        <v>125</v>
      </c>
      <c r="E3599" t="s">
        <v>20</v>
      </c>
      <c r="F3599" t="str">
        <f>"43537"</f>
        <v>43537</v>
      </c>
      <c r="G3599" t="str">
        <f>"Je12142023"</f>
        <v>Je12142023</v>
      </c>
      <c r="H3599" s="2">
        <f>1526.94</f>
        <v>1526.94</v>
      </c>
      <c r="I3599" t="s">
        <v>15</v>
      </c>
      <c r="J3599" t="s">
        <v>176</v>
      </c>
      <c r="K3599" t="str">
        <f>"60100679"</f>
        <v>60100679</v>
      </c>
    </row>
    <row r="3600" spans="1:11" x14ac:dyDescent="0.25">
      <c r="A3600">
        <v>2023</v>
      </c>
      <c r="B3600" t="s">
        <v>2060</v>
      </c>
      <c r="C3600" t="s">
        <v>2061</v>
      </c>
      <c r="D3600" t="s">
        <v>19</v>
      </c>
      <c r="E3600" t="s">
        <v>20</v>
      </c>
      <c r="F3600" t="str">
        <f>"43614"</f>
        <v>43614</v>
      </c>
      <c r="G3600" t="str">
        <f>"632482"</f>
        <v>632482</v>
      </c>
      <c r="H3600" s="2">
        <f>20</f>
        <v>20</v>
      </c>
      <c r="I3600" t="s">
        <v>27</v>
      </c>
      <c r="J3600" t="s">
        <v>157</v>
      </c>
      <c r="K3600" t="str">
        <f>"521162"</f>
        <v>521162</v>
      </c>
    </row>
    <row r="3601" spans="1:11" x14ac:dyDescent="0.25">
      <c r="A3601">
        <v>2023</v>
      </c>
      <c r="B3601" t="s">
        <v>2060</v>
      </c>
      <c r="C3601" t="s">
        <v>2061</v>
      </c>
      <c r="D3601" t="s">
        <v>19</v>
      </c>
      <c r="E3601" t="s">
        <v>20</v>
      </c>
      <c r="F3601" t="str">
        <f>"43614"</f>
        <v>43614</v>
      </c>
      <c r="G3601" t="str">
        <f>"632482"</f>
        <v>632482</v>
      </c>
      <c r="H3601" s="2">
        <f>25</f>
        <v>25</v>
      </c>
      <c r="I3601" t="s">
        <v>27</v>
      </c>
      <c r="J3601" t="s">
        <v>157</v>
      </c>
      <c r="K3601" t="str">
        <f>"521513"</f>
        <v>521513</v>
      </c>
    </row>
    <row r="3602" spans="1:11" x14ac:dyDescent="0.25">
      <c r="A3602">
        <v>2023</v>
      </c>
      <c r="B3602" t="s">
        <v>2079</v>
      </c>
      <c r="C3602" t="s">
        <v>2080</v>
      </c>
      <c r="D3602" t="s">
        <v>19</v>
      </c>
      <c r="E3602" t="s">
        <v>20</v>
      </c>
      <c r="F3602" t="str">
        <f>"43604"</f>
        <v>43604</v>
      </c>
      <c r="G3602" t="str">
        <f>"632483"</f>
        <v>632483</v>
      </c>
      <c r="H3602" s="2">
        <f>20</f>
        <v>20</v>
      </c>
      <c r="I3602" t="s">
        <v>27</v>
      </c>
      <c r="J3602" t="s">
        <v>108</v>
      </c>
      <c r="K3602" t="str">
        <f>"38569"</f>
        <v>38569</v>
      </c>
    </row>
    <row r="3603" spans="1:11" x14ac:dyDescent="0.25">
      <c r="A3603">
        <v>2023</v>
      </c>
      <c r="B3603" t="s">
        <v>2081</v>
      </c>
      <c r="C3603" t="s">
        <v>2082</v>
      </c>
      <c r="D3603" t="s">
        <v>19</v>
      </c>
      <c r="E3603" t="s">
        <v>20</v>
      </c>
      <c r="F3603" t="str">
        <f>"43612-1650"</f>
        <v>43612-1650</v>
      </c>
      <c r="G3603" t="str">
        <f>"637573"</f>
        <v>637573</v>
      </c>
      <c r="H3603" s="2">
        <f>20</f>
        <v>20</v>
      </c>
      <c r="I3603" t="s">
        <v>27</v>
      </c>
      <c r="J3603" t="s">
        <v>61</v>
      </c>
      <c r="K3603" t="str">
        <f>"119023"</f>
        <v>119023</v>
      </c>
    </row>
    <row r="3604" spans="1:11" x14ac:dyDescent="0.25">
      <c r="A3604">
        <v>2023</v>
      </c>
      <c r="B3604" t="s">
        <v>2089</v>
      </c>
      <c r="C3604" t="s">
        <v>2090</v>
      </c>
      <c r="D3604" t="s">
        <v>2091</v>
      </c>
      <c r="E3604" t="s">
        <v>14</v>
      </c>
      <c r="F3604" t="str">
        <f>"49679"</f>
        <v>49679</v>
      </c>
      <c r="G3604" t="str">
        <f>"Je12142023"</f>
        <v>Je12142023</v>
      </c>
      <c r="H3604" s="2">
        <f>269.02</f>
        <v>269.02</v>
      </c>
      <c r="I3604" t="s">
        <v>15</v>
      </c>
      <c r="J3604" t="s">
        <v>176</v>
      </c>
      <c r="K3604" t="str">
        <f>"60106160"</f>
        <v>60106160</v>
      </c>
    </row>
    <row r="3605" spans="1:11" x14ac:dyDescent="0.25">
      <c r="A3605">
        <v>2023</v>
      </c>
      <c r="B3605" t="s">
        <v>2113</v>
      </c>
      <c r="C3605" t="s">
        <v>2114</v>
      </c>
      <c r="D3605" t="s">
        <v>125</v>
      </c>
      <c r="E3605" t="s">
        <v>20</v>
      </c>
      <c r="F3605" t="str">
        <f>"43537"</f>
        <v>43537</v>
      </c>
      <c r="G3605" t="str">
        <f>"632514"</f>
        <v>632514</v>
      </c>
      <c r="H3605" s="2">
        <f>2.02</f>
        <v>2.02</v>
      </c>
      <c r="I3605" t="s">
        <v>27</v>
      </c>
      <c r="J3605" t="s">
        <v>195</v>
      </c>
      <c r="K3605" t="str">
        <f>"44009209"</f>
        <v>44009209</v>
      </c>
    </row>
    <row r="3606" spans="1:11" x14ac:dyDescent="0.25">
      <c r="A3606">
        <v>2023</v>
      </c>
      <c r="B3606" t="s">
        <v>2119</v>
      </c>
      <c r="C3606" t="s">
        <v>2120</v>
      </c>
      <c r="D3606" t="s">
        <v>2121</v>
      </c>
      <c r="E3606" t="s">
        <v>2122</v>
      </c>
      <c r="F3606" t="str">
        <f>"28348"</f>
        <v>28348</v>
      </c>
      <c r="G3606" t="str">
        <f>"632514"</f>
        <v>632514</v>
      </c>
      <c r="H3606" s="2">
        <f>1</f>
        <v>1</v>
      </c>
      <c r="I3606" t="s">
        <v>27</v>
      </c>
      <c r="J3606" t="s">
        <v>195</v>
      </c>
      <c r="K3606" t="str">
        <f>"11004293"</f>
        <v>11004293</v>
      </c>
    </row>
    <row r="3607" spans="1:11" x14ac:dyDescent="0.25">
      <c r="A3607">
        <v>2023</v>
      </c>
      <c r="B3607" t="s">
        <v>2127</v>
      </c>
      <c r="C3607" t="s">
        <v>2128</v>
      </c>
      <c r="D3607" t="s">
        <v>111</v>
      </c>
      <c r="E3607" t="s">
        <v>20</v>
      </c>
      <c r="F3607" t="str">
        <f>"43218"</f>
        <v>43218</v>
      </c>
      <c r="G3607" t="str">
        <f>"632514"</f>
        <v>632514</v>
      </c>
      <c r="H3607" s="2">
        <f>20.38</f>
        <v>20.38</v>
      </c>
      <c r="I3607" t="s">
        <v>27</v>
      </c>
      <c r="J3607" t="s">
        <v>195</v>
      </c>
      <c r="K3607" t="str">
        <f>"11004319"</f>
        <v>11004319</v>
      </c>
    </row>
    <row r="3608" spans="1:11" x14ac:dyDescent="0.25">
      <c r="A3608">
        <v>2023</v>
      </c>
      <c r="B3608" t="s">
        <v>2127</v>
      </c>
      <c r="C3608" t="s">
        <v>2128</v>
      </c>
      <c r="D3608" t="s">
        <v>111</v>
      </c>
      <c r="E3608" t="s">
        <v>20</v>
      </c>
      <c r="F3608" t="str">
        <f>"43218"</f>
        <v>43218</v>
      </c>
      <c r="G3608" t="str">
        <f>"632514"</f>
        <v>632514</v>
      </c>
      <c r="H3608" s="2">
        <f>18.23</f>
        <v>18.23</v>
      </c>
      <c r="I3608" t="s">
        <v>27</v>
      </c>
      <c r="J3608" t="s">
        <v>195</v>
      </c>
      <c r="K3608" t="str">
        <f>"22024059"</f>
        <v>22024059</v>
      </c>
    </row>
    <row r="3609" spans="1:11" x14ac:dyDescent="0.25">
      <c r="A3609">
        <v>2023</v>
      </c>
      <c r="B3609" t="s">
        <v>2143</v>
      </c>
      <c r="C3609" t="s">
        <v>2144</v>
      </c>
      <c r="D3609" t="s">
        <v>19</v>
      </c>
      <c r="E3609" t="s">
        <v>20</v>
      </c>
      <c r="F3609" t="str">
        <f>"43604"</f>
        <v>43604</v>
      </c>
      <c r="G3609" t="str">
        <f>"Je12142023"</f>
        <v>Je12142023</v>
      </c>
      <c r="H3609" s="2">
        <f>65.22</f>
        <v>65.22</v>
      </c>
      <c r="I3609" t="s">
        <v>15</v>
      </c>
      <c r="J3609" t="s">
        <v>176</v>
      </c>
      <c r="K3609" t="str">
        <f>"60100409"</f>
        <v>60100409</v>
      </c>
    </row>
    <row r="3610" spans="1:11" x14ac:dyDescent="0.25">
      <c r="A3610">
        <v>2023</v>
      </c>
      <c r="B3610" t="s">
        <v>2147</v>
      </c>
      <c r="C3610" t="s">
        <v>2150</v>
      </c>
      <c r="D3610" t="s">
        <v>19</v>
      </c>
      <c r="E3610" t="s">
        <v>20</v>
      </c>
      <c r="F3610" t="str">
        <f>"43604"</f>
        <v>43604</v>
      </c>
      <c r="G3610" t="str">
        <f>"638581"</f>
        <v>638581</v>
      </c>
      <c r="H3610" s="2">
        <f>10.85</f>
        <v>10.85</v>
      </c>
      <c r="I3610" t="s">
        <v>27</v>
      </c>
      <c r="J3610" t="s">
        <v>61</v>
      </c>
      <c r="K3610" t="str">
        <f>"334120"</f>
        <v>334120</v>
      </c>
    </row>
    <row r="3611" spans="1:11" x14ac:dyDescent="0.25">
      <c r="A3611">
        <v>2023</v>
      </c>
      <c r="B3611" t="s">
        <v>2181</v>
      </c>
      <c r="C3611" t="s">
        <v>2182</v>
      </c>
      <c r="D3611" t="s">
        <v>19</v>
      </c>
      <c r="E3611" t="s">
        <v>20</v>
      </c>
      <c r="F3611" t="str">
        <f>"43613-2121"</f>
        <v>43613-2121</v>
      </c>
      <c r="G3611" t="str">
        <f>"637573"</f>
        <v>637573</v>
      </c>
      <c r="H3611" s="2">
        <f>10</f>
        <v>10</v>
      </c>
      <c r="I3611" t="s">
        <v>27</v>
      </c>
      <c r="J3611" t="s">
        <v>61</v>
      </c>
      <c r="K3611" t="str">
        <f>"118588"</f>
        <v>118588</v>
      </c>
    </row>
    <row r="3612" spans="1:11" x14ac:dyDescent="0.25">
      <c r="A3612">
        <v>2023</v>
      </c>
      <c r="B3612" t="s">
        <v>2189</v>
      </c>
      <c r="C3612" t="s">
        <v>2190</v>
      </c>
      <c r="D3612" t="s">
        <v>19</v>
      </c>
      <c r="E3612" t="s">
        <v>20</v>
      </c>
      <c r="F3612" t="str">
        <f>"43606-2642"</f>
        <v>43606-2642</v>
      </c>
      <c r="G3612" t="str">
        <f>"637573"</f>
        <v>637573</v>
      </c>
      <c r="H3612" s="2">
        <f>10</f>
        <v>10</v>
      </c>
      <c r="I3612" t="s">
        <v>27</v>
      </c>
      <c r="J3612" t="s">
        <v>61</v>
      </c>
      <c r="K3612" t="str">
        <f>"118589"</f>
        <v>118589</v>
      </c>
    </row>
    <row r="3613" spans="1:11" x14ac:dyDescent="0.25">
      <c r="A3613">
        <v>2023</v>
      </c>
      <c r="B3613" t="s">
        <v>2201</v>
      </c>
      <c r="C3613" t="s">
        <v>2203</v>
      </c>
      <c r="D3613" t="s">
        <v>19</v>
      </c>
      <c r="E3613" t="s">
        <v>20</v>
      </c>
      <c r="F3613" t="str">
        <f>"43606"</f>
        <v>43606</v>
      </c>
      <c r="G3613" t="str">
        <f>"Je12142023"</f>
        <v>Je12142023</v>
      </c>
      <c r="H3613" s="2">
        <f>700.73</f>
        <v>700.73</v>
      </c>
      <c r="I3613" t="s">
        <v>15</v>
      </c>
      <c r="J3613" t="s">
        <v>176</v>
      </c>
      <c r="K3613" t="str">
        <f>"60096808"</f>
        <v>60096808</v>
      </c>
    </row>
    <row r="3614" spans="1:11" x14ac:dyDescent="0.25">
      <c r="A3614">
        <v>2023</v>
      </c>
      <c r="B3614" t="s">
        <v>2206</v>
      </c>
      <c r="C3614" t="s">
        <v>2207</v>
      </c>
      <c r="D3614" t="s">
        <v>19</v>
      </c>
      <c r="E3614" t="s">
        <v>20</v>
      </c>
      <c r="F3614" t="str">
        <f>"43615"</f>
        <v>43615</v>
      </c>
      <c r="G3614" t="str">
        <f>"Je06132023"</f>
        <v>Je06132023</v>
      </c>
      <c r="H3614" s="2">
        <f>125</f>
        <v>125</v>
      </c>
      <c r="I3614" t="s">
        <v>15</v>
      </c>
      <c r="J3614" t="s">
        <v>16</v>
      </c>
      <c r="K3614" t="str">
        <f>"60080168"</f>
        <v>60080168</v>
      </c>
    </row>
    <row r="3615" spans="1:11" x14ac:dyDescent="0.25">
      <c r="A3615">
        <v>2023</v>
      </c>
      <c r="B3615" t="s">
        <v>2206</v>
      </c>
      <c r="C3615" t="s">
        <v>2207</v>
      </c>
      <c r="D3615" t="s">
        <v>19</v>
      </c>
      <c r="E3615" t="s">
        <v>20</v>
      </c>
      <c r="F3615" t="str">
        <f>"43615"</f>
        <v>43615</v>
      </c>
      <c r="G3615" t="str">
        <f>"Je06132023"</f>
        <v>Je06132023</v>
      </c>
      <c r="H3615" s="2">
        <f>105</f>
        <v>105</v>
      </c>
      <c r="I3615" t="s">
        <v>15</v>
      </c>
      <c r="J3615" t="s">
        <v>16</v>
      </c>
      <c r="K3615" t="str">
        <f>"60081261"</f>
        <v>60081261</v>
      </c>
    </row>
    <row r="3616" spans="1:11" x14ac:dyDescent="0.25">
      <c r="A3616">
        <v>2023</v>
      </c>
      <c r="B3616" t="s">
        <v>2212</v>
      </c>
      <c r="C3616" t="s">
        <v>2213</v>
      </c>
      <c r="D3616" t="s">
        <v>19</v>
      </c>
      <c r="E3616" t="s">
        <v>20</v>
      </c>
      <c r="F3616" t="str">
        <f>"43606-2650"</f>
        <v>43606-2650</v>
      </c>
      <c r="G3616" t="str">
        <f>"637573"</f>
        <v>637573</v>
      </c>
      <c r="H3616" s="2">
        <f>20</f>
        <v>20</v>
      </c>
      <c r="I3616" t="s">
        <v>27</v>
      </c>
      <c r="J3616" t="s">
        <v>61</v>
      </c>
      <c r="K3616" t="str">
        <f>"119189"</f>
        <v>119189</v>
      </c>
    </row>
    <row r="3617" spans="1:11" x14ac:dyDescent="0.25">
      <c r="A3617">
        <v>2023</v>
      </c>
      <c r="B3617" t="s">
        <v>2234</v>
      </c>
      <c r="C3617" t="s">
        <v>2235</v>
      </c>
      <c r="D3617" t="s">
        <v>19</v>
      </c>
      <c r="E3617" t="s">
        <v>20</v>
      </c>
      <c r="F3617" t="str">
        <f t="shared" ref="F3617:F3625" si="117">"43615"</f>
        <v>43615</v>
      </c>
      <c r="G3617" t="str">
        <f>"637573"</f>
        <v>637573</v>
      </c>
      <c r="H3617" s="2">
        <f>10</f>
        <v>10</v>
      </c>
      <c r="I3617" t="s">
        <v>27</v>
      </c>
      <c r="J3617" t="s">
        <v>61</v>
      </c>
      <c r="K3617" t="str">
        <f>"120301"</f>
        <v>120301</v>
      </c>
    </row>
    <row r="3618" spans="1:11" x14ac:dyDescent="0.25">
      <c r="A3618">
        <v>2023</v>
      </c>
      <c r="B3618" t="s">
        <v>2236</v>
      </c>
      <c r="C3618" t="s">
        <v>2237</v>
      </c>
      <c r="D3618" t="s">
        <v>19</v>
      </c>
      <c r="E3618" t="s">
        <v>20</v>
      </c>
      <c r="F3618" t="str">
        <f t="shared" si="117"/>
        <v>43615</v>
      </c>
      <c r="G3618" t="str">
        <f t="shared" ref="G3618:G3625" si="118">"632482"</f>
        <v>632482</v>
      </c>
      <c r="H3618" s="2">
        <f>40</f>
        <v>40</v>
      </c>
      <c r="I3618" t="s">
        <v>27</v>
      </c>
      <c r="J3618" t="s">
        <v>157</v>
      </c>
      <c r="K3618" t="str">
        <f>"522151"</f>
        <v>522151</v>
      </c>
    </row>
    <row r="3619" spans="1:11" x14ac:dyDescent="0.25">
      <c r="A3619">
        <v>2023</v>
      </c>
      <c r="B3619" t="s">
        <v>2236</v>
      </c>
      <c r="C3619" t="s">
        <v>2237</v>
      </c>
      <c r="D3619" t="s">
        <v>19</v>
      </c>
      <c r="E3619" t="s">
        <v>20</v>
      </c>
      <c r="F3619" t="str">
        <f t="shared" si="117"/>
        <v>43615</v>
      </c>
      <c r="G3619" t="str">
        <f t="shared" si="118"/>
        <v>632482</v>
      </c>
      <c r="H3619" s="2">
        <f>40</f>
        <v>40</v>
      </c>
      <c r="I3619" t="s">
        <v>27</v>
      </c>
      <c r="J3619" t="s">
        <v>157</v>
      </c>
      <c r="K3619" t="str">
        <f>"522854"</f>
        <v>522854</v>
      </c>
    </row>
    <row r="3620" spans="1:11" x14ac:dyDescent="0.25">
      <c r="A3620">
        <v>2023</v>
      </c>
      <c r="B3620" t="s">
        <v>2236</v>
      </c>
      <c r="C3620" t="s">
        <v>2237</v>
      </c>
      <c r="D3620" t="s">
        <v>19</v>
      </c>
      <c r="E3620" t="s">
        <v>20</v>
      </c>
      <c r="F3620" t="str">
        <f t="shared" si="117"/>
        <v>43615</v>
      </c>
      <c r="G3620" t="str">
        <f t="shared" si="118"/>
        <v>632482</v>
      </c>
      <c r="H3620" s="2">
        <f>40</f>
        <v>40</v>
      </c>
      <c r="I3620" t="s">
        <v>27</v>
      </c>
      <c r="J3620" t="s">
        <v>157</v>
      </c>
      <c r="K3620" t="str">
        <f>"523188"</f>
        <v>523188</v>
      </c>
    </row>
    <row r="3621" spans="1:11" x14ac:dyDescent="0.25">
      <c r="A3621">
        <v>2023</v>
      </c>
      <c r="B3621" t="s">
        <v>2236</v>
      </c>
      <c r="C3621" t="s">
        <v>2237</v>
      </c>
      <c r="D3621" t="s">
        <v>19</v>
      </c>
      <c r="E3621" t="s">
        <v>20</v>
      </c>
      <c r="F3621" t="str">
        <f t="shared" si="117"/>
        <v>43615</v>
      </c>
      <c r="G3621" t="str">
        <f t="shared" si="118"/>
        <v>632482</v>
      </c>
      <c r="H3621" s="2">
        <f>40</f>
        <v>40</v>
      </c>
      <c r="I3621" t="s">
        <v>27</v>
      </c>
      <c r="J3621" t="s">
        <v>157</v>
      </c>
      <c r="K3621" t="str">
        <f>"522700"</f>
        <v>522700</v>
      </c>
    </row>
    <row r="3622" spans="1:11" x14ac:dyDescent="0.25">
      <c r="A3622">
        <v>2023</v>
      </c>
      <c r="B3622" t="s">
        <v>2236</v>
      </c>
      <c r="C3622" t="s">
        <v>2237</v>
      </c>
      <c r="D3622" t="s">
        <v>19</v>
      </c>
      <c r="E3622" t="s">
        <v>20</v>
      </c>
      <c r="F3622" t="str">
        <f t="shared" si="117"/>
        <v>43615</v>
      </c>
      <c r="G3622" t="str">
        <f t="shared" si="118"/>
        <v>632482</v>
      </c>
      <c r="H3622" s="2">
        <f>45</f>
        <v>45</v>
      </c>
      <c r="I3622" t="s">
        <v>27</v>
      </c>
      <c r="J3622" t="s">
        <v>157</v>
      </c>
      <c r="K3622" t="str">
        <f>"522493"</f>
        <v>522493</v>
      </c>
    </row>
    <row r="3623" spans="1:11" x14ac:dyDescent="0.25">
      <c r="A3623">
        <v>2023</v>
      </c>
      <c r="B3623" t="s">
        <v>2236</v>
      </c>
      <c r="C3623" t="s">
        <v>2237</v>
      </c>
      <c r="D3623" t="s">
        <v>19</v>
      </c>
      <c r="E3623" t="s">
        <v>20</v>
      </c>
      <c r="F3623" t="str">
        <f t="shared" si="117"/>
        <v>43615</v>
      </c>
      <c r="G3623" t="str">
        <f t="shared" si="118"/>
        <v>632482</v>
      </c>
      <c r="H3623" s="2">
        <f>31</f>
        <v>31</v>
      </c>
      <c r="I3623" t="s">
        <v>27</v>
      </c>
      <c r="J3623" t="s">
        <v>157</v>
      </c>
      <c r="K3623" t="str">
        <f>"521449"</f>
        <v>521449</v>
      </c>
    </row>
    <row r="3624" spans="1:11" x14ac:dyDescent="0.25">
      <c r="A3624">
        <v>2023</v>
      </c>
      <c r="B3624" t="s">
        <v>2236</v>
      </c>
      <c r="C3624" t="s">
        <v>2237</v>
      </c>
      <c r="D3624" t="s">
        <v>19</v>
      </c>
      <c r="E3624" t="s">
        <v>20</v>
      </c>
      <c r="F3624" t="str">
        <f t="shared" si="117"/>
        <v>43615</v>
      </c>
      <c r="G3624" t="str">
        <f t="shared" si="118"/>
        <v>632482</v>
      </c>
      <c r="H3624" s="2">
        <f>30</f>
        <v>30</v>
      </c>
      <c r="I3624" t="s">
        <v>27</v>
      </c>
      <c r="J3624" t="s">
        <v>157</v>
      </c>
      <c r="K3624" t="str">
        <f>"521565"</f>
        <v>521565</v>
      </c>
    </row>
    <row r="3625" spans="1:11" x14ac:dyDescent="0.25">
      <c r="A3625">
        <v>2023</v>
      </c>
      <c r="B3625" t="s">
        <v>2236</v>
      </c>
      <c r="C3625" t="s">
        <v>2237</v>
      </c>
      <c r="D3625" t="s">
        <v>19</v>
      </c>
      <c r="E3625" t="s">
        <v>20</v>
      </c>
      <c r="F3625" t="str">
        <f t="shared" si="117"/>
        <v>43615</v>
      </c>
      <c r="G3625" t="str">
        <f t="shared" si="118"/>
        <v>632482</v>
      </c>
      <c r="H3625" s="2">
        <f>25</f>
        <v>25</v>
      </c>
      <c r="I3625" t="s">
        <v>27</v>
      </c>
      <c r="J3625" t="s">
        <v>157</v>
      </c>
      <c r="K3625" t="str">
        <f>"520717"</f>
        <v>520717</v>
      </c>
    </row>
    <row r="3626" spans="1:11" x14ac:dyDescent="0.25">
      <c r="A3626">
        <v>2023</v>
      </c>
      <c r="B3626" t="s">
        <v>2238</v>
      </c>
      <c r="C3626" t="s">
        <v>2239</v>
      </c>
      <c r="D3626" t="s">
        <v>19</v>
      </c>
      <c r="E3626" t="s">
        <v>20</v>
      </c>
      <c r="F3626" t="str">
        <f>"43614"</f>
        <v>43614</v>
      </c>
      <c r="G3626" t="str">
        <f>"Je12142023"</f>
        <v>Je12142023</v>
      </c>
      <c r="H3626" s="2">
        <f>313.32</f>
        <v>313.32</v>
      </c>
      <c r="I3626" t="s">
        <v>15</v>
      </c>
      <c r="J3626" t="s">
        <v>176</v>
      </c>
      <c r="K3626" t="str">
        <f>"60097161"</f>
        <v>60097161</v>
      </c>
    </row>
    <row r="3627" spans="1:11" x14ac:dyDescent="0.25">
      <c r="A3627">
        <v>2023</v>
      </c>
      <c r="B3627" t="s">
        <v>2240</v>
      </c>
      <c r="C3627" t="s">
        <v>2241</v>
      </c>
      <c r="D3627" t="s">
        <v>19</v>
      </c>
      <c r="E3627" t="s">
        <v>20</v>
      </c>
      <c r="F3627" t="str">
        <f>"43614"</f>
        <v>43614</v>
      </c>
      <c r="G3627" t="str">
        <f>"632514"</f>
        <v>632514</v>
      </c>
      <c r="H3627" s="2">
        <f>3</f>
        <v>3</v>
      </c>
      <c r="I3627" t="s">
        <v>27</v>
      </c>
      <c r="J3627" t="s">
        <v>195</v>
      </c>
      <c r="K3627" t="str">
        <f>"11004386"</f>
        <v>11004386</v>
      </c>
    </row>
    <row r="3628" spans="1:11" x14ac:dyDescent="0.25">
      <c r="A3628">
        <v>2023</v>
      </c>
      <c r="B3628" t="s">
        <v>2246</v>
      </c>
      <c r="C3628" t="s">
        <v>2247</v>
      </c>
      <c r="D3628" t="s">
        <v>50</v>
      </c>
      <c r="E3628" t="s">
        <v>20</v>
      </c>
      <c r="F3628" t="str">
        <f>"43560-4219"</f>
        <v>43560-4219</v>
      </c>
      <c r="G3628" t="str">
        <f>"637573"</f>
        <v>637573</v>
      </c>
      <c r="H3628" s="2">
        <f>10</f>
        <v>10</v>
      </c>
      <c r="I3628" t="s">
        <v>27</v>
      </c>
      <c r="J3628" t="s">
        <v>61</v>
      </c>
      <c r="K3628" t="str">
        <f>"120398"</f>
        <v>120398</v>
      </c>
    </row>
    <row r="3629" spans="1:11" x14ac:dyDescent="0.25">
      <c r="A3629">
        <v>2023</v>
      </c>
      <c r="B3629" t="s">
        <v>2278</v>
      </c>
      <c r="C3629" t="s">
        <v>2279</v>
      </c>
      <c r="D3629" t="s">
        <v>19</v>
      </c>
      <c r="E3629" t="s">
        <v>20</v>
      </c>
      <c r="F3629" t="str">
        <f>"43613"</f>
        <v>43613</v>
      </c>
      <c r="G3629" t="str">
        <f>"638581"</f>
        <v>638581</v>
      </c>
      <c r="H3629" s="2">
        <f>28.58</f>
        <v>28.58</v>
      </c>
      <c r="I3629" t="s">
        <v>27</v>
      </c>
      <c r="J3629" t="s">
        <v>61</v>
      </c>
      <c r="K3629" t="str">
        <f>"334243"</f>
        <v>334243</v>
      </c>
    </row>
    <row r="3630" spans="1:11" x14ac:dyDescent="0.25">
      <c r="A3630">
        <v>2023</v>
      </c>
      <c r="B3630" t="s">
        <v>2306</v>
      </c>
      <c r="C3630" t="s">
        <v>2307</v>
      </c>
      <c r="D3630" t="s">
        <v>19</v>
      </c>
      <c r="E3630" t="s">
        <v>20</v>
      </c>
      <c r="F3630" t="str">
        <f>"43612"</f>
        <v>43612</v>
      </c>
      <c r="G3630" t="str">
        <f>"632514"</f>
        <v>632514</v>
      </c>
      <c r="H3630" s="2">
        <f>3.25</f>
        <v>3.25</v>
      </c>
      <c r="I3630" t="s">
        <v>27</v>
      </c>
      <c r="J3630" t="s">
        <v>195</v>
      </c>
      <c r="K3630" t="str">
        <f>"11004099"</f>
        <v>11004099</v>
      </c>
    </row>
    <row r="3631" spans="1:11" x14ac:dyDescent="0.25">
      <c r="A3631">
        <v>2023</v>
      </c>
      <c r="B3631" t="s">
        <v>2310</v>
      </c>
      <c r="C3631" t="s">
        <v>2311</v>
      </c>
      <c r="D3631" t="s">
        <v>899</v>
      </c>
      <c r="E3631" t="s">
        <v>20</v>
      </c>
      <c r="F3631" t="str">
        <f>"43412"</f>
        <v>43412</v>
      </c>
      <c r="G3631" t="str">
        <f>"638581"</f>
        <v>638581</v>
      </c>
      <c r="H3631" s="2">
        <f>35.69</f>
        <v>35.69</v>
      </c>
      <c r="I3631" t="s">
        <v>27</v>
      </c>
      <c r="J3631" t="s">
        <v>61</v>
      </c>
      <c r="K3631" t="str">
        <f>"334177"</f>
        <v>334177</v>
      </c>
    </row>
    <row r="3632" spans="1:11" x14ac:dyDescent="0.25">
      <c r="A3632">
        <v>2023</v>
      </c>
      <c r="B3632" t="s">
        <v>2325</v>
      </c>
      <c r="C3632" t="s">
        <v>2326</v>
      </c>
      <c r="D3632" t="s">
        <v>50</v>
      </c>
      <c r="E3632" t="s">
        <v>20</v>
      </c>
      <c r="F3632" t="str">
        <f>"43560-2160"</f>
        <v>43560-2160</v>
      </c>
      <c r="G3632" t="str">
        <f>"637573"</f>
        <v>637573</v>
      </c>
      <c r="H3632" s="2">
        <f>10</f>
        <v>10</v>
      </c>
      <c r="I3632" t="s">
        <v>27</v>
      </c>
      <c r="J3632" t="s">
        <v>61</v>
      </c>
      <c r="K3632" t="str">
        <f>"120914"</f>
        <v>120914</v>
      </c>
    </row>
    <row r="3633" spans="1:11" x14ac:dyDescent="0.25">
      <c r="A3633">
        <v>2023</v>
      </c>
      <c r="B3633" t="s">
        <v>2333</v>
      </c>
      <c r="C3633" t="s">
        <v>2334</v>
      </c>
      <c r="D3633" t="s">
        <v>50</v>
      </c>
      <c r="E3633" t="s">
        <v>20</v>
      </c>
      <c r="F3633" t="str">
        <f>"43560-8629"</f>
        <v>43560-8629</v>
      </c>
      <c r="G3633" t="str">
        <f>"637573"</f>
        <v>637573</v>
      </c>
      <c r="H3633" s="2">
        <f>20</f>
        <v>20</v>
      </c>
      <c r="I3633" t="s">
        <v>27</v>
      </c>
      <c r="J3633" t="s">
        <v>61</v>
      </c>
      <c r="K3633" t="str">
        <f>"119932"</f>
        <v>119932</v>
      </c>
    </row>
    <row r="3634" spans="1:11" x14ac:dyDescent="0.25">
      <c r="A3634">
        <v>2023</v>
      </c>
      <c r="B3634" t="s">
        <v>2364</v>
      </c>
      <c r="C3634" t="s">
        <v>2365</v>
      </c>
      <c r="D3634" t="s">
        <v>19</v>
      </c>
      <c r="E3634" t="s">
        <v>20</v>
      </c>
      <c r="F3634" t="str">
        <f>"43614"</f>
        <v>43614</v>
      </c>
      <c r="G3634" t="str">
        <f>"Je12142023"</f>
        <v>Je12142023</v>
      </c>
      <c r="H3634" s="2">
        <f>405.76</f>
        <v>405.76</v>
      </c>
      <c r="I3634" t="s">
        <v>15</v>
      </c>
      <c r="J3634" t="s">
        <v>176</v>
      </c>
      <c r="K3634" t="str">
        <f>"60105602"</f>
        <v>60105602</v>
      </c>
    </row>
    <row r="3635" spans="1:11" x14ac:dyDescent="0.25">
      <c r="A3635">
        <v>2023</v>
      </c>
      <c r="B3635" t="s">
        <v>2375</v>
      </c>
      <c r="C3635" t="s">
        <v>2377</v>
      </c>
      <c r="D3635" t="s">
        <v>19</v>
      </c>
      <c r="E3635" t="s">
        <v>20</v>
      </c>
      <c r="F3635" t="str">
        <f>"43604"</f>
        <v>43604</v>
      </c>
      <c r="G3635" t="str">
        <f>"638581"</f>
        <v>638581</v>
      </c>
      <c r="H3635" s="2">
        <f>37.85</f>
        <v>37.85</v>
      </c>
      <c r="I3635" t="s">
        <v>27</v>
      </c>
      <c r="J3635" t="s">
        <v>61</v>
      </c>
      <c r="K3635" t="str">
        <f>"333863"</f>
        <v>333863</v>
      </c>
    </row>
    <row r="3636" spans="1:11" x14ac:dyDescent="0.25">
      <c r="A3636">
        <v>2023</v>
      </c>
      <c r="B3636" t="s">
        <v>2379</v>
      </c>
      <c r="C3636" t="s">
        <v>2380</v>
      </c>
      <c r="D3636" t="s">
        <v>19</v>
      </c>
      <c r="E3636" t="s">
        <v>20</v>
      </c>
      <c r="F3636" t="str">
        <f>"43616"</f>
        <v>43616</v>
      </c>
      <c r="G3636" t="str">
        <f>"632482"</f>
        <v>632482</v>
      </c>
      <c r="H3636" s="2">
        <f>81</f>
        <v>81</v>
      </c>
      <c r="I3636" t="s">
        <v>27</v>
      </c>
      <c r="J3636" t="s">
        <v>157</v>
      </c>
      <c r="K3636" t="str">
        <f>"523087"</f>
        <v>523087</v>
      </c>
    </row>
    <row r="3637" spans="1:11" x14ac:dyDescent="0.25">
      <c r="A3637">
        <v>2023</v>
      </c>
      <c r="B3637" t="s">
        <v>2381</v>
      </c>
      <c r="C3637" t="s">
        <v>2382</v>
      </c>
      <c r="D3637" t="s">
        <v>19</v>
      </c>
      <c r="E3637" t="s">
        <v>20</v>
      </c>
      <c r="F3637" t="str">
        <f>"43605"</f>
        <v>43605</v>
      </c>
      <c r="G3637" t="str">
        <f>"632514"</f>
        <v>632514</v>
      </c>
      <c r="H3637" s="2">
        <f>4</f>
        <v>4</v>
      </c>
      <c r="I3637" t="s">
        <v>27</v>
      </c>
      <c r="J3637" t="s">
        <v>195</v>
      </c>
      <c r="K3637" t="str">
        <f>"44009576"</f>
        <v>44009576</v>
      </c>
    </row>
    <row r="3638" spans="1:11" x14ac:dyDescent="0.25">
      <c r="A3638">
        <v>2023</v>
      </c>
      <c r="B3638" t="s">
        <v>2387</v>
      </c>
      <c r="C3638" t="s">
        <v>2388</v>
      </c>
      <c r="D3638" t="s">
        <v>997</v>
      </c>
      <c r="E3638" t="s">
        <v>418</v>
      </c>
      <c r="F3638" t="str">
        <f t="shared" ref="F3638:F3649" si="119">"60631"</f>
        <v>60631</v>
      </c>
      <c r="G3638" t="str">
        <f t="shared" ref="G3638:G3649" si="120">"632482"</f>
        <v>632482</v>
      </c>
      <c r="H3638" s="2">
        <f>10</f>
        <v>10</v>
      </c>
      <c r="I3638" t="s">
        <v>27</v>
      </c>
      <c r="J3638" t="s">
        <v>157</v>
      </c>
      <c r="K3638" t="str">
        <f>"520570"</f>
        <v>520570</v>
      </c>
    </row>
    <row r="3639" spans="1:11" x14ac:dyDescent="0.25">
      <c r="A3639">
        <v>2023</v>
      </c>
      <c r="B3639" t="s">
        <v>2387</v>
      </c>
      <c r="C3639" t="s">
        <v>2388</v>
      </c>
      <c r="D3639" t="s">
        <v>997</v>
      </c>
      <c r="E3639" t="s">
        <v>418</v>
      </c>
      <c r="F3639" t="str">
        <f t="shared" si="119"/>
        <v>60631</v>
      </c>
      <c r="G3639" t="str">
        <f t="shared" si="120"/>
        <v>632482</v>
      </c>
      <c r="H3639" s="2">
        <f>25</f>
        <v>25</v>
      </c>
      <c r="I3639" t="s">
        <v>27</v>
      </c>
      <c r="J3639" t="s">
        <v>157</v>
      </c>
      <c r="K3639" t="str">
        <f>"521044"</f>
        <v>521044</v>
      </c>
    </row>
    <row r="3640" spans="1:11" x14ac:dyDescent="0.25">
      <c r="A3640">
        <v>2023</v>
      </c>
      <c r="B3640" t="s">
        <v>2387</v>
      </c>
      <c r="C3640" t="s">
        <v>2388</v>
      </c>
      <c r="D3640" t="s">
        <v>997</v>
      </c>
      <c r="E3640" t="s">
        <v>418</v>
      </c>
      <c r="F3640" t="str">
        <f t="shared" si="119"/>
        <v>60631</v>
      </c>
      <c r="G3640" t="str">
        <f t="shared" si="120"/>
        <v>632482</v>
      </c>
      <c r="H3640" s="2">
        <f>20</f>
        <v>20</v>
      </c>
      <c r="I3640" t="s">
        <v>27</v>
      </c>
      <c r="J3640" t="s">
        <v>157</v>
      </c>
      <c r="K3640" t="str">
        <f>"521305"</f>
        <v>521305</v>
      </c>
    </row>
    <row r="3641" spans="1:11" x14ac:dyDescent="0.25">
      <c r="A3641">
        <v>2023</v>
      </c>
      <c r="B3641" t="s">
        <v>2387</v>
      </c>
      <c r="C3641" t="s">
        <v>2388</v>
      </c>
      <c r="D3641" t="s">
        <v>997</v>
      </c>
      <c r="E3641" t="s">
        <v>418</v>
      </c>
      <c r="F3641" t="str">
        <f t="shared" si="119"/>
        <v>60631</v>
      </c>
      <c r="G3641" t="str">
        <f t="shared" si="120"/>
        <v>632482</v>
      </c>
      <c r="H3641" s="2">
        <f>15</f>
        <v>15</v>
      </c>
      <c r="I3641" t="s">
        <v>27</v>
      </c>
      <c r="J3641" t="s">
        <v>157</v>
      </c>
      <c r="K3641" t="str">
        <f>"521508"</f>
        <v>521508</v>
      </c>
    </row>
    <row r="3642" spans="1:11" x14ac:dyDescent="0.25">
      <c r="A3642">
        <v>2023</v>
      </c>
      <c r="B3642" t="s">
        <v>2387</v>
      </c>
      <c r="C3642" t="s">
        <v>2388</v>
      </c>
      <c r="D3642" t="s">
        <v>997</v>
      </c>
      <c r="E3642" t="s">
        <v>418</v>
      </c>
      <c r="F3642" t="str">
        <f t="shared" si="119"/>
        <v>60631</v>
      </c>
      <c r="G3642" t="str">
        <f t="shared" si="120"/>
        <v>632482</v>
      </c>
      <c r="H3642" s="2">
        <f>20</f>
        <v>20</v>
      </c>
      <c r="I3642" t="s">
        <v>27</v>
      </c>
      <c r="J3642" t="s">
        <v>157</v>
      </c>
      <c r="K3642" t="str">
        <f>"521723"</f>
        <v>521723</v>
      </c>
    </row>
    <row r="3643" spans="1:11" x14ac:dyDescent="0.25">
      <c r="A3643">
        <v>2023</v>
      </c>
      <c r="B3643" t="s">
        <v>2387</v>
      </c>
      <c r="C3643" t="s">
        <v>2388</v>
      </c>
      <c r="D3643" t="s">
        <v>997</v>
      </c>
      <c r="E3643" t="s">
        <v>418</v>
      </c>
      <c r="F3643" t="str">
        <f t="shared" si="119"/>
        <v>60631</v>
      </c>
      <c r="G3643" t="str">
        <f t="shared" si="120"/>
        <v>632482</v>
      </c>
      <c r="H3643" s="2">
        <f>20</f>
        <v>20</v>
      </c>
      <c r="I3643" t="s">
        <v>27</v>
      </c>
      <c r="J3643" t="s">
        <v>157</v>
      </c>
      <c r="K3643" t="str">
        <f>"521936"</f>
        <v>521936</v>
      </c>
    </row>
    <row r="3644" spans="1:11" x14ac:dyDescent="0.25">
      <c r="A3644">
        <v>2023</v>
      </c>
      <c r="B3644" t="s">
        <v>2387</v>
      </c>
      <c r="C3644" t="s">
        <v>2388</v>
      </c>
      <c r="D3644" t="s">
        <v>997</v>
      </c>
      <c r="E3644" t="s">
        <v>418</v>
      </c>
      <c r="F3644" t="str">
        <f t="shared" si="119"/>
        <v>60631</v>
      </c>
      <c r="G3644" t="str">
        <f t="shared" si="120"/>
        <v>632482</v>
      </c>
      <c r="H3644" s="2">
        <f>50</f>
        <v>50</v>
      </c>
      <c r="I3644" t="s">
        <v>27</v>
      </c>
      <c r="J3644" t="s">
        <v>157</v>
      </c>
      <c r="K3644" t="str">
        <f>"523159"</f>
        <v>523159</v>
      </c>
    </row>
    <row r="3645" spans="1:11" x14ac:dyDescent="0.25">
      <c r="A3645">
        <v>2023</v>
      </c>
      <c r="B3645" t="s">
        <v>2387</v>
      </c>
      <c r="C3645" t="s">
        <v>2388</v>
      </c>
      <c r="D3645" t="s">
        <v>997</v>
      </c>
      <c r="E3645" t="s">
        <v>418</v>
      </c>
      <c r="F3645" t="str">
        <f t="shared" si="119"/>
        <v>60631</v>
      </c>
      <c r="G3645" t="str">
        <f t="shared" si="120"/>
        <v>632482</v>
      </c>
      <c r="H3645" s="2">
        <f>35</f>
        <v>35</v>
      </c>
      <c r="I3645" t="s">
        <v>27</v>
      </c>
      <c r="J3645" t="s">
        <v>157</v>
      </c>
      <c r="K3645" t="str">
        <f>"522820"</f>
        <v>522820</v>
      </c>
    </row>
    <row r="3646" spans="1:11" x14ac:dyDescent="0.25">
      <c r="A3646">
        <v>2023</v>
      </c>
      <c r="B3646" t="s">
        <v>2387</v>
      </c>
      <c r="C3646" t="s">
        <v>2388</v>
      </c>
      <c r="D3646" t="s">
        <v>997</v>
      </c>
      <c r="E3646" t="s">
        <v>418</v>
      </c>
      <c r="F3646" t="str">
        <f t="shared" si="119"/>
        <v>60631</v>
      </c>
      <c r="G3646" t="str">
        <f t="shared" si="120"/>
        <v>632482</v>
      </c>
      <c r="H3646" s="2">
        <f>30</f>
        <v>30</v>
      </c>
      <c r="I3646" t="s">
        <v>27</v>
      </c>
      <c r="J3646" t="s">
        <v>157</v>
      </c>
      <c r="K3646" t="str">
        <f>"522965"</f>
        <v>522965</v>
      </c>
    </row>
    <row r="3647" spans="1:11" x14ac:dyDescent="0.25">
      <c r="A3647">
        <v>2023</v>
      </c>
      <c r="B3647" t="s">
        <v>2387</v>
      </c>
      <c r="C3647" t="s">
        <v>2388</v>
      </c>
      <c r="D3647" t="s">
        <v>997</v>
      </c>
      <c r="E3647" t="s">
        <v>418</v>
      </c>
      <c r="F3647" t="str">
        <f t="shared" si="119"/>
        <v>60631</v>
      </c>
      <c r="G3647" t="str">
        <f t="shared" si="120"/>
        <v>632482</v>
      </c>
      <c r="H3647" s="2">
        <f>25.45</f>
        <v>25.45</v>
      </c>
      <c r="I3647" t="s">
        <v>27</v>
      </c>
      <c r="J3647" t="s">
        <v>157</v>
      </c>
      <c r="K3647" t="str">
        <f>"522578"</f>
        <v>522578</v>
      </c>
    </row>
    <row r="3648" spans="1:11" x14ac:dyDescent="0.25">
      <c r="A3648">
        <v>2023</v>
      </c>
      <c r="B3648" t="s">
        <v>2387</v>
      </c>
      <c r="C3648" t="s">
        <v>2388</v>
      </c>
      <c r="D3648" t="s">
        <v>997</v>
      </c>
      <c r="E3648" t="s">
        <v>418</v>
      </c>
      <c r="F3648" t="str">
        <f t="shared" si="119"/>
        <v>60631</v>
      </c>
      <c r="G3648" t="str">
        <f t="shared" si="120"/>
        <v>632482</v>
      </c>
      <c r="H3648" s="2">
        <f>25</f>
        <v>25</v>
      </c>
      <c r="I3648" t="s">
        <v>27</v>
      </c>
      <c r="J3648" t="s">
        <v>157</v>
      </c>
      <c r="K3648" t="str">
        <f>"522377"</f>
        <v>522377</v>
      </c>
    </row>
    <row r="3649" spans="1:11" x14ac:dyDescent="0.25">
      <c r="A3649">
        <v>2023</v>
      </c>
      <c r="B3649" t="s">
        <v>2387</v>
      </c>
      <c r="C3649" t="s">
        <v>2388</v>
      </c>
      <c r="D3649" t="s">
        <v>997</v>
      </c>
      <c r="E3649" t="s">
        <v>418</v>
      </c>
      <c r="F3649" t="str">
        <f t="shared" si="119"/>
        <v>60631</v>
      </c>
      <c r="G3649" t="str">
        <f t="shared" si="120"/>
        <v>632482</v>
      </c>
      <c r="H3649" s="2">
        <f>20</f>
        <v>20</v>
      </c>
      <c r="I3649" t="s">
        <v>27</v>
      </c>
      <c r="J3649" t="s">
        <v>157</v>
      </c>
      <c r="K3649" t="str">
        <f>"520795"</f>
        <v>520795</v>
      </c>
    </row>
    <row r="3650" spans="1:11" x14ac:dyDescent="0.25">
      <c r="A3650">
        <v>2023</v>
      </c>
      <c r="B3650" t="s">
        <v>2394</v>
      </c>
      <c r="C3650" t="s">
        <v>2395</v>
      </c>
      <c r="D3650" t="s">
        <v>19</v>
      </c>
      <c r="E3650" t="s">
        <v>20</v>
      </c>
      <c r="F3650" t="str">
        <f>"43699-0017"</f>
        <v>43699-0017</v>
      </c>
      <c r="G3650" t="str">
        <f>"Je12142023"</f>
        <v>Je12142023</v>
      </c>
      <c r="H3650" s="2">
        <f>291.52</f>
        <v>291.52</v>
      </c>
      <c r="I3650" t="s">
        <v>15</v>
      </c>
      <c r="J3650" t="s">
        <v>176</v>
      </c>
      <c r="K3650" t="str">
        <f>"60102575"</f>
        <v>60102575</v>
      </c>
    </row>
    <row r="3651" spans="1:11" x14ac:dyDescent="0.25">
      <c r="A3651">
        <v>2023</v>
      </c>
      <c r="B3651" t="s">
        <v>2398</v>
      </c>
      <c r="C3651" t="s">
        <v>2399</v>
      </c>
      <c r="D3651" t="s">
        <v>19</v>
      </c>
      <c r="E3651" t="s">
        <v>20</v>
      </c>
      <c r="F3651" t="str">
        <f>"43604"</f>
        <v>43604</v>
      </c>
      <c r="G3651" t="str">
        <f>"632482"</f>
        <v>632482</v>
      </c>
      <c r="H3651" s="2">
        <f>17.19</f>
        <v>17.190000000000001</v>
      </c>
      <c r="I3651" t="s">
        <v>27</v>
      </c>
      <c r="J3651" t="s">
        <v>157</v>
      </c>
      <c r="K3651" t="str">
        <f>"521973"</f>
        <v>521973</v>
      </c>
    </row>
    <row r="3652" spans="1:11" x14ac:dyDescent="0.25">
      <c r="A3652">
        <v>2023</v>
      </c>
      <c r="B3652" t="s">
        <v>2422</v>
      </c>
      <c r="C3652" t="s">
        <v>2423</v>
      </c>
      <c r="D3652" t="s">
        <v>19</v>
      </c>
      <c r="E3652" t="s">
        <v>20</v>
      </c>
      <c r="F3652" t="str">
        <f>"43604"</f>
        <v>43604</v>
      </c>
      <c r="G3652" t="str">
        <f>"632482"</f>
        <v>632482</v>
      </c>
      <c r="H3652" s="2">
        <f>17.19</f>
        <v>17.190000000000001</v>
      </c>
      <c r="I3652" t="s">
        <v>27</v>
      </c>
      <c r="J3652" t="s">
        <v>157</v>
      </c>
      <c r="K3652" t="str">
        <f>"521974"</f>
        <v>521974</v>
      </c>
    </row>
    <row r="3653" spans="1:11" x14ac:dyDescent="0.25">
      <c r="A3653">
        <v>2023</v>
      </c>
      <c r="B3653" t="s">
        <v>2427</v>
      </c>
      <c r="C3653" t="s">
        <v>2428</v>
      </c>
      <c r="D3653" t="s">
        <v>19</v>
      </c>
      <c r="E3653" t="s">
        <v>20</v>
      </c>
      <c r="F3653" t="str">
        <f>"43614"</f>
        <v>43614</v>
      </c>
      <c r="G3653" t="str">
        <f>"638581"</f>
        <v>638581</v>
      </c>
      <c r="H3653" s="2">
        <f>1.4</f>
        <v>1.4</v>
      </c>
      <c r="I3653" t="s">
        <v>27</v>
      </c>
      <c r="J3653" t="s">
        <v>61</v>
      </c>
      <c r="K3653" t="str">
        <f>"334066"</f>
        <v>334066</v>
      </c>
    </row>
    <row r="3654" spans="1:11" x14ac:dyDescent="0.25">
      <c r="A3654">
        <v>2023</v>
      </c>
      <c r="B3654" t="s">
        <v>2433</v>
      </c>
      <c r="C3654" t="s">
        <v>2434</v>
      </c>
      <c r="D3654" t="s">
        <v>19</v>
      </c>
      <c r="E3654" t="s">
        <v>20</v>
      </c>
      <c r="F3654" t="str">
        <f>"43604"</f>
        <v>43604</v>
      </c>
      <c r="G3654" t="str">
        <f>"632482"</f>
        <v>632482</v>
      </c>
      <c r="H3654" s="2">
        <f>326.7</f>
        <v>326.7</v>
      </c>
      <c r="I3654" t="s">
        <v>27</v>
      </c>
      <c r="J3654" t="s">
        <v>157</v>
      </c>
      <c r="K3654" t="str">
        <f>"522373"</f>
        <v>522373</v>
      </c>
    </row>
    <row r="3655" spans="1:11" x14ac:dyDescent="0.25">
      <c r="A3655">
        <v>2023</v>
      </c>
      <c r="B3655" t="s">
        <v>2437</v>
      </c>
      <c r="C3655" t="s">
        <v>2438</v>
      </c>
      <c r="D3655" t="s">
        <v>1104</v>
      </c>
      <c r="E3655" t="s">
        <v>20</v>
      </c>
      <c r="F3655" t="str">
        <f>"44224"</f>
        <v>44224</v>
      </c>
      <c r="G3655" t="str">
        <f>"595350"</f>
        <v>595350</v>
      </c>
      <c r="H3655" s="2">
        <f>60</f>
        <v>60</v>
      </c>
      <c r="I3655" t="s">
        <v>86</v>
      </c>
      <c r="J3655" t="s">
        <v>1178</v>
      </c>
      <c r="K3655" t="str">
        <f>"30083"</f>
        <v>30083</v>
      </c>
    </row>
    <row r="3656" spans="1:11" x14ac:dyDescent="0.25">
      <c r="A3656">
        <v>2023</v>
      </c>
      <c r="B3656" t="s">
        <v>2437</v>
      </c>
      <c r="C3656" t="s">
        <v>2438</v>
      </c>
      <c r="D3656" t="s">
        <v>1104</v>
      </c>
      <c r="E3656" t="s">
        <v>20</v>
      </c>
      <c r="F3656" t="str">
        <f>"44224"</f>
        <v>44224</v>
      </c>
      <c r="G3656" t="str">
        <f>"595350"</f>
        <v>595350</v>
      </c>
      <c r="H3656" s="2">
        <f>60</f>
        <v>60</v>
      </c>
      <c r="I3656" t="s">
        <v>86</v>
      </c>
      <c r="J3656" t="s">
        <v>1178</v>
      </c>
      <c r="K3656" t="str">
        <f>"30084"</f>
        <v>30084</v>
      </c>
    </row>
    <row r="3657" spans="1:11" x14ac:dyDescent="0.25">
      <c r="A3657">
        <v>2023</v>
      </c>
      <c r="B3657" t="s">
        <v>2453</v>
      </c>
      <c r="C3657" t="s">
        <v>2454</v>
      </c>
      <c r="D3657" t="s">
        <v>19</v>
      </c>
      <c r="E3657" t="s">
        <v>20</v>
      </c>
      <c r="F3657" t="str">
        <f>"43608"</f>
        <v>43608</v>
      </c>
      <c r="G3657" t="str">
        <f>"632482"</f>
        <v>632482</v>
      </c>
      <c r="H3657" s="2">
        <f>10</f>
        <v>10</v>
      </c>
      <c r="I3657" t="s">
        <v>27</v>
      </c>
      <c r="J3657" t="s">
        <v>157</v>
      </c>
      <c r="K3657" t="str">
        <f>"522135"</f>
        <v>522135</v>
      </c>
    </row>
    <row r="3658" spans="1:11" x14ac:dyDescent="0.25">
      <c r="A3658">
        <v>2023</v>
      </c>
      <c r="B3658" t="s">
        <v>2453</v>
      </c>
      <c r="C3658" t="s">
        <v>2454</v>
      </c>
      <c r="D3658" t="s">
        <v>19</v>
      </c>
      <c r="E3658" t="s">
        <v>20</v>
      </c>
      <c r="F3658" t="str">
        <f>"43608"</f>
        <v>43608</v>
      </c>
      <c r="G3658" t="str">
        <f>"632482"</f>
        <v>632482</v>
      </c>
      <c r="H3658" s="2">
        <f>10</f>
        <v>10</v>
      </c>
      <c r="I3658" t="s">
        <v>27</v>
      </c>
      <c r="J3658" t="s">
        <v>157</v>
      </c>
      <c r="K3658" t="str">
        <f>"521753"</f>
        <v>521753</v>
      </c>
    </row>
    <row r="3659" spans="1:11" x14ac:dyDescent="0.25">
      <c r="A3659">
        <v>2023</v>
      </c>
      <c r="B3659" t="s">
        <v>2465</v>
      </c>
      <c r="C3659" t="s">
        <v>2466</v>
      </c>
      <c r="D3659" t="s">
        <v>19</v>
      </c>
      <c r="E3659" t="s">
        <v>20</v>
      </c>
      <c r="F3659" t="str">
        <f>"43607"</f>
        <v>43607</v>
      </c>
      <c r="G3659" t="str">
        <f>"Je012023"</f>
        <v>Je012023</v>
      </c>
      <c r="H3659" s="2">
        <f>15</f>
        <v>15</v>
      </c>
      <c r="I3659" t="s">
        <v>15</v>
      </c>
      <c r="J3659" t="s">
        <v>397</v>
      </c>
      <c r="K3659" t="str">
        <f>"60060182"</f>
        <v>60060182</v>
      </c>
    </row>
    <row r="3660" spans="1:11" x14ac:dyDescent="0.25">
      <c r="A3660">
        <v>2023</v>
      </c>
      <c r="B3660" t="s">
        <v>2469</v>
      </c>
      <c r="C3660" t="s">
        <v>2470</v>
      </c>
      <c r="D3660" t="s">
        <v>19</v>
      </c>
      <c r="E3660" t="s">
        <v>20</v>
      </c>
      <c r="F3660" t="str">
        <f>"43615"</f>
        <v>43615</v>
      </c>
      <c r="G3660" t="str">
        <f>"632482"</f>
        <v>632482</v>
      </c>
      <c r="H3660" s="2">
        <f>297</f>
        <v>297</v>
      </c>
      <c r="I3660" t="s">
        <v>27</v>
      </c>
      <c r="J3660" t="s">
        <v>157</v>
      </c>
      <c r="K3660" t="str">
        <f>"522657"</f>
        <v>522657</v>
      </c>
    </row>
    <row r="3661" spans="1:11" x14ac:dyDescent="0.25">
      <c r="A3661">
        <v>2023</v>
      </c>
      <c r="B3661" t="s">
        <v>2473</v>
      </c>
      <c r="C3661" t="s">
        <v>2474</v>
      </c>
      <c r="D3661" t="s">
        <v>19</v>
      </c>
      <c r="E3661" t="s">
        <v>20</v>
      </c>
      <c r="F3661" t="str">
        <f>"43613-5124"</f>
        <v>43613-5124</v>
      </c>
      <c r="G3661" t="str">
        <f>"637573"</f>
        <v>637573</v>
      </c>
      <c r="H3661" s="2">
        <f>10</f>
        <v>10</v>
      </c>
      <c r="I3661" t="s">
        <v>27</v>
      </c>
      <c r="J3661" t="s">
        <v>61</v>
      </c>
      <c r="K3661" t="str">
        <f>"120537"</f>
        <v>120537</v>
      </c>
    </row>
    <row r="3662" spans="1:11" x14ac:dyDescent="0.25">
      <c r="A3662">
        <v>2023</v>
      </c>
      <c r="B3662" t="s">
        <v>2487</v>
      </c>
      <c r="C3662" t="s">
        <v>2488</v>
      </c>
      <c r="D3662" t="s">
        <v>58</v>
      </c>
      <c r="E3662" t="s">
        <v>20</v>
      </c>
      <c r="F3662" t="str">
        <f>"43616"</f>
        <v>43616</v>
      </c>
      <c r="G3662" t="str">
        <f>"632482"</f>
        <v>632482</v>
      </c>
      <c r="H3662" s="2">
        <f>10</f>
        <v>10</v>
      </c>
      <c r="I3662" t="s">
        <v>27</v>
      </c>
      <c r="J3662" t="s">
        <v>157</v>
      </c>
      <c r="K3662" t="str">
        <f>"521156"</f>
        <v>521156</v>
      </c>
    </row>
    <row r="3663" spans="1:11" x14ac:dyDescent="0.25">
      <c r="A3663">
        <v>2023</v>
      </c>
      <c r="B3663" t="s">
        <v>2527</v>
      </c>
      <c r="C3663" t="s">
        <v>2528</v>
      </c>
      <c r="D3663" t="s">
        <v>125</v>
      </c>
      <c r="E3663" t="s">
        <v>20</v>
      </c>
      <c r="F3663" t="str">
        <f>"43537-9536"</f>
        <v>43537-9536</v>
      </c>
      <c r="G3663" t="str">
        <f>"637573"</f>
        <v>637573</v>
      </c>
      <c r="H3663" s="2">
        <f>30</f>
        <v>30</v>
      </c>
      <c r="I3663" t="s">
        <v>27</v>
      </c>
      <c r="J3663" t="s">
        <v>61</v>
      </c>
      <c r="K3663" t="str">
        <f>"120213"</f>
        <v>120213</v>
      </c>
    </row>
    <row r="3664" spans="1:11" x14ac:dyDescent="0.25">
      <c r="A3664">
        <v>2023</v>
      </c>
      <c r="B3664" t="s">
        <v>2531</v>
      </c>
      <c r="C3664" t="s">
        <v>2533</v>
      </c>
      <c r="D3664" t="s">
        <v>19</v>
      </c>
      <c r="E3664" t="s">
        <v>20</v>
      </c>
      <c r="F3664" t="str">
        <f>"43617"</f>
        <v>43617</v>
      </c>
      <c r="G3664" t="str">
        <f>"632483"</f>
        <v>632483</v>
      </c>
      <c r="H3664" s="2">
        <f>6.2</f>
        <v>6.2</v>
      </c>
      <c r="I3664" t="s">
        <v>27</v>
      </c>
      <c r="J3664" t="s">
        <v>108</v>
      </c>
      <c r="K3664" t="str">
        <f>"39952"</f>
        <v>39952</v>
      </c>
    </row>
    <row r="3665" spans="1:11" x14ac:dyDescent="0.25">
      <c r="A3665">
        <v>2023</v>
      </c>
      <c r="B3665" t="s">
        <v>2568</v>
      </c>
      <c r="C3665" t="s">
        <v>2569</v>
      </c>
      <c r="D3665" t="s">
        <v>19</v>
      </c>
      <c r="E3665" t="s">
        <v>20</v>
      </c>
      <c r="F3665" t="str">
        <f>"43609"</f>
        <v>43609</v>
      </c>
      <c r="G3665" t="str">
        <f>"632483"</f>
        <v>632483</v>
      </c>
      <c r="H3665" s="2">
        <f>11</f>
        <v>11</v>
      </c>
      <c r="I3665" t="s">
        <v>27</v>
      </c>
      <c r="J3665" t="s">
        <v>108</v>
      </c>
      <c r="K3665" t="str">
        <f>"38671"</f>
        <v>38671</v>
      </c>
    </row>
    <row r="3666" spans="1:11" x14ac:dyDescent="0.25">
      <c r="A3666">
        <v>2023</v>
      </c>
      <c r="B3666" t="s">
        <v>2578</v>
      </c>
      <c r="C3666" t="s">
        <v>2579</v>
      </c>
      <c r="D3666" t="s">
        <v>2580</v>
      </c>
      <c r="E3666" t="s">
        <v>14</v>
      </c>
      <c r="F3666" t="str">
        <f>"48326"</f>
        <v>48326</v>
      </c>
      <c r="G3666" t="str">
        <f>"632514"</f>
        <v>632514</v>
      </c>
      <c r="H3666" s="2">
        <f>3.5</f>
        <v>3.5</v>
      </c>
      <c r="I3666" t="s">
        <v>27</v>
      </c>
      <c r="J3666" t="s">
        <v>195</v>
      </c>
      <c r="K3666" t="str">
        <f>"44009626"</f>
        <v>44009626</v>
      </c>
    </row>
    <row r="3667" spans="1:11" x14ac:dyDescent="0.25">
      <c r="A3667">
        <v>2023</v>
      </c>
      <c r="B3667" t="s">
        <v>2582</v>
      </c>
      <c r="C3667" t="s">
        <v>2583</v>
      </c>
      <c r="D3667" t="s">
        <v>19</v>
      </c>
      <c r="E3667" t="s">
        <v>20</v>
      </c>
      <c r="F3667" t="str">
        <f>"43612"</f>
        <v>43612</v>
      </c>
      <c r="G3667" t="str">
        <f>"638581"</f>
        <v>638581</v>
      </c>
      <c r="H3667" s="2">
        <f>10.85</f>
        <v>10.85</v>
      </c>
      <c r="I3667" t="s">
        <v>27</v>
      </c>
      <c r="J3667" t="s">
        <v>61</v>
      </c>
      <c r="K3667" t="str">
        <f>"333895"</f>
        <v>333895</v>
      </c>
    </row>
    <row r="3668" spans="1:11" x14ac:dyDescent="0.25">
      <c r="A3668">
        <v>2023</v>
      </c>
      <c r="B3668" t="s">
        <v>2597</v>
      </c>
      <c r="C3668" t="s">
        <v>2598</v>
      </c>
      <c r="D3668" t="s">
        <v>125</v>
      </c>
      <c r="E3668" t="s">
        <v>20</v>
      </c>
      <c r="F3668" t="str">
        <f>"43537"</f>
        <v>43537</v>
      </c>
      <c r="G3668" t="str">
        <f>"Je04112023"</f>
        <v>Je04112023</v>
      </c>
      <c r="H3668" s="2">
        <f>22.27</f>
        <v>22.27</v>
      </c>
      <c r="I3668" t="s">
        <v>15</v>
      </c>
      <c r="J3668" t="s">
        <v>412</v>
      </c>
      <c r="K3668" t="str">
        <f>"60071582"</f>
        <v>60071582</v>
      </c>
    </row>
    <row r="3669" spans="1:11" x14ac:dyDescent="0.25">
      <c r="A3669">
        <v>2023</v>
      </c>
      <c r="B3669" t="s">
        <v>2599</v>
      </c>
      <c r="C3669" t="s">
        <v>2600</v>
      </c>
      <c r="D3669" t="s">
        <v>58</v>
      </c>
      <c r="E3669" t="s">
        <v>20</v>
      </c>
      <c r="F3669" t="str">
        <f>"43616"</f>
        <v>43616</v>
      </c>
      <c r="G3669" t="str">
        <f>"Je12142023"</f>
        <v>Je12142023</v>
      </c>
      <c r="H3669" s="2">
        <f>326.36</f>
        <v>326.36</v>
      </c>
      <c r="I3669" t="s">
        <v>15</v>
      </c>
      <c r="J3669" t="s">
        <v>176</v>
      </c>
      <c r="K3669" t="str">
        <f>"60100683"</f>
        <v>60100683</v>
      </c>
    </row>
    <row r="3670" spans="1:11" x14ac:dyDescent="0.25">
      <c r="A3670">
        <v>2023</v>
      </c>
      <c r="B3670" t="s">
        <v>2603</v>
      </c>
      <c r="C3670" t="s">
        <v>2604</v>
      </c>
      <c r="D3670" t="s">
        <v>19</v>
      </c>
      <c r="E3670" t="s">
        <v>20</v>
      </c>
      <c r="F3670" t="str">
        <f>"43605"</f>
        <v>43605</v>
      </c>
      <c r="G3670" t="str">
        <f>"Je12142023"</f>
        <v>Je12142023</v>
      </c>
      <c r="H3670" s="2">
        <f>113.56</f>
        <v>113.56</v>
      </c>
      <c r="I3670" t="s">
        <v>15</v>
      </c>
      <c r="J3670" t="s">
        <v>176</v>
      </c>
      <c r="K3670" t="str">
        <f>"60100418"</f>
        <v>60100418</v>
      </c>
    </row>
    <row r="3671" spans="1:11" x14ac:dyDescent="0.25">
      <c r="A3671">
        <v>2023</v>
      </c>
      <c r="B3671" t="s">
        <v>2617</v>
      </c>
      <c r="C3671" t="s">
        <v>2621</v>
      </c>
      <c r="D3671" t="s">
        <v>2622</v>
      </c>
      <c r="E3671" t="s">
        <v>418</v>
      </c>
      <c r="F3671" t="str">
        <f>"61081"</f>
        <v>61081</v>
      </c>
      <c r="G3671" t="str">
        <f>"641654"</f>
        <v>641654</v>
      </c>
      <c r="H3671" s="2">
        <f>28.97</f>
        <v>28.97</v>
      </c>
      <c r="I3671" t="s">
        <v>148</v>
      </c>
      <c r="J3671" t="s">
        <v>2620</v>
      </c>
      <c r="K3671" t="str">
        <f>"26398"</f>
        <v>26398</v>
      </c>
    </row>
    <row r="3672" spans="1:11" x14ac:dyDescent="0.25">
      <c r="A3672">
        <v>2023</v>
      </c>
      <c r="B3672" t="s">
        <v>2625</v>
      </c>
      <c r="C3672" t="s">
        <v>2626</v>
      </c>
      <c r="D3672" t="s">
        <v>19</v>
      </c>
      <c r="E3672" t="s">
        <v>20</v>
      </c>
      <c r="F3672" t="str">
        <f>"43615"</f>
        <v>43615</v>
      </c>
      <c r="G3672" t="str">
        <f>"Je12142023"</f>
        <v>Je12142023</v>
      </c>
      <c r="H3672" s="2">
        <f>319.44</f>
        <v>319.44</v>
      </c>
      <c r="I3672" t="s">
        <v>15</v>
      </c>
      <c r="J3672" t="s">
        <v>176</v>
      </c>
      <c r="K3672" t="str">
        <f>"60100419"</f>
        <v>60100419</v>
      </c>
    </row>
    <row r="3673" spans="1:11" x14ac:dyDescent="0.25">
      <c r="A3673">
        <v>2023</v>
      </c>
      <c r="B3673" t="s">
        <v>2633</v>
      </c>
      <c r="C3673" t="s">
        <v>2634</v>
      </c>
      <c r="D3673" t="s">
        <v>19</v>
      </c>
      <c r="E3673" t="s">
        <v>20</v>
      </c>
      <c r="F3673" t="str">
        <f>"43615"</f>
        <v>43615</v>
      </c>
      <c r="G3673" t="str">
        <f>"632482"</f>
        <v>632482</v>
      </c>
      <c r="H3673" s="2">
        <f>17.19</f>
        <v>17.190000000000001</v>
      </c>
      <c r="I3673" t="s">
        <v>27</v>
      </c>
      <c r="J3673" t="s">
        <v>157</v>
      </c>
      <c r="K3673" t="str">
        <f>"521980"</f>
        <v>521980</v>
      </c>
    </row>
    <row r="3674" spans="1:11" x14ac:dyDescent="0.25">
      <c r="A3674">
        <v>2023</v>
      </c>
      <c r="B3674" t="s">
        <v>2637</v>
      </c>
      <c r="C3674" t="s">
        <v>2638</v>
      </c>
      <c r="D3674" t="s">
        <v>19</v>
      </c>
      <c r="E3674" t="s">
        <v>20</v>
      </c>
      <c r="F3674" t="str">
        <f>"43611"</f>
        <v>43611</v>
      </c>
      <c r="G3674" t="str">
        <f>"Je10162023"</f>
        <v>Je10162023</v>
      </c>
      <c r="H3674" s="2">
        <f>20</f>
        <v>20</v>
      </c>
      <c r="I3674" t="s">
        <v>15</v>
      </c>
      <c r="J3674" t="s">
        <v>93</v>
      </c>
      <c r="K3674" t="str">
        <f>"60090805"</f>
        <v>60090805</v>
      </c>
    </row>
    <row r="3675" spans="1:11" x14ac:dyDescent="0.25">
      <c r="A3675">
        <v>2023</v>
      </c>
      <c r="B3675" t="s">
        <v>2664</v>
      </c>
      <c r="C3675" t="s">
        <v>2665</v>
      </c>
      <c r="D3675" t="s">
        <v>19</v>
      </c>
      <c r="E3675" t="s">
        <v>20</v>
      </c>
      <c r="F3675" t="str">
        <f>"43607"</f>
        <v>43607</v>
      </c>
      <c r="G3675" t="str">
        <f>"Je04112023"</f>
        <v>Je04112023</v>
      </c>
      <c r="H3675" s="2">
        <f>59.4</f>
        <v>59.4</v>
      </c>
      <c r="I3675" t="s">
        <v>15</v>
      </c>
      <c r="J3675" t="s">
        <v>412</v>
      </c>
      <c r="K3675" t="str">
        <f>"60068823"</f>
        <v>60068823</v>
      </c>
    </row>
    <row r="3676" spans="1:11" x14ac:dyDescent="0.25">
      <c r="A3676">
        <v>2023</v>
      </c>
      <c r="B3676" t="s">
        <v>2670</v>
      </c>
      <c r="C3676" t="s">
        <v>2671</v>
      </c>
      <c r="D3676" t="s">
        <v>19</v>
      </c>
      <c r="E3676" t="s">
        <v>20</v>
      </c>
      <c r="F3676" t="str">
        <f>"43613"</f>
        <v>43613</v>
      </c>
      <c r="G3676" t="str">
        <f>"637573"</f>
        <v>637573</v>
      </c>
      <c r="H3676" s="2">
        <f>10</f>
        <v>10</v>
      </c>
      <c r="I3676" t="s">
        <v>27</v>
      </c>
      <c r="J3676" t="s">
        <v>61</v>
      </c>
      <c r="K3676" t="str">
        <f>"119338"</f>
        <v>119338</v>
      </c>
    </row>
    <row r="3677" spans="1:11" x14ac:dyDescent="0.25">
      <c r="A3677">
        <v>2023</v>
      </c>
      <c r="B3677" t="s">
        <v>2684</v>
      </c>
      <c r="C3677" t="s">
        <v>2685</v>
      </c>
      <c r="D3677" t="s">
        <v>19</v>
      </c>
      <c r="E3677" t="s">
        <v>20</v>
      </c>
      <c r="F3677" t="str">
        <f>"43615"</f>
        <v>43615</v>
      </c>
      <c r="G3677" t="str">
        <f>"Je012023"</f>
        <v>Je012023</v>
      </c>
      <c r="H3677" s="2">
        <f>160</f>
        <v>160</v>
      </c>
      <c r="I3677" t="s">
        <v>15</v>
      </c>
      <c r="J3677" t="s">
        <v>397</v>
      </c>
      <c r="K3677" t="str">
        <f>"60059322"</f>
        <v>60059322</v>
      </c>
    </row>
    <row r="3678" spans="1:11" x14ac:dyDescent="0.25">
      <c r="A3678">
        <v>2023</v>
      </c>
      <c r="B3678" t="s">
        <v>2688</v>
      </c>
      <c r="C3678" t="s">
        <v>2689</v>
      </c>
      <c r="D3678" t="s">
        <v>19</v>
      </c>
      <c r="E3678" t="s">
        <v>20</v>
      </c>
      <c r="F3678" t="str">
        <f t="shared" ref="F3678:F3684" si="121">"43605"</f>
        <v>43605</v>
      </c>
      <c r="G3678" t="str">
        <f t="shared" ref="G3678:G3684" si="122">"632482"</f>
        <v>632482</v>
      </c>
      <c r="H3678" s="2">
        <f>1.82</f>
        <v>1.82</v>
      </c>
      <c r="I3678" t="s">
        <v>27</v>
      </c>
      <c r="J3678" t="s">
        <v>157</v>
      </c>
      <c r="K3678" t="str">
        <f>"521850"</f>
        <v>521850</v>
      </c>
    </row>
    <row r="3679" spans="1:11" x14ac:dyDescent="0.25">
      <c r="A3679">
        <v>2023</v>
      </c>
      <c r="B3679" t="s">
        <v>2688</v>
      </c>
      <c r="C3679" t="s">
        <v>2689</v>
      </c>
      <c r="D3679" t="s">
        <v>19</v>
      </c>
      <c r="E3679" t="s">
        <v>20</v>
      </c>
      <c r="F3679" t="str">
        <f t="shared" si="121"/>
        <v>43605</v>
      </c>
      <c r="G3679" t="str">
        <f t="shared" si="122"/>
        <v>632482</v>
      </c>
      <c r="H3679" s="2">
        <f>4.55</f>
        <v>4.55</v>
      </c>
      <c r="I3679" t="s">
        <v>27</v>
      </c>
      <c r="J3679" t="s">
        <v>157</v>
      </c>
      <c r="K3679" t="str">
        <f>"521413"</f>
        <v>521413</v>
      </c>
    </row>
    <row r="3680" spans="1:11" x14ac:dyDescent="0.25">
      <c r="A3680">
        <v>2023</v>
      </c>
      <c r="B3680" t="s">
        <v>2688</v>
      </c>
      <c r="C3680" t="s">
        <v>2689</v>
      </c>
      <c r="D3680" t="s">
        <v>19</v>
      </c>
      <c r="E3680" t="s">
        <v>20</v>
      </c>
      <c r="F3680" t="str">
        <f t="shared" si="121"/>
        <v>43605</v>
      </c>
      <c r="G3680" t="str">
        <f t="shared" si="122"/>
        <v>632482</v>
      </c>
      <c r="H3680" s="2">
        <f>4.55</f>
        <v>4.55</v>
      </c>
      <c r="I3680" t="s">
        <v>27</v>
      </c>
      <c r="J3680" t="s">
        <v>157</v>
      </c>
      <c r="K3680" t="str">
        <f>"521537"</f>
        <v>521537</v>
      </c>
    </row>
    <row r="3681" spans="1:11" x14ac:dyDescent="0.25">
      <c r="A3681">
        <v>2023</v>
      </c>
      <c r="B3681" t="s">
        <v>2688</v>
      </c>
      <c r="C3681" t="s">
        <v>2689</v>
      </c>
      <c r="D3681" t="s">
        <v>19</v>
      </c>
      <c r="E3681" t="s">
        <v>20</v>
      </c>
      <c r="F3681" t="str">
        <f t="shared" si="121"/>
        <v>43605</v>
      </c>
      <c r="G3681" t="str">
        <f t="shared" si="122"/>
        <v>632482</v>
      </c>
      <c r="H3681" s="2">
        <f>2.28</f>
        <v>2.2799999999999998</v>
      </c>
      <c r="I3681" t="s">
        <v>27</v>
      </c>
      <c r="J3681" t="s">
        <v>157</v>
      </c>
      <c r="K3681" t="str">
        <f>"521073"</f>
        <v>521073</v>
      </c>
    </row>
    <row r="3682" spans="1:11" x14ac:dyDescent="0.25">
      <c r="A3682">
        <v>2023</v>
      </c>
      <c r="B3682" t="s">
        <v>2688</v>
      </c>
      <c r="C3682" t="s">
        <v>2689</v>
      </c>
      <c r="D3682" t="s">
        <v>19</v>
      </c>
      <c r="E3682" t="s">
        <v>20</v>
      </c>
      <c r="F3682" t="str">
        <f t="shared" si="121"/>
        <v>43605</v>
      </c>
      <c r="G3682" t="str">
        <f t="shared" si="122"/>
        <v>632482</v>
      </c>
      <c r="H3682" s="2">
        <f>4.55</f>
        <v>4.55</v>
      </c>
      <c r="I3682" t="s">
        <v>27</v>
      </c>
      <c r="J3682" t="s">
        <v>157</v>
      </c>
      <c r="K3682" t="str">
        <f>"520599"</f>
        <v>520599</v>
      </c>
    </row>
    <row r="3683" spans="1:11" x14ac:dyDescent="0.25">
      <c r="A3683">
        <v>2023</v>
      </c>
      <c r="B3683" t="s">
        <v>2688</v>
      </c>
      <c r="C3683" t="s">
        <v>2689</v>
      </c>
      <c r="D3683" t="s">
        <v>19</v>
      </c>
      <c r="E3683" t="s">
        <v>20</v>
      </c>
      <c r="F3683" t="str">
        <f t="shared" si="121"/>
        <v>43605</v>
      </c>
      <c r="G3683" t="str">
        <f t="shared" si="122"/>
        <v>632482</v>
      </c>
      <c r="H3683" s="2">
        <f>2.28</f>
        <v>2.2799999999999998</v>
      </c>
      <c r="I3683" t="s">
        <v>27</v>
      </c>
      <c r="J3683" t="s">
        <v>157</v>
      </c>
      <c r="K3683" t="str">
        <f>"522255"</f>
        <v>522255</v>
      </c>
    </row>
    <row r="3684" spans="1:11" x14ac:dyDescent="0.25">
      <c r="A3684">
        <v>2023</v>
      </c>
      <c r="B3684" t="s">
        <v>2688</v>
      </c>
      <c r="C3684" t="s">
        <v>2689</v>
      </c>
      <c r="D3684" t="s">
        <v>19</v>
      </c>
      <c r="E3684" t="s">
        <v>20</v>
      </c>
      <c r="F3684" t="str">
        <f t="shared" si="121"/>
        <v>43605</v>
      </c>
      <c r="G3684" t="str">
        <f t="shared" si="122"/>
        <v>632482</v>
      </c>
      <c r="H3684" s="2">
        <f>4.55</f>
        <v>4.55</v>
      </c>
      <c r="I3684" t="s">
        <v>27</v>
      </c>
      <c r="J3684" t="s">
        <v>157</v>
      </c>
      <c r="K3684" t="str">
        <f>"520820"</f>
        <v>520820</v>
      </c>
    </row>
    <row r="3685" spans="1:11" x14ac:dyDescent="0.25">
      <c r="A3685">
        <v>2023</v>
      </c>
      <c r="B3685" t="s">
        <v>2694</v>
      </c>
      <c r="C3685" t="s">
        <v>2158</v>
      </c>
      <c r="D3685" t="s">
        <v>50</v>
      </c>
      <c r="E3685" t="s">
        <v>20</v>
      </c>
      <c r="F3685" t="str">
        <f>"43560-3925"</f>
        <v>43560-3925</v>
      </c>
      <c r="G3685" t="str">
        <f>"637573"</f>
        <v>637573</v>
      </c>
      <c r="H3685" s="2">
        <f>10</f>
        <v>10</v>
      </c>
      <c r="I3685" t="s">
        <v>27</v>
      </c>
      <c r="J3685" t="s">
        <v>61</v>
      </c>
      <c r="K3685" t="str">
        <f>"120471"</f>
        <v>120471</v>
      </c>
    </row>
    <row r="3686" spans="1:11" x14ac:dyDescent="0.25">
      <c r="A3686">
        <v>2023</v>
      </c>
      <c r="B3686" t="s">
        <v>2695</v>
      </c>
      <c r="C3686" t="s">
        <v>2696</v>
      </c>
      <c r="D3686" t="s">
        <v>19</v>
      </c>
      <c r="E3686" t="s">
        <v>20</v>
      </c>
      <c r="F3686" t="str">
        <f>"43620"</f>
        <v>43620</v>
      </c>
      <c r="G3686" t="str">
        <f>"638581"</f>
        <v>638581</v>
      </c>
      <c r="H3686" s="2">
        <f>8.39</f>
        <v>8.39</v>
      </c>
      <c r="I3686" t="s">
        <v>27</v>
      </c>
      <c r="J3686" t="s">
        <v>61</v>
      </c>
      <c r="K3686" t="str">
        <f>"334129"</f>
        <v>334129</v>
      </c>
    </row>
    <row r="3687" spans="1:11" x14ac:dyDescent="0.25">
      <c r="A3687">
        <v>2023</v>
      </c>
      <c r="B3687" t="s">
        <v>2697</v>
      </c>
      <c r="C3687" t="s">
        <v>2698</v>
      </c>
      <c r="D3687" t="s">
        <v>2699</v>
      </c>
      <c r="E3687" t="s">
        <v>20</v>
      </c>
      <c r="F3687" t="str">
        <f>"44116"</f>
        <v>44116</v>
      </c>
      <c r="G3687" t="str">
        <f>"632482"</f>
        <v>632482</v>
      </c>
      <c r="H3687" s="2">
        <f>17.19</f>
        <v>17.190000000000001</v>
      </c>
      <c r="I3687" t="s">
        <v>27</v>
      </c>
      <c r="J3687" t="s">
        <v>157</v>
      </c>
      <c r="K3687" t="str">
        <f>"521981"</f>
        <v>521981</v>
      </c>
    </row>
    <row r="3688" spans="1:11" x14ac:dyDescent="0.25">
      <c r="A3688">
        <v>2023</v>
      </c>
      <c r="B3688" t="s">
        <v>2708</v>
      </c>
      <c r="C3688" t="s">
        <v>2709</v>
      </c>
      <c r="D3688" t="s">
        <v>58</v>
      </c>
      <c r="E3688" t="s">
        <v>20</v>
      </c>
      <c r="F3688" t="str">
        <f>"43616"</f>
        <v>43616</v>
      </c>
      <c r="G3688" t="str">
        <f>"632482"</f>
        <v>632482</v>
      </c>
      <c r="H3688" s="2">
        <f>6.67</f>
        <v>6.67</v>
      </c>
      <c r="I3688" t="s">
        <v>27</v>
      </c>
      <c r="J3688" t="s">
        <v>157</v>
      </c>
      <c r="K3688" t="str">
        <f>"522990"</f>
        <v>522990</v>
      </c>
    </row>
    <row r="3689" spans="1:11" x14ac:dyDescent="0.25">
      <c r="A3689">
        <v>2023</v>
      </c>
      <c r="B3689" t="s">
        <v>2710</v>
      </c>
      <c r="C3689" t="s">
        <v>2711</v>
      </c>
      <c r="D3689" t="s">
        <v>19</v>
      </c>
      <c r="E3689" t="s">
        <v>20</v>
      </c>
      <c r="F3689" t="str">
        <f>"43608"</f>
        <v>43608</v>
      </c>
      <c r="G3689" t="str">
        <f>"Je12142023"</f>
        <v>Je12142023</v>
      </c>
      <c r="H3689" s="2">
        <f>30.06</f>
        <v>30.06</v>
      </c>
      <c r="I3689" t="s">
        <v>15</v>
      </c>
      <c r="J3689" t="s">
        <v>176</v>
      </c>
      <c r="K3689" t="str">
        <f>"60096657"</f>
        <v>60096657</v>
      </c>
    </row>
    <row r="3690" spans="1:11" x14ac:dyDescent="0.25">
      <c r="A3690">
        <v>2023</v>
      </c>
      <c r="B3690" t="s">
        <v>2710</v>
      </c>
      <c r="C3690" t="s">
        <v>2712</v>
      </c>
      <c r="D3690" t="s">
        <v>19</v>
      </c>
      <c r="E3690" t="s">
        <v>20</v>
      </c>
      <c r="F3690" t="str">
        <f>"43608"</f>
        <v>43608</v>
      </c>
      <c r="G3690" t="str">
        <f>"Je12142023"</f>
        <v>Je12142023</v>
      </c>
      <c r="H3690" s="2">
        <f>21.14</f>
        <v>21.14</v>
      </c>
      <c r="I3690" t="s">
        <v>15</v>
      </c>
      <c r="J3690" t="s">
        <v>176</v>
      </c>
      <c r="K3690" t="str">
        <f>"60096658"</f>
        <v>60096658</v>
      </c>
    </row>
    <row r="3691" spans="1:11" x14ac:dyDescent="0.25">
      <c r="A3691">
        <v>2023</v>
      </c>
      <c r="B3691" t="s">
        <v>2723</v>
      </c>
      <c r="C3691" t="s">
        <v>2724</v>
      </c>
      <c r="D3691" t="s">
        <v>19</v>
      </c>
      <c r="E3691" t="s">
        <v>20</v>
      </c>
      <c r="F3691" t="str">
        <f>"43606-1249"</f>
        <v>43606-1249</v>
      </c>
      <c r="G3691" t="str">
        <f t="shared" ref="G3691:G3701" si="123">"637573"</f>
        <v>637573</v>
      </c>
      <c r="H3691" s="2">
        <f>20</f>
        <v>20</v>
      </c>
      <c r="I3691" t="s">
        <v>27</v>
      </c>
      <c r="J3691" t="s">
        <v>61</v>
      </c>
      <c r="K3691" t="str">
        <f>"119026"</f>
        <v>119026</v>
      </c>
    </row>
    <row r="3692" spans="1:11" x14ac:dyDescent="0.25">
      <c r="A3692">
        <v>2023</v>
      </c>
      <c r="B3692" t="s">
        <v>2747</v>
      </c>
      <c r="C3692" t="s">
        <v>2748</v>
      </c>
      <c r="D3692" t="s">
        <v>50</v>
      </c>
      <c r="E3692" t="s">
        <v>20</v>
      </c>
      <c r="F3692" t="str">
        <f>"43560-4612"</f>
        <v>43560-4612</v>
      </c>
      <c r="G3692" t="str">
        <f t="shared" si="123"/>
        <v>637573</v>
      </c>
      <c r="H3692" s="2">
        <f>20</f>
        <v>20</v>
      </c>
      <c r="I3692" t="s">
        <v>27</v>
      </c>
      <c r="J3692" t="s">
        <v>61</v>
      </c>
      <c r="K3692" t="str">
        <f>"120764"</f>
        <v>120764</v>
      </c>
    </row>
    <row r="3693" spans="1:11" x14ac:dyDescent="0.25">
      <c r="A3693">
        <v>2023</v>
      </c>
      <c r="B3693" t="s">
        <v>2749</v>
      </c>
      <c r="C3693" t="s">
        <v>2750</v>
      </c>
      <c r="D3693" t="s">
        <v>19</v>
      </c>
      <c r="E3693" t="s">
        <v>20</v>
      </c>
      <c r="F3693" t="str">
        <f>"43612-2424"</f>
        <v>43612-2424</v>
      </c>
      <c r="G3693" t="str">
        <f t="shared" si="123"/>
        <v>637573</v>
      </c>
      <c r="H3693" s="2">
        <f>20</f>
        <v>20</v>
      </c>
      <c r="I3693" t="s">
        <v>27</v>
      </c>
      <c r="J3693" t="s">
        <v>61</v>
      </c>
      <c r="K3693" t="str">
        <f>"120617"</f>
        <v>120617</v>
      </c>
    </row>
    <row r="3694" spans="1:11" x14ac:dyDescent="0.25">
      <c r="A3694">
        <v>2023</v>
      </c>
      <c r="B3694" t="s">
        <v>2751</v>
      </c>
      <c r="C3694" t="s">
        <v>2752</v>
      </c>
      <c r="D3694" t="s">
        <v>120</v>
      </c>
      <c r="E3694" t="s">
        <v>20</v>
      </c>
      <c r="F3694" t="str">
        <f>"43522-9274"</f>
        <v>43522-9274</v>
      </c>
      <c r="G3694" t="str">
        <f t="shared" si="123"/>
        <v>637573</v>
      </c>
      <c r="H3694" s="2">
        <f>20</f>
        <v>20</v>
      </c>
      <c r="I3694" t="s">
        <v>27</v>
      </c>
      <c r="J3694" t="s">
        <v>61</v>
      </c>
      <c r="K3694" t="str">
        <f>"120738"</f>
        <v>120738</v>
      </c>
    </row>
    <row r="3695" spans="1:11" x14ac:dyDescent="0.25">
      <c r="A3695">
        <v>2023</v>
      </c>
      <c r="B3695" t="s">
        <v>2771</v>
      </c>
      <c r="C3695" t="s">
        <v>2772</v>
      </c>
      <c r="D3695" t="s">
        <v>19</v>
      </c>
      <c r="E3695" t="s">
        <v>20</v>
      </c>
      <c r="F3695" t="str">
        <f>"43611-1673"</f>
        <v>43611-1673</v>
      </c>
      <c r="G3695" t="str">
        <f t="shared" si="123"/>
        <v>637573</v>
      </c>
      <c r="H3695" s="2">
        <f>20</f>
        <v>20</v>
      </c>
      <c r="I3695" t="s">
        <v>27</v>
      </c>
      <c r="J3695" t="s">
        <v>61</v>
      </c>
      <c r="K3695" t="str">
        <f>"119669"</f>
        <v>119669</v>
      </c>
    </row>
    <row r="3696" spans="1:11" x14ac:dyDescent="0.25">
      <c r="A3696">
        <v>2023</v>
      </c>
      <c r="B3696" t="s">
        <v>2780</v>
      </c>
      <c r="C3696" t="s">
        <v>2781</v>
      </c>
      <c r="D3696" t="s">
        <v>125</v>
      </c>
      <c r="E3696" t="s">
        <v>20</v>
      </c>
      <c r="F3696" t="str">
        <f>"43537-9152"</f>
        <v>43537-9152</v>
      </c>
      <c r="G3696" t="str">
        <f t="shared" si="123"/>
        <v>637573</v>
      </c>
      <c r="H3696" s="2">
        <f>10</f>
        <v>10</v>
      </c>
      <c r="I3696" t="s">
        <v>27</v>
      </c>
      <c r="J3696" t="s">
        <v>61</v>
      </c>
      <c r="K3696" t="str">
        <f>"119638"</f>
        <v>119638</v>
      </c>
    </row>
    <row r="3697" spans="1:11" x14ac:dyDescent="0.25">
      <c r="A3697">
        <v>2023</v>
      </c>
      <c r="B3697" t="s">
        <v>2800</v>
      </c>
      <c r="C3697" t="s">
        <v>2801</v>
      </c>
      <c r="D3697" t="s">
        <v>50</v>
      </c>
      <c r="E3697" t="s">
        <v>20</v>
      </c>
      <c r="F3697" t="str">
        <f>"43560-2920"</f>
        <v>43560-2920</v>
      </c>
      <c r="G3697" t="str">
        <f t="shared" si="123"/>
        <v>637573</v>
      </c>
      <c r="H3697" s="2">
        <f>10</f>
        <v>10</v>
      </c>
      <c r="I3697" t="s">
        <v>27</v>
      </c>
      <c r="J3697" t="s">
        <v>61</v>
      </c>
      <c r="K3697" t="str">
        <f>"118903"</f>
        <v>118903</v>
      </c>
    </row>
    <row r="3698" spans="1:11" x14ac:dyDescent="0.25">
      <c r="A3698">
        <v>2023</v>
      </c>
      <c r="B3698" t="s">
        <v>2802</v>
      </c>
      <c r="C3698" t="s">
        <v>2803</v>
      </c>
      <c r="D3698" t="s">
        <v>19</v>
      </c>
      <c r="E3698" t="s">
        <v>20</v>
      </c>
      <c r="F3698" t="str">
        <f>"43605-2338"</f>
        <v>43605-2338</v>
      </c>
      <c r="G3698" t="str">
        <f t="shared" si="123"/>
        <v>637573</v>
      </c>
      <c r="H3698" s="2">
        <f>10</f>
        <v>10</v>
      </c>
      <c r="I3698" t="s">
        <v>27</v>
      </c>
      <c r="J3698" t="s">
        <v>61</v>
      </c>
      <c r="K3698" t="str">
        <f>"118902"</f>
        <v>118902</v>
      </c>
    </row>
    <row r="3699" spans="1:11" x14ac:dyDescent="0.25">
      <c r="A3699">
        <v>2023</v>
      </c>
      <c r="B3699" t="s">
        <v>2814</v>
      </c>
      <c r="C3699" t="s">
        <v>2815</v>
      </c>
      <c r="D3699" t="s">
        <v>323</v>
      </c>
      <c r="E3699" t="s">
        <v>20</v>
      </c>
      <c r="F3699" t="str">
        <f>"43571-9312"</f>
        <v>43571-9312</v>
      </c>
      <c r="G3699" t="str">
        <f t="shared" si="123"/>
        <v>637573</v>
      </c>
      <c r="H3699" s="2">
        <f>10</f>
        <v>10</v>
      </c>
      <c r="I3699" t="s">
        <v>27</v>
      </c>
      <c r="J3699" t="s">
        <v>61</v>
      </c>
      <c r="K3699" t="str">
        <f>"119755"</f>
        <v>119755</v>
      </c>
    </row>
    <row r="3700" spans="1:11" x14ac:dyDescent="0.25">
      <c r="A3700">
        <v>2023</v>
      </c>
      <c r="B3700" t="s">
        <v>2818</v>
      </c>
      <c r="C3700" t="s">
        <v>2819</v>
      </c>
      <c r="D3700" t="s">
        <v>45</v>
      </c>
      <c r="E3700" t="s">
        <v>20</v>
      </c>
      <c r="F3700" t="str">
        <f>"43542-9600"</f>
        <v>43542-9600</v>
      </c>
      <c r="G3700" t="str">
        <f t="shared" si="123"/>
        <v>637573</v>
      </c>
      <c r="H3700" s="2">
        <f>10</f>
        <v>10</v>
      </c>
      <c r="I3700" t="s">
        <v>27</v>
      </c>
      <c r="J3700" t="s">
        <v>61</v>
      </c>
      <c r="K3700" t="str">
        <f>"120605"</f>
        <v>120605</v>
      </c>
    </row>
    <row r="3701" spans="1:11" x14ac:dyDescent="0.25">
      <c r="A3701">
        <v>2023</v>
      </c>
      <c r="B3701" t="s">
        <v>2835</v>
      </c>
      <c r="C3701" t="s">
        <v>2836</v>
      </c>
      <c r="D3701" t="s">
        <v>19</v>
      </c>
      <c r="E3701" t="s">
        <v>20</v>
      </c>
      <c r="F3701" t="str">
        <f>"43614-5142"</f>
        <v>43614-5142</v>
      </c>
      <c r="G3701" t="str">
        <f t="shared" si="123"/>
        <v>637573</v>
      </c>
      <c r="H3701" s="2">
        <f>10</f>
        <v>10</v>
      </c>
      <c r="I3701" t="s">
        <v>27</v>
      </c>
      <c r="J3701" t="s">
        <v>61</v>
      </c>
      <c r="K3701" t="str">
        <f>"120234"</f>
        <v>120234</v>
      </c>
    </row>
    <row r="3702" spans="1:11" x14ac:dyDescent="0.25">
      <c r="A3702">
        <v>2023</v>
      </c>
      <c r="B3702" t="s">
        <v>2869</v>
      </c>
      <c r="C3702" t="s">
        <v>2870</v>
      </c>
      <c r="D3702" t="s">
        <v>19</v>
      </c>
      <c r="E3702" t="s">
        <v>20</v>
      </c>
      <c r="F3702" t="str">
        <f>"43412"</f>
        <v>43412</v>
      </c>
      <c r="G3702" t="str">
        <f>"632482"</f>
        <v>632482</v>
      </c>
      <c r="H3702" s="2">
        <f>5</f>
        <v>5</v>
      </c>
      <c r="I3702" t="s">
        <v>27</v>
      </c>
      <c r="J3702" t="s">
        <v>157</v>
      </c>
      <c r="K3702" t="str">
        <f>"522431"</f>
        <v>522431</v>
      </c>
    </row>
    <row r="3703" spans="1:11" x14ac:dyDescent="0.25">
      <c r="A3703">
        <v>2023</v>
      </c>
      <c r="B3703" t="s">
        <v>2871</v>
      </c>
      <c r="C3703" t="s">
        <v>2872</v>
      </c>
      <c r="D3703" t="s">
        <v>19</v>
      </c>
      <c r="E3703" t="s">
        <v>20</v>
      </c>
      <c r="F3703" t="str">
        <f>"43607-3762"</f>
        <v>43607-3762</v>
      </c>
      <c r="G3703" t="str">
        <f>"637573"</f>
        <v>637573</v>
      </c>
      <c r="H3703" s="2">
        <f>10</f>
        <v>10</v>
      </c>
      <c r="I3703" t="s">
        <v>27</v>
      </c>
      <c r="J3703" t="s">
        <v>61</v>
      </c>
      <c r="K3703" t="str">
        <f>"118831"</f>
        <v>118831</v>
      </c>
    </row>
    <row r="3704" spans="1:11" x14ac:dyDescent="0.25">
      <c r="A3704">
        <v>2023</v>
      </c>
      <c r="B3704" t="s">
        <v>2899</v>
      </c>
      <c r="C3704" t="s">
        <v>2900</v>
      </c>
      <c r="D3704" t="s">
        <v>19</v>
      </c>
      <c r="E3704" t="s">
        <v>20</v>
      </c>
      <c r="F3704" t="str">
        <f>"43615-3347"</f>
        <v>43615-3347</v>
      </c>
      <c r="G3704" t="str">
        <f>"637573"</f>
        <v>637573</v>
      </c>
      <c r="H3704" s="2">
        <f>10</f>
        <v>10</v>
      </c>
      <c r="I3704" t="s">
        <v>27</v>
      </c>
      <c r="J3704" t="s">
        <v>61</v>
      </c>
      <c r="K3704" t="str">
        <f>"119111"</f>
        <v>119111</v>
      </c>
    </row>
    <row r="3705" spans="1:11" x14ac:dyDescent="0.25">
      <c r="A3705">
        <v>2023</v>
      </c>
      <c r="B3705" t="s">
        <v>2903</v>
      </c>
      <c r="C3705" t="s">
        <v>2904</v>
      </c>
      <c r="D3705" t="s">
        <v>19</v>
      </c>
      <c r="E3705" t="s">
        <v>20</v>
      </c>
      <c r="F3705" t="str">
        <f>"43608"</f>
        <v>43608</v>
      </c>
      <c r="G3705" t="str">
        <f>"Je10162023"</f>
        <v>Je10162023</v>
      </c>
      <c r="H3705" s="2">
        <f>3.98</f>
        <v>3.98</v>
      </c>
      <c r="I3705" t="s">
        <v>15</v>
      </c>
      <c r="J3705" t="s">
        <v>93</v>
      </c>
      <c r="K3705" t="str">
        <f>"60093731"</f>
        <v>60093731</v>
      </c>
    </row>
    <row r="3706" spans="1:11" x14ac:dyDescent="0.25">
      <c r="A3706">
        <v>2023</v>
      </c>
      <c r="B3706" t="s">
        <v>2908</v>
      </c>
      <c r="C3706" t="s">
        <v>2909</v>
      </c>
      <c r="D3706" t="s">
        <v>19</v>
      </c>
      <c r="E3706" t="s">
        <v>20</v>
      </c>
      <c r="F3706" t="str">
        <f>"43615"</f>
        <v>43615</v>
      </c>
      <c r="G3706" t="str">
        <f>"632483"</f>
        <v>632483</v>
      </c>
      <c r="H3706" s="2">
        <f>429</f>
        <v>429</v>
      </c>
      <c r="I3706" t="s">
        <v>27</v>
      </c>
      <c r="J3706" t="s">
        <v>108</v>
      </c>
      <c r="K3706" t="str">
        <f>"39271"</f>
        <v>39271</v>
      </c>
    </row>
    <row r="3707" spans="1:11" x14ac:dyDescent="0.25">
      <c r="A3707">
        <v>2023</v>
      </c>
      <c r="B3707" t="s">
        <v>2916</v>
      </c>
      <c r="C3707" t="s">
        <v>2917</v>
      </c>
      <c r="D3707" t="s">
        <v>19</v>
      </c>
      <c r="E3707" t="s">
        <v>20</v>
      </c>
      <c r="F3707" t="str">
        <f>"43614-3724"</f>
        <v>43614-3724</v>
      </c>
      <c r="G3707" t="str">
        <f>"637573"</f>
        <v>637573</v>
      </c>
      <c r="H3707" s="2">
        <f>40</f>
        <v>40</v>
      </c>
      <c r="I3707" t="s">
        <v>27</v>
      </c>
      <c r="J3707" t="s">
        <v>61</v>
      </c>
      <c r="K3707" t="str">
        <f>"120468"</f>
        <v>120468</v>
      </c>
    </row>
    <row r="3708" spans="1:11" x14ac:dyDescent="0.25">
      <c r="A3708">
        <v>2023</v>
      </c>
      <c r="B3708" t="s">
        <v>2923</v>
      </c>
      <c r="C3708" t="s">
        <v>2924</v>
      </c>
      <c r="D3708" t="s">
        <v>19</v>
      </c>
      <c r="E3708" t="s">
        <v>20</v>
      </c>
      <c r="F3708" t="str">
        <f>"43609-1652"</f>
        <v>43609-1652</v>
      </c>
      <c r="G3708" t="str">
        <f>"637573"</f>
        <v>637573</v>
      </c>
      <c r="H3708" s="2">
        <f>10</f>
        <v>10</v>
      </c>
      <c r="I3708" t="s">
        <v>27</v>
      </c>
      <c r="J3708" t="s">
        <v>61</v>
      </c>
      <c r="K3708" t="str">
        <f>"119152"</f>
        <v>119152</v>
      </c>
    </row>
    <row r="3709" spans="1:11" x14ac:dyDescent="0.25">
      <c r="A3709">
        <v>2023</v>
      </c>
      <c r="B3709" t="s">
        <v>2931</v>
      </c>
      <c r="C3709" t="s">
        <v>2932</v>
      </c>
      <c r="D3709" t="s">
        <v>19</v>
      </c>
      <c r="E3709" t="s">
        <v>20</v>
      </c>
      <c r="F3709" t="str">
        <f>"43604"</f>
        <v>43604</v>
      </c>
      <c r="G3709" t="str">
        <f>"Je12142023"</f>
        <v>Je12142023</v>
      </c>
      <c r="H3709" s="2">
        <f>57.86</f>
        <v>57.86</v>
      </c>
      <c r="I3709" t="s">
        <v>15</v>
      </c>
      <c r="J3709" t="s">
        <v>176</v>
      </c>
      <c r="K3709" t="str">
        <f>"60096885"</f>
        <v>60096885</v>
      </c>
    </row>
    <row r="3710" spans="1:11" x14ac:dyDescent="0.25">
      <c r="A3710">
        <v>2023</v>
      </c>
      <c r="B3710" t="s">
        <v>2937</v>
      </c>
      <c r="C3710" t="s">
        <v>2938</v>
      </c>
      <c r="D3710" t="s">
        <v>125</v>
      </c>
      <c r="E3710" t="s">
        <v>20</v>
      </c>
      <c r="F3710" t="str">
        <f>"43537"</f>
        <v>43537</v>
      </c>
      <c r="G3710" t="str">
        <f>"632514"</f>
        <v>632514</v>
      </c>
      <c r="H3710" s="2">
        <f>207.88</f>
        <v>207.88</v>
      </c>
      <c r="I3710" t="s">
        <v>27</v>
      </c>
      <c r="J3710" t="s">
        <v>195</v>
      </c>
      <c r="K3710" t="str">
        <f>"22024411"</f>
        <v>22024411</v>
      </c>
    </row>
    <row r="3711" spans="1:11" x14ac:dyDescent="0.25">
      <c r="A3711">
        <v>2023</v>
      </c>
      <c r="B3711" t="s">
        <v>2953</v>
      </c>
      <c r="C3711" t="s">
        <v>2954</v>
      </c>
      <c r="D3711" t="s">
        <v>19</v>
      </c>
      <c r="E3711" t="s">
        <v>20</v>
      </c>
      <c r="F3711" t="str">
        <f>"43613"</f>
        <v>43613</v>
      </c>
      <c r="G3711" t="str">
        <f>"Je12142023"</f>
        <v>Je12142023</v>
      </c>
      <c r="H3711" s="2">
        <f>235.02</f>
        <v>235.02</v>
      </c>
      <c r="I3711" t="s">
        <v>15</v>
      </c>
      <c r="J3711" t="s">
        <v>176</v>
      </c>
      <c r="K3711" t="str">
        <f>"60105606"</f>
        <v>60105606</v>
      </c>
    </row>
    <row r="3712" spans="1:11" x14ac:dyDescent="0.25">
      <c r="A3712">
        <v>2023</v>
      </c>
      <c r="B3712" t="s">
        <v>2963</v>
      </c>
      <c r="C3712" t="s">
        <v>2964</v>
      </c>
      <c r="D3712" t="s">
        <v>19</v>
      </c>
      <c r="E3712" t="s">
        <v>20</v>
      </c>
      <c r="F3712" t="str">
        <f>"43606"</f>
        <v>43606</v>
      </c>
      <c r="G3712" t="str">
        <f>"638581"</f>
        <v>638581</v>
      </c>
      <c r="H3712" s="2">
        <f>13.4</f>
        <v>13.4</v>
      </c>
      <c r="I3712" t="s">
        <v>27</v>
      </c>
      <c r="J3712" t="s">
        <v>61</v>
      </c>
      <c r="K3712" t="str">
        <f>"333813"</f>
        <v>333813</v>
      </c>
    </row>
    <row r="3713" spans="1:11" x14ac:dyDescent="0.25">
      <c r="A3713">
        <v>2023</v>
      </c>
      <c r="B3713" t="s">
        <v>2969</v>
      </c>
      <c r="C3713" t="s">
        <v>2970</v>
      </c>
      <c r="D3713" t="s">
        <v>19</v>
      </c>
      <c r="E3713" t="s">
        <v>20</v>
      </c>
      <c r="F3713" t="str">
        <f>"43620"</f>
        <v>43620</v>
      </c>
      <c r="G3713" t="str">
        <f>"Je012023"</f>
        <v>Je012023</v>
      </c>
      <c r="H3713" s="2">
        <f>333.66</f>
        <v>333.66</v>
      </c>
      <c r="I3713" t="s">
        <v>15</v>
      </c>
      <c r="J3713" t="s">
        <v>397</v>
      </c>
      <c r="K3713" t="str">
        <f>"60065322"</f>
        <v>60065322</v>
      </c>
    </row>
    <row r="3714" spans="1:11" x14ac:dyDescent="0.25">
      <c r="A3714">
        <v>2023</v>
      </c>
      <c r="B3714" t="s">
        <v>2979</v>
      </c>
      <c r="C3714" t="s">
        <v>2980</v>
      </c>
      <c r="D3714" t="s">
        <v>64</v>
      </c>
      <c r="E3714" t="s">
        <v>20</v>
      </c>
      <c r="F3714" t="str">
        <f>"43566-1144"</f>
        <v>43566-1144</v>
      </c>
      <c r="G3714" t="str">
        <f>"637573"</f>
        <v>637573</v>
      </c>
      <c r="H3714" s="2">
        <f>10</f>
        <v>10</v>
      </c>
      <c r="I3714" t="s">
        <v>27</v>
      </c>
      <c r="J3714" t="s">
        <v>61</v>
      </c>
      <c r="K3714" t="str">
        <f>"120539"</f>
        <v>120539</v>
      </c>
    </row>
    <row r="3715" spans="1:11" x14ac:dyDescent="0.25">
      <c r="A3715">
        <v>2023</v>
      </c>
      <c r="B3715" t="s">
        <v>3008</v>
      </c>
      <c r="C3715" t="s">
        <v>3009</v>
      </c>
      <c r="D3715" t="s">
        <v>3010</v>
      </c>
      <c r="E3715" t="s">
        <v>2122</v>
      </c>
      <c r="F3715" t="str">
        <f>"28574"</f>
        <v>28574</v>
      </c>
      <c r="G3715" t="str">
        <f>"Je04112023"</f>
        <v>Je04112023</v>
      </c>
      <c r="H3715" s="2">
        <f>44.55</f>
        <v>44.55</v>
      </c>
      <c r="I3715" t="s">
        <v>15</v>
      </c>
      <c r="J3715" t="s">
        <v>412</v>
      </c>
      <c r="K3715" t="str">
        <f>"60068848"</f>
        <v>60068848</v>
      </c>
    </row>
    <row r="3716" spans="1:11" x14ac:dyDescent="0.25">
      <c r="A3716">
        <v>2023</v>
      </c>
      <c r="B3716" t="s">
        <v>3013</v>
      </c>
      <c r="C3716" t="s">
        <v>3014</v>
      </c>
      <c r="D3716" t="s">
        <v>19</v>
      </c>
      <c r="E3716" t="s">
        <v>20</v>
      </c>
      <c r="F3716" t="str">
        <f>"43623-2046"</f>
        <v>43623-2046</v>
      </c>
      <c r="G3716" t="str">
        <f>"637573"</f>
        <v>637573</v>
      </c>
      <c r="H3716" s="2">
        <f>10</f>
        <v>10</v>
      </c>
      <c r="I3716" t="s">
        <v>27</v>
      </c>
      <c r="J3716" t="s">
        <v>61</v>
      </c>
      <c r="K3716" t="str">
        <f>"118838"</f>
        <v>118838</v>
      </c>
    </row>
    <row r="3717" spans="1:11" x14ac:dyDescent="0.25">
      <c r="A3717">
        <v>2023</v>
      </c>
      <c r="B3717" t="s">
        <v>3062</v>
      </c>
      <c r="C3717" t="s">
        <v>3063</v>
      </c>
      <c r="D3717" t="s">
        <v>19</v>
      </c>
      <c r="E3717" t="s">
        <v>20</v>
      </c>
      <c r="F3717" t="str">
        <f>"43620"</f>
        <v>43620</v>
      </c>
      <c r="G3717" t="str">
        <f>"632514"</f>
        <v>632514</v>
      </c>
      <c r="H3717" s="2">
        <f>1.5</f>
        <v>1.5</v>
      </c>
      <c r="I3717" t="s">
        <v>27</v>
      </c>
      <c r="J3717" t="s">
        <v>195</v>
      </c>
      <c r="K3717" t="str">
        <f>"11004352"</f>
        <v>11004352</v>
      </c>
    </row>
    <row r="3718" spans="1:11" x14ac:dyDescent="0.25">
      <c r="A3718">
        <v>2023</v>
      </c>
      <c r="B3718" t="s">
        <v>3075</v>
      </c>
      <c r="C3718" t="s">
        <v>3076</v>
      </c>
      <c r="D3718" t="s">
        <v>58</v>
      </c>
      <c r="E3718" t="s">
        <v>20</v>
      </c>
      <c r="F3718" t="str">
        <f>"43616"</f>
        <v>43616</v>
      </c>
      <c r="G3718" t="str">
        <f>"632483"</f>
        <v>632483</v>
      </c>
      <c r="H3718" s="2">
        <f>42.45</f>
        <v>42.45</v>
      </c>
      <c r="I3718" t="s">
        <v>27</v>
      </c>
      <c r="J3718" t="s">
        <v>108</v>
      </c>
      <c r="K3718" t="str">
        <f>"40502"</f>
        <v>40502</v>
      </c>
    </row>
    <row r="3719" spans="1:11" x14ac:dyDescent="0.25">
      <c r="A3719">
        <v>2023</v>
      </c>
      <c r="B3719" t="s">
        <v>3082</v>
      </c>
      <c r="C3719" t="s">
        <v>3083</v>
      </c>
      <c r="D3719" t="s">
        <v>19</v>
      </c>
      <c r="E3719" t="s">
        <v>20</v>
      </c>
      <c r="F3719" t="str">
        <f>"43610"</f>
        <v>43610</v>
      </c>
      <c r="G3719" t="str">
        <f>"Je012023"</f>
        <v>Je012023</v>
      </c>
      <c r="H3719" s="2">
        <f>63.75</f>
        <v>63.75</v>
      </c>
      <c r="I3719" t="s">
        <v>15</v>
      </c>
      <c r="J3719" t="s">
        <v>397</v>
      </c>
      <c r="K3719" t="str">
        <f>"60065721"</f>
        <v>60065721</v>
      </c>
    </row>
    <row r="3720" spans="1:11" x14ac:dyDescent="0.25">
      <c r="A3720">
        <v>2023</v>
      </c>
      <c r="B3720" t="s">
        <v>3098</v>
      </c>
      <c r="C3720" t="s">
        <v>3099</v>
      </c>
      <c r="D3720" t="s">
        <v>120</v>
      </c>
      <c r="E3720" t="s">
        <v>20</v>
      </c>
      <c r="F3720" t="str">
        <f>"43522-9279"</f>
        <v>43522-9279</v>
      </c>
      <c r="G3720" t="str">
        <f>"637573"</f>
        <v>637573</v>
      </c>
      <c r="H3720" s="2">
        <f>10</f>
        <v>10</v>
      </c>
      <c r="I3720" t="s">
        <v>27</v>
      </c>
      <c r="J3720" t="s">
        <v>61</v>
      </c>
      <c r="K3720" t="str">
        <f>"118938"</f>
        <v>118938</v>
      </c>
    </row>
    <row r="3721" spans="1:11" x14ac:dyDescent="0.25">
      <c r="A3721">
        <v>2023</v>
      </c>
      <c r="B3721" t="s">
        <v>3111</v>
      </c>
      <c r="C3721" t="s">
        <v>3112</v>
      </c>
      <c r="D3721" t="s">
        <v>50</v>
      </c>
      <c r="E3721" t="s">
        <v>20</v>
      </c>
      <c r="F3721" t="str">
        <f>"43560"</f>
        <v>43560</v>
      </c>
      <c r="G3721" t="str">
        <f>"632483"</f>
        <v>632483</v>
      </c>
      <c r="H3721" s="2">
        <f>140.01</f>
        <v>140.01</v>
      </c>
      <c r="I3721" t="s">
        <v>27</v>
      </c>
      <c r="J3721" t="s">
        <v>108</v>
      </c>
      <c r="K3721" t="str">
        <f>"39989"</f>
        <v>39989</v>
      </c>
    </row>
    <row r="3722" spans="1:11" x14ac:dyDescent="0.25">
      <c r="A3722">
        <v>2023</v>
      </c>
      <c r="B3722" t="s">
        <v>3113</v>
      </c>
      <c r="C3722" t="s">
        <v>3114</v>
      </c>
      <c r="D3722" t="s">
        <v>19</v>
      </c>
      <c r="E3722" t="s">
        <v>20</v>
      </c>
      <c r="F3722" t="str">
        <f>"43606"</f>
        <v>43606</v>
      </c>
      <c r="G3722" t="str">
        <f>"Je12142023"</f>
        <v>Je12142023</v>
      </c>
      <c r="H3722" s="2">
        <f>6.88</f>
        <v>6.88</v>
      </c>
      <c r="I3722" t="s">
        <v>15</v>
      </c>
      <c r="J3722" t="s">
        <v>176</v>
      </c>
      <c r="K3722" t="str">
        <f>"60100422"</f>
        <v>60100422</v>
      </c>
    </row>
    <row r="3723" spans="1:11" x14ac:dyDescent="0.25">
      <c r="A3723">
        <v>2023</v>
      </c>
      <c r="B3723" t="s">
        <v>3115</v>
      </c>
      <c r="C3723" t="s">
        <v>3116</v>
      </c>
      <c r="D3723" t="s">
        <v>19</v>
      </c>
      <c r="E3723" t="s">
        <v>20</v>
      </c>
      <c r="F3723" t="str">
        <f>"43614"</f>
        <v>43614</v>
      </c>
      <c r="G3723" t="str">
        <f>"Je12142023"</f>
        <v>Je12142023</v>
      </c>
      <c r="H3723" s="2">
        <f>457.96</f>
        <v>457.96</v>
      </c>
      <c r="I3723" t="s">
        <v>15</v>
      </c>
      <c r="J3723" t="s">
        <v>176</v>
      </c>
      <c r="K3723" t="str">
        <f>"60100423"</f>
        <v>60100423</v>
      </c>
    </row>
    <row r="3724" spans="1:11" x14ac:dyDescent="0.25">
      <c r="A3724">
        <v>2023</v>
      </c>
      <c r="B3724" t="s">
        <v>3121</v>
      </c>
      <c r="C3724" t="s">
        <v>3123</v>
      </c>
      <c r="D3724" t="s">
        <v>1005</v>
      </c>
      <c r="E3724" t="s">
        <v>20</v>
      </c>
      <c r="F3724" t="str">
        <f>"44139"</f>
        <v>44139</v>
      </c>
      <c r="G3724" t="str">
        <f>"632483"</f>
        <v>632483</v>
      </c>
      <c r="H3724" s="2">
        <f>11</f>
        <v>11</v>
      </c>
      <c r="I3724" t="s">
        <v>27</v>
      </c>
      <c r="J3724" t="s">
        <v>108</v>
      </c>
      <c r="K3724" t="str">
        <f>"40635"</f>
        <v>40635</v>
      </c>
    </row>
    <row r="3725" spans="1:11" x14ac:dyDescent="0.25">
      <c r="A3725">
        <v>2023</v>
      </c>
      <c r="B3725" t="s">
        <v>3126</v>
      </c>
      <c r="C3725" t="s">
        <v>68</v>
      </c>
      <c r="F3725" t="str">
        <f>""</f>
        <v/>
      </c>
      <c r="G3725" t="str">
        <f>"632514"</f>
        <v>632514</v>
      </c>
      <c r="H3725" s="2">
        <f>1.3</f>
        <v>1.3</v>
      </c>
      <c r="I3725" t="s">
        <v>27</v>
      </c>
      <c r="J3725" t="s">
        <v>195</v>
      </c>
      <c r="K3725" t="str">
        <f>"11004272"</f>
        <v>11004272</v>
      </c>
    </row>
    <row r="3726" spans="1:11" x14ac:dyDescent="0.25">
      <c r="A3726">
        <v>2023</v>
      </c>
      <c r="B3726" t="s">
        <v>3144</v>
      </c>
      <c r="C3726" t="s">
        <v>3145</v>
      </c>
      <c r="D3726" t="s">
        <v>19</v>
      </c>
      <c r="E3726" t="s">
        <v>20</v>
      </c>
      <c r="F3726" t="str">
        <f>"43612-3309"</f>
        <v>43612-3309</v>
      </c>
      <c r="G3726" t="str">
        <f>"637573"</f>
        <v>637573</v>
      </c>
      <c r="H3726" s="2">
        <f>5</f>
        <v>5</v>
      </c>
      <c r="I3726" t="s">
        <v>27</v>
      </c>
      <c r="J3726" t="s">
        <v>61</v>
      </c>
      <c r="K3726" t="str">
        <f>"120496"</f>
        <v>120496</v>
      </c>
    </row>
    <row r="3727" spans="1:11" x14ac:dyDescent="0.25">
      <c r="A3727">
        <v>2023</v>
      </c>
      <c r="B3727" t="s">
        <v>3170</v>
      </c>
      <c r="C3727" t="s">
        <v>3171</v>
      </c>
      <c r="D3727" t="s">
        <v>105</v>
      </c>
      <c r="E3727" t="s">
        <v>20</v>
      </c>
      <c r="F3727" t="str">
        <f>"43528"</f>
        <v>43528</v>
      </c>
      <c r="G3727" t="str">
        <f>"Je012023"</f>
        <v>Je012023</v>
      </c>
      <c r="H3727" s="2">
        <f>99.06</f>
        <v>99.06</v>
      </c>
      <c r="I3727" t="s">
        <v>15</v>
      </c>
      <c r="J3727" t="s">
        <v>397</v>
      </c>
      <c r="K3727" t="str">
        <f>"60061965"</f>
        <v>60061965</v>
      </c>
    </row>
    <row r="3728" spans="1:11" x14ac:dyDescent="0.25">
      <c r="A3728">
        <v>2023</v>
      </c>
      <c r="B3728" t="s">
        <v>3182</v>
      </c>
      <c r="C3728" t="s">
        <v>3183</v>
      </c>
      <c r="D3728" t="s">
        <v>19</v>
      </c>
      <c r="E3728" t="s">
        <v>20</v>
      </c>
      <c r="F3728" t="str">
        <f>"43606"</f>
        <v>43606</v>
      </c>
      <c r="G3728" t="str">
        <f>"632482"</f>
        <v>632482</v>
      </c>
      <c r="H3728" s="2">
        <f>17.19</f>
        <v>17.190000000000001</v>
      </c>
      <c r="I3728" t="s">
        <v>27</v>
      </c>
      <c r="J3728" t="s">
        <v>157</v>
      </c>
      <c r="K3728" t="str">
        <f>"521984"</f>
        <v>521984</v>
      </c>
    </row>
    <row r="3729" spans="1:11" x14ac:dyDescent="0.25">
      <c r="A3729">
        <v>2023</v>
      </c>
      <c r="B3729" t="s">
        <v>3190</v>
      </c>
      <c r="C3729" t="s">
        <v>3191</v>
      </c>
      <c r="D3729" t="s">
        <v>19</v>
      </c>
      <c r="E3729" t="s">
        <v>20</v>
      </c>
      <c r="F3729" t="str">
        <f>"43607-1715"</f>
        <v>43607-1715</v>
      </c>
      <c r="G3729" t="str">
        <f>"637573"</f>
        <v>637573</v>
      </c>
      <c r="H3729" s="2">
        <f>10</f>
        <v>10</v>
      </c>
      <c r="I3729" t="s">
        <v>27</v>
      </c>
      <c r="J3729" t="s">
        <v>61</v>
      </c>
      <c r="K3729" t="str">
        <f>"120447"</f>
        <v>120447</v>
      </c>
    </row>
    <row r="3730" spans="1:11" x14ac:dyDescent="0.25">
      <c r="A3730">
        <v>2023</v>
      </c>
      <c r="B3730" t="s">
        <v>3202</v>
      </c>
      <c r="C3730" t="s">
        <v>3203</v>
      </c>
      <c r="D3730" t="s">
        <v>19</v>
      </c>
      <c r="E3730" t="s">
        <v>20</v>
      </c>
      <c r="F3730" t="str">
        <f>"43609"</f>
        <v>43609</v>
      </c>
      <c r="G3730" t="str">
        <f>"632482"</f>
        <v>632482</v>
      </c>
      <c r="H3730" s="2">
        <f>720</f>
        <v>720</v>
      </c>
      <c r="I3730" t="s">
        <v>27</v>
      </c>
      <c r="J3730" t="s">
        <v>157</v>
      </c>
      <c r="K3730" t="str">
        <f>"521528"</f>
        <v>521528</v>
      </c>
    </row>
    <row r="3731" spans="1:11" x14ac:dyDescent="0.25">
      <c r="A3731">
        <v>2023</v>
      </c>
      <c r="B3731" t="s">
        <v>3206</v>
      </c>
      <c r="C3731" t="s">
        <v>3207</v>
      </c>
      <c r="D3731" t="s">
        <v>19</v>
      </c>
      <c r="E3731" t="s">
        <v>20</v>
      </c>
      <c r="F3731" t="str">
        <f>"43609"</f>
        <v>43609</v>
      </c>
      <c r="G3731" t="str">
        <f>"Je12142023"</f>
        <v>Je12142023</v>
      </c>
      <c r="H3731" s="2">
        <f>92.52</f>
        <v>92.52</v>
      </c>
      <c r="I3731" t="s">
        <v>15</v>
      </c>
      <c r="J3731" t="s">
        <v>176</v>
      </c>
      <c r="K3731" t="str">
        <f>"60097969"</f>
        <v>60097969</v>
      </c>
    </row>
    <row r="3732" spans="1:11" x14ac:dyDescent="0.25">
      <c r="A3732">
        <v>2023</v>
      </c>
      <c r="B3732" t="s">
        <v>3220</v>
      </c>
      <c r="C3732" t="s">
        <v>3221</v>
      </c>
      <c r="D3732" t="s">
        <v>19</v>
      </c>
      <c r="E3732" t="s">
        <v>20</v>
      </c>
      <c r="F3732" t="str">
        <f>"43606-2119"</f>
        <v>43606-2119</v>
      </c>
      <c r="G3732" t="str">
        <f>"637573"</f>
        <v>637573</v>
      </c>
      <c r="H3732" s="2">
        <f>10</f>
        <v>10</v>
      </c>
      <c r="I3732" t="s">
        <v>27</v>
      </c>
      <c r="J3732" t="s">
        <v>61</v>
      </c>
      <c r="K3732" t="str">
        <f>"118538"</f>
        <v>118538</v>
      </c>
    </row>
    <row r="3733" spans="1:11" x14ac:dyDescent="0.25">
      <c r="A3733">
        <v>2023</v>
      </c>
      <c r="B3733" t="s">
        <v>3228</v>
      </c>
      <c r="C3733" t="s">
        <v>3229</v>
      </c>
      <c r="D3733" t="s">
        <v>50</v>
      </c>
      <c r="E3733" t="s">
        <v>20</v>
      </c>
      <c r="F3733" t="str">
        <f>"43560-4432"</f>
        <v>43560-4432</v>
      </c>
      <c r="G3733" t="str">
        <f>"637573"</f>
        <v>637573</v>
      </c>
      <c r="H3733" s="2">
        <f>10</f>
        <v>10</v>
      </c>
      <c r="I3733" t="s">
        <v>27</v>
      </c>
      <c r="J3733" t="s">
        <v>61</v>
      </c>
      <c r="K3733" t="str">
        <f>"119671"</f>
        <v>119671</v>
      </c>
    </row>
    <row r="3734" spans="1:11" x14ac:dyDescent="0.25">
      <c r="A3734">
        <v>2023</v>
      </c>
      <c r="B3734" t="s">
        <v>3232</v>
      </c>
      <c r="C3734" t="s">
        <v>3233</v>
      </c>
      <c r="D3734" t="s">
        <v>19</v>
      </c>
      <c r="E3734" t="s">
        <v>20</v>
      </c>
      <c r="F3734" t="str">
        <f>"43612-4209"</f>
        <v>43612-4209</v>
      </c>
      <c r="G3734" t="str">
        <f>"637573"</f>
        <v>637573</v>
      </c>
      <c r="H3734" s="2">
        <f>20</f>
        <v>20</v>
      </c>
      <c r="I3734" t="s">
        <v>27</v>
      </c>
      <c r="J3734" t="s">
        <v>61</v>
      </c>
      <c r="K3734" t="str">
        <f>"120006"</f>
        <v>120006</v>
      </c>
    </row>
    <row r="3735" spans="1:11" x14ac:dyDescent="0.25">
      <c r="A3735">
        <v>2023</v>
      </c>
      <c r="B3735" t="s">
        <v>3240</v>
      </c>
      <c r="C3735" t="s">
        <v>3241</v>
      </c>
      <c r="D3735" t="s">
        <v>19</v>
      </c>
      <c r="E3735" t="s">
        <v>20</v>
      </c>
      <c r="F3735" t="str">
        <f>"43608-2164"</f>
        <v>43608-2164</v>
      </c>
      <c r="G3735" t="str">
        <f>"637573"</f>
        <v>637573</v>
      </c>
      <c r="H3735" s="2">
        <f>10</f>
        <v>10</v>
      </c>
      <c r="I3735" t="s">
        <v>27</v>
      </c>
      <c r="J3735" t="s">
        <v>61</v>
      </c>
      <c r="K3735" t="str">
        <f>"118781"</f>
        <v>118781</v>
      </c>
    </row>
    <row r="3736" spans="1:11" x14ac:dyDescent="0.25">
      <c r="A3736">
        <v>2023</v>
      </c>
      <c r="B3736" t="s">
        <v>3255</v>
      </c>
      <c r="C3736" t="s">
        <v>3256</v>
      </c>
      <c r="D3736" t="s">
        <v>19</v>
      </c>
      <c r="E3736" t="s">
        <v>20</v>
      </c>
      <c r="F3736" t="str">
        <f>"43614"</f>
        <v>43614</v>
      </c>
      <c r="G3736" t="str">
        <f>"632482"</f>
        <v>632482</v>
      </c>
      <c r="H3736" s="2">
        <f>17.19</f>
        <v>17.190000000000001</v>
      </c>
      <c r="I3736" t="s">
        <v>27</v>
      </c>
      <c r="J3736" t="s">
        <v>157</v>
      </c>
      <c r="K3736" t="str">
        <f>"521985"</f>
        <v>521985</v>
      </c>
    </row>
    <row r="3737" spans="1:11" x14ac:dyDescent="0.25">
      <c r="A3737">
        <v>2023</v>
      </c>
      <c r="B3737" t="s">
        <v>3263</v>
      </c>
      <c r="C3737" t="s">
        <v>3264</v>
      </c>
      <c r="D3737" t="s">
        <v>19</v>
      </c>
      <c r="E3737" t="s">
        <v>20</v>
      </c>
      <c r="F3737" t="str">
        <f>"43606-2442"</f>
        <v>43606-2442</v>
      </c>
      <c r="G3737" t="str">
        <f>"637573"</f>
        <v>637573</v>
      </c>
      <c r="H3737" s="2">
        <f>60</f>
        <v>60</v>
      </c>
      <c r="I3737" t="s">
        <v>27</v>
      </c>
      <c r="J3737" t="s">
        <v>61</v>
      </c>
      <c r="K3737" t="str">
        <f>"120848"</f>
        <v>120848</v>
      </c>
    </row>
    <row r="3738" spans="1:11" x14ac:dyDescent="0.25">
      <c r="A3738">
        <v>2023</v>
      </c>
      <c r="B3738" t="s">
        <v>3267</v>
      </c>
      <c r="C3738" t="s">
        <v>3268</v>
      </c>
      <c r="D3738" t="s">
        <v>19</v>
      </c>
      <c r="E3738" t="s">
        <v>20</v>
      </c>
      <c r="F3738" t="str">
        <f>"43606-1860"</f>
        <v>43606-1860</v>
      </c>
      <c r="G3738" t="str">
        <f>"637573"</f>
        <v>637573</v>
      </c>
      <c r="H3738" s="2">
        <f>10</f>
        <v>10</v>
      </c>
      <c r="I3738" t="s">
        <v>27</v>
      </c>
      <c r="J3738" t="s">
        <v>61</v>
      </c>
      <c r="K3738" t="str">
        <f>"119098"</f>
        <v>119098</v>
      </c>
    </row>
    <row r="3739" spans="1:11" x14ac:dyDescent="0.25">
      <c r="A3739">
        <v>2023</v>
      </c>
      <c r="B3739" t="s">
        <v>3280</v>
      </c>
      <c r="C3739" t="s">
        <v>3281</v>
      </c>
      <c r="D3739" t="s">
        <v>19</v>
      </c>
      <c r="E3739" t="s">
        <v>20</v>
      </c>
      <c r="F3739" t="str">
        <f>"43615"</f>
        <v>43615</v>
      </c>
      <c r="G3739" t="str">
        <f>"Je06132023"</f>
        <v>Je06132023</v>
      </c>
      <c r="H3739" s="2">
        <f>125</f>
        <v>125</v>
      </c>
      <c r="I3739" t="s">
        <v>15</v>
      </c>
      <c r="J3739" t="s">
        <v>16</v>
      </c>
      <c r="K3739" t="str">
        <f>"60080233"</f>
        <v>60080233</v>
      </c>
    </row>
    <row r="3740" spans="1:11" x14ac:dyDescent="0.25">
      <c r="A3740">
        <v>2023</v>
      </c>
      <c r="B3740" t="s">
        <v>3315</v>
      </c>
      <c r="C3740" t="s">
        <v>3316</v>
      </c>
      <c r="D3740" t="s">
        <v>19</v>
      </c>
      <c r="E3740" t="s">
        <v>20</v>
      </c>
      <c r="F3740" t="str">
        <f>"43607"</f>
        <v>43607</v>
      </c>
      <c r="G3740" t="str">
        <f>"Je012023"</f>
        <v>Je012023</v>
      </c>
      <c r="H3740" s="2">
        <f>15</f>
        <v>15</v>
      </c>
      <c r="I3740" t="s">
        <v>15</v>
      </c>
      <c r="J3740" t="s">
        <v>397</v>
      </c>
      <c r="K3740" t="str">
        <f>"60062498"</f>
        <v>60062498</v>
      </c>
    </row>
    <row r="3741" spans="1:11" x14ac:dyDescent="0.25">
      <c r="A3741">
        <v>2023</v>
      </c>
      <c r="B3741" t="s">
        <v>3328</v>
      </c>
      <c r="C3741" t="s">
        <v>3329</v>
      </c>
      <c r="D3741" t="s">
        <v>19</v>
      </c>
      <c r="E3741" t="s">
        <v>20</v>
      </c>
      <c r="F3741" t="str">
        <f>"43623-3825"</f>
        <v>43623-3825</v>
      </c>
      <c r="G3741" t="str">
        <f>"637573"</f>
        <v>637573</v>
      </c>
      <c r="H3741" s="2">
        <f>10</f>
        <v>10</v>
      </c>
      <c r="I3741" t="s">
        <v>27</v>
      </c>
      <c r="J3741" t="s">
        <v>61</v>
      </c>
      <c r="K3741" t="str">
        <f>"120955"</f>
        <v>120955</v>
      </c>
    </row>
    <row r="3742" spans="1:11" x14ac:dyDescent="0.25">
      <c r="A3742">
        <v>2023</v>
      </c>
      <c r="B3742" t="s">
        <v>3362</v>
      </c>
      <c r="C3742" t="s">
        <v>3363</v>
      </c>
      <c r="D3742" t="s">
        <v>19</v>
      </c>
      <c r="E3742" t="s">
        <v>20</v>
      </c>
      <c r="F3742" t="str">
        <f>"43606-3058"</f>
        <v>43606-3058</v>
      </c>
      <c r="G3742" t="str">
        <f>"637573"</f>
        <v>637573</v>
      </c>
      <c r="H3742" s="2">
        <f>30</f>
        <v>30</v>
      </c>
      <c r="I3742" t="s">
        <v>27</v>
      </c>
      <c r="J3742" t="s">
        <v>61</v>
      </c>
      <c r="K3742" t="str">
        <f>"118512"</f>
        <v>118512</v>
      </c>
    </row>
    <row r="3743" spans="1:11" x14ac:dyDescent="0.25">
      <c r="A3743">
        <v>2023</v>
      </c>
      <c r="B3743" t="s">
        <v>3362</v>
      </c>
      <c r="C3743" t="s">
        <v>3363</v>
      </c>
      <c r="D3743" t="s">
        <v>19</v>
      </c>
      <c r="E3743" t="s">
        <v>20</v>
      </c>
      <c r="F3743" t="str">
        <f>"43606-3058"</f>
        <v>43606-3058</v>
      </c>
      <c r="G3743" t="str">
        <f>"637573"</f>
        <v>637573</v>
      </c>
      <c r="H3743" s="2">
        <f>30</f>
        <v>30</v>
      </c>
      <c r="I3743" t="s">
        <v>27</v>
      </c>
      <c r="J3743" t="s">
        <v>61</v>
      </c>
      <c r="K3743" t="str">
        <f>"118500"</f>
        <v>118500</v>
      </c>
    </row>
    <row r="3744" spans="1:11" x14ac:dyDescent="0.25">
      <c r="A3744">
        <v>2023</v>
      </c>
      <c r="B3744" t="s">
        <v>3393</v>
      </c>
      <c r="C3744" t="s">
        <v>3394</v>
      </c>
      <c r="D3744" t="s">
        <v>19</v>
      </c>
      <c r="E3744" t="s">
        <v>20</v>
      </c>
      <c r="F3744" t="str">
        <f>"43615"</f>
        <v>43615</v>
      </c>
      <c r="G3744" t="str">
        <f>"632482"</f>
        <v>632482</v>
      </c>
      <c r="H3744" s="2">
        <f>17.19</f>
        <v>17.190000000000001</v>
      </c>
      <c r="I3744" t="s">
        <v>27</v>
      </c>
      <c r="J3744" t="s">
        <v>157</v>
      </c>
      <c r="K3744" t="str">
        <f>"521987"</f>
        <v>521987</v>
      </c>
    </row>
    <row r="3745" spans="1:11" x14ac:dyDescent="0.25">
      <c r="A3745">
        <v>2023</v>
      </c>
      <c r="B3745" t="s">
        <v>3401</v>
      </c>
      <c r="C3745" t="s">
        <v>3402</v>
      </c>
      <c r="D3745" t="s">
        <v>50</v>
      </c>
      <c r="E3745" t="s">
        <v>20</v>
      </c>
      <c r="F3745" t="str">
        <f>"43560"</f>
        <v>43560</v>
      </c>
      <c r="G3745" t="str">
        <f>"632482"</f>
        <v>632482</v>
      </c>
      <c r="H3745" s="2">
        <f>20</f>
        <v>20</v>
      </c>
      <c r="I3745" t="s">
        <v>27</v>
      </c>
      <c r="J3745" t="s">
        <v>157</v>
      </c>
      <c r="K3745" t="str">
        <f>"520977"</f>
        <v>520977</v>
      </c>
    </row>
    <row r="3746" spans="1:11" x14ac:dyDescent="0.25">
      <c r="A3746">
        <v>2023</v>
      </c>
      <c r="B3746" t="s">
        <v>3401</v>
      </c>
      <c r="C3746" t="s">
        <v>3402</v>
      </c>
      <c r="D3746" t="s">
        <v>50</v>
      </c>
      <c r="E3746" t="s">
        <v>20</v>
      </c>
      <c r="F3746" t="str">
        <f>"43560"</f>
        <v>43560</v>
      </c>
      <c r="G3746" t="str">
        <f>"632482"</f>
        <v>632482</v>
      </c>
      <c r="H3746" s="2">
        <f>50</f>
        <v>50</v>
      </c>
      <c r="I3746" t="s">
        <v>27</v>
      </c>
      <c r="J3746" t="s">
        <v>157</v>
      </c>
      <c r="K3746" t="str">
        <f>"522278"</f>
        <v>522278</v>
      </c>
    </row>
    <row r="3747" spans="1:11" x14ac:dyDescent="0.25">
      <c r="A3747">
        <v>2023</v>
      </c>
      <c r="B3747" t="s">
        <v>3405</v>
      </c>
      <c r="C3747" t="s">
        <v>3406</v>
      </c>
      <c r="D3747" t="s">
        <v>19</v>
      </c>
      <c r="E3747" t="s">
        <v>20</v>
      </c>
      <c r="F3747" t="str">
        <f>"43604"</f>
        <v>43604</v>
      </c>
      <c r="G3747" t="str">
        <f>"632482"</f>
        <v>632482</v>
      </c>
      <c r="H3747" s="2">
        <f>60</f>
        <v>60</v>
      </c>
      <c r="I3747" t="s">
        <v>27</v>
      </c>
      <c r="J3747" t="s">
        <v>157</v>
      </c>
      <c r="K3747" t="str">
        <f>"522884"</f>
        <v>522884</v>
      </c>
    </row>
    <row r="3748" spans="1:11" x14ac:dyDescent="0.25">
      <c r="A3748">
        <v>2023</v>
      </c>
      <c r="B3748" t="s">
        <v>3403</v>
      </c>
      <c r="C3748" t="s">
        <v>928</v>
      </c>
      <c r="D3748" t="s">
        <v>50</v>
      </c>
      <c r="E3748" t="s">
        <v>20</v>
      </c>
      <c r="F3748" t="str">
        <f>"43560"</f>
        <v>43560</v>
      </c>
      <c r="G3748" t="str">
        <f t="shared" ref="G3748:G3755" si="124">"632514"</f>
        <v>632514</v>
      </c>
      <c r="H3748" s="2">
        <f>13.17</f>
        <v>13.17</v>
      </c>
      <c r="I3748" t="s">
        <v>27</v>
      </c>
      <c r="J3748" t="s">
        <v>195</v>
      </c>
      <c r="K3748" t="str">
        <f>"22024056"</f>
        <v>22024056</v>
      </c>
    </row>
    <row r="3749" spans="1:11" x14ac:dyDescent="0.25">
      <c r="A3749">
        <v>2023</v>
      </c>
      <c r="B3749" t="s">
        <v>3403</v>
      </c>
      <c r="C3749" t="s">
        <v>928</v>
      </c>
      <c r="D3749" t="s">
        <v>50</v>
      </c>
      <c r="E3749" t="s">
        <v>20</v>
      </c>
      <c r="F3749" t="str">
        <f>"43560"</f>
        <v>43560</v>
      </c>
      <c r="G3749" t="str">
        <f t="shared" si="124"/>
        <v>632514</v>
      </c>
      <c r="H3749" s="2">
        <f>1.68</f>
        <v>1.68</v>
      </c>
      <c r="I3749" t="s">
        <v>27</v>
      </c>
      <c r="J3749" t="s">
        <v>195</v>
      </c>
      <c r="K3749" t="str">
        <f>"22024091"</f>
        <v>22024091</v>
      </c>
    </row>
    <row r="3750" spans="1:11" x14ac:dyDescent="0.25">
      <c r="A3750">
        <v>2023</v>
      </c>
      <c r="B3750" t="s">
        <v>3403</v>
      </c>
      <c r="C3750" t="s">
        <v>928</v>
      </c>
      <c r="D3750" t="s">
        <v>50</v>
      </c>
      <c r="E3750" t="s">
        <v>20</v>
      </c>
      <c r="F3750" t="str">
        <f>"43560"</f>
        <v>43560</v>
      </c>
      <c r="G3750" t="str">
        <f t="shared" si="124"/>
        <v>632514</v>
      </c>
      <c r="H3750" s="2">
        <f>14</f>
        <v>14</v>
      </c>
      <c r="I3750" t="s">
        <v>27</v>
      </c>
      <c r="J3750" t="s">
        <v>195</v>
      </c>
      <c r="K3750" t="str">
        <f>"22023891"</f>
        <v>22023891</v>
      </c>
    </row>
    <row r="3751" spans="1:11" x14ac:dyDescent="0.25">
      <c r="A3751">
        <v>2023</v>
      </c>
      <c r="B3751" t="s">
        <v>3403</v>
      </c>
      <c r="C3751" t="s">
        <v>928</v>
      </c>
      <c r="D3751" t="s">
        <v>50</v>
      </c>
      <c r="E3751" t="s">
        <v>20</v>
      </c>
      <c r="F3751" t="str">
        <f>"43560"</f>
        <v>43560</v>
      </c>
      <c r="G3751" t="str">
        <f t="shared" si="124"/>
        <v>632514</v>
      </c>
      <c r="H3751" s="2">
        <f>11.31</f>
        <v>11.31</v>
      </c>
      <c r="I3751" t="s">
        <v>27</v>
      </c>
      <c r="J3751" t="s">
        <v>195</v>
      </c>
      <c r="K3751" t="str">
        <f>"22024407"</f>
        <v>22024407</v>
      </c>
    </row>
    <row r="3752" spans="1:11" x14ac:dyDescent="0.25">
      <c r="A3752">
        <v>2023</v>
      </c>
      <c r="B3752" t="s">
        <v>3403</v>
      </c>
      <c r="C3752" t="s">
        <v>3407</v>
      </c>
      <c r="D3752" t="s">
        <v>19</v>
      </c>
      <c r="E3752" t="s">
        <v>20</v>
      </c>
      <c r="F3752" t="str">
        <f>"43606"</f>
        <v>43606</v>
      </c>
      <c r="G3752" t="str">
        <f t="shared" si="124"/>
        <v>632514</v>
      </c>
      <c r="H3752" s="2">
        <f>17</f>
        <v>17</v>
      </c>
      <c r="I3752" t="s">
        <v>27</v>
      </c>
      <c r="J3752" t="s">
        <v>195</v>
      </c>
      <c r="K3752" t="str">
        <f>"33011845"</f>
        <v>33011845</v>
      </c>
    </row>
    <row r="3753" spans="1:11" x14ac:dyDescent="0.25">
      <c r="A3753">
        <v>2023</v>
      </c>
      <c r="B3753" t="s">
        <v>3403</v>
      </c>
      <c r="C3753" t="s">
        <v>928</v>
      </c>
      <c r="D3753" t="s">
        <v>50</v>
      </c>
      <c r="E3753" t="s">
        <v>20</v>
      </c>
      <c r="F3753" t="str">
        <f>"43560"</f>
        <v>43560</v>
      </c>
      <c r="G3753" t="str">
        <f t="shared" si="124"/>
        <v>632514</v>
      </c>
      <c r="H3753" s="2">
        <f>4.59</f>
        <v>4.59</v>
      </c>
      <c r="I3753" t="s">
        <v>27</v>
      </c>
      <c r="J3753" t="s">
        <v>195</v>
      </c>
      <c r="K3753" t="str">
        <f>"22024893"</f>
        <v>22024893</v>
      </c>
    </row>
    <row r="3754" spans="1:11" x14ac:dyDescent="0.25">
      <c r="A3754">
        <v>2023</v>
      </c>
      <c r="B3754" t="s">
        <v>3403</v>
      </c>
      <c r="C3754" t="s">
        <v>928</v>
      </c>
      <c r="D3754" t="s">
        <v>50</v>
      </c>
      <c r="E3754" t="s">
        <v>20</v>
      </c>
      <c r="F3754" t="str">
        <f>"43560"</f>
        <v>43560</v>
      </c>
      <c r="G3754" t="str">
        <f t="shared" si="124"/>
        <v>632514</v>
      </c>
      <c r="H3754" s="2">
        <f>31.03</f>
        <v>31.03</v>
      </c>
      <c r="I3754" t="s">
        <v>27</v>
      </c>
      <c r="J3754" t="s">
        <v>195</v>
      </c>
      <c r="K3754" t="str">
        <f>"22024894"</f>
        <v>22024894</v>
      </c>
    </row>
    <row r="3755" spans="1:11" x14ac:dyDescent="0.25">
      <c r="A3755">
        <v>2023</v>
      </c>
      <c r="B3755" t="s">
        <v>3403</v>
      </c>
      <c r="C3755" t="s">
        <v>928</v>
      </c>
      <c r="D3755" t="s">
        <v>50</v>
      </c>
      <c r="E3755" t="s">
        <v>20</v>
      </c>
      <c r="F3755" t="str">
        <f>"43560"</f>
        <v>43560</v>
      </c>
      <c r="G3755" t="str">
        <f t="shared" si="124"/>
        <v>632514</v>
      </c>
      <c r="H3755" s="2">
        <f>1.13</f>
        <v>1.1299999999999999</v>
      </c>
      <c r="I3755" t="s">
        <v>27</v>
      </c>
      <c r="J3755" t="s">
        <v>195</v>
      </c>
      <c r="K3755" t="str">
        <f>"22025308"</f>
        <v>22025308</v>
      </c>
    </row>
    <row r="3756" spans="1:11" x14ac:dyDescent="0.25">
      <c r="A3756">
        <v>2023</v>
      </c>
      <c r="B3756" t="s">
        <v>3413</v>
      </c>
      <c r="C3756" t="s">
        <v>3414</v>
      </c>
      <c r="D3756" t="s">
        <v>19</v>
      </c>
      <c r="E3756" t="s">
        <v>20</v>
      </c>
      <c r="F3756" t="str">
        <f>"43611-2519"</f>
        <v>43611-2519</v>
      </c>
      <c r="G3756" t="str">
        <f>"637573"</f>
        <v>637573</v>
      </c>
      <c r="H3756" s="2">
        <f>10</f>
        <v>10</v>
      </c>
      <c r="I3756" t="s">
        <v>27</v>
      </c>
      <c r="J3756" t="s">
        <v>61</v>
      </c>
      <c r="K3756" t="str">
        <f>"118843"</f>
        <v>118843</v>
      </c>
    </row>
    <row r="3757" spans="1:11" x14ac:dyDescent="0.25">
      <c r="A3757">
        <v>2023</v>
      </c>
      <c r="B3757" t="s">
        <v>3424</v>
      </c>
      <c r="C3757" t="s">
        <v>3427</v>
      </c>
      <c r="D3757" t="s">
        <v>19</v>
      </c>
      <c r="E3757" t="s">
        <v>20</v>
      </c>
      <c r="F3757" t="str">
        <f>"43606"</f>
        <v>43606</v>
      </c>
      <c r="G3757" t="str">
        <f t="shared" ref="G3757:G3764" si="125">"632482"</f>
        <v>632482</v>
      </c>
      <c r="H3757" s="2">
        <f>100</f>
        <v>100</v>
      </c>
      <c r="I3757" t="s">
        <v>27</v>
      </c>
      <c r="J3757" t="s">
        <v>157</v>
      </c>
      <c r="K3757" t="str">
        <f>"520818"</f>
        <v>520818</v>
      </c>
    </row>
    <row r="3758" spans="1:11" x14ac:dyDescent="0.25">
      <c r="A3758">
        <v>2023</v>
      </c>
      <c r="B3758" t="s">
        <v>3424</v>
      </c>
      <c r="C3758" t="s">
        <v>3425</v>
      </c>
      <c r="D3758" t="s">
        <v>3426</v>
      </c>
      <c r="E3758" t="s">
        <v>20</v>
      </c>
      <c r="F3758" t="str">
        <f>"44136"</f>
        <v>44136</v>
      </c>
      <c r="G3758" t="str">
        <f t="shared" si="125"/>
        <v>632482</v>
      </c>
      <c r="H3758" s="2">
        <f>100</f>
        <v>100</v>
      </c>
      <c r="I3758" t="s">
        <v>27</v>
      </c>
      <c r="J3758" t="s">
        <v>157</v>
      </c>
      <c r="K3758" t="str">
        <f>"522849"</f>
        <v>522849</v>
      </c>
    </row>
    <row r="3759" spans="1:11" x14ac:dyDescent="0.25">
      <c r="A3759">
        <v>2023</v>
      </c>
      <c r="B3759" t="s">
        <v>3424</v>
      </c>
      <c r="C3759" t="s">
        <v>3428</v>
      </c>
      <c r="D3759" t="s">
        <v>19</v>
      </c>
      <c r="E3759" t="s">
        <v>20</v>
      </c>
      <c r="F3759" t="str">
        <f>"43609"</f>
        <v>43609</v>
      </c>
      <c r="G3759" t="str">
        <f t="shared" si="125"/>
        <v>632482</v>
      </c>
      <c r="H3759" s="2">
        <f>18.75</f>
        <v>18.75</v>
      </c>
      <c r="I3759" t="s">
        <v>27</v>
      </c>
      <c r="J3759" t="s">
        <v>157</v>
      </c>
      <c r="K3759" t="str">
        <f>"522584"</f>
        <v>522584</v>
      </c>
    </row>
    <row r="3760" spans="1:11" x14ac:dyDescent="0.25">
      <c r="A3760">
        <v>2023</v>
      </c>
      <c r="B3760" t="s">
        <v>3424</v>
      </c>
      <c r="C3760" t="s">
        <v>3429</v>
      </c>
      <c r="D3760" t="s">
        <v>105</v>
      </c>
      <c r="E3760" t="s">
        <v>20</v>
      </c>
      <c r="F3760" t="str">
        <f>"43528"</f>
        <v>43528</v>
      </c>
      <c r="G3760" t="str">
        <f t="shared" si="125"/>
        <v>632482</v>
      </c>
      <c r="H3760" s="2">
        <f>18.75</f>
        <v>18.75</v>
      </c>
      <c r="I3760" t="s">
        <v>27</v>
      </c>
      <c r="J3760" t="s">
        <v>157</v>
      </c>
      <c r="K3760" t="str">
        <f>"522587"</f>
        <v>522587</v>
      </c>
    </row>
    <row r="3761" spans="1:11" x14ac:dyDescent="0.25">
      <c r="A3761">
        <v>2023</v>
      </c>
      <c r="B3761" t="s">
        <v>3424</v>
      </c>
      <c r="C3761" t="s">
        <v>3425</v>
      </c>
      <c r="D3761" t="s">
        <v>3426</v>
      </c>
      <c r="E3761" t="s">
        <v>20</v>
      </c>
      <c r="F3761" t="str">
        <f>"44136"</f>
        <v>44136</v>
      </c>
      <c r="G3761" t="str">
        <f t="shared" si="125"/>
        <v>632482</v>
      </c>
      <c r="H3761" s="2">
        <f>133</f>
        <v>133</v>
      </c>
      <c r="I3761" t="s">
        <v>27</v>
      </c>
      <c r="J3761" t="s">
        <v>157</v>
      </c>
      <c r="K3761" t="str">
        <f>"522614"</f>
        <v>522614</v>
      </c>
    </row>
    <row r="3762" spans="1:11" x14ac:dyDescent="0.25">
      <c r="A3762">
        <v>2023</v>
      </c>
      <c r="B3762" t="s">
        <v>3424</v>
      </c>
      <c r="C3762" t="s">
        <v>3427</v>
      </c>
      <c r="D3762" t="s">
        <v>19</v>
      </c>
      <c r="E3762" t="s">
        <v>20</v>
      </c>
      <c r="F3762" t="str">
        <f>"43606"</f>
        <v>43606</v>
      </c>
      <c r="G3762" t="str">
        <f t="shared" si="125"/>
        <v>632482</v>
      </c>
      <c r="H3762" s="2">
        <f>1675</f>
        <v>1675</v>
      </c>
      <c r="I3762" t="s">
        <v>27</v>
      </c>
      <c r="J3762" t="s">
        <v>157</v>
      </c>
      <c r="K3762" t="str">
        <f>"521185"</f>
        <v>521185</v>
      </c>
    </row>
    <row r="3763" spans="1:11" x14ac:dyDescent="0.25">
      <c r="A3763">
        <v>2023</v>
      </c>
      <c r="B3763" t="s">
        <v>3424</v>
      </c>
      <c r="C3763" t="s">
        <v>3425</v>
      </c>
      <c r="D3763" t="s">
        <v>3426</v>
      </c>
      <c r="E3763" t="s">
        <v>20</v>
      </c>
      <c r="F3763" t="str">
        <f>"44136"</f>
        <v>44136</v>
      </c>
      <c r="G3763" t="str">
        <f t="shared" si="125"/>
        <v>632482</v>
      </c>
      <c r="H3763" s="2">
        <f>100</f>
        <v>100</v>
      </c>
      <c r="I3763" t="s">
        <v>27</v>
      </c>
      <c r="J3763" t="s">
        <v>157</v>
      </c>
      <c r="K3763" t="str">
        <f>"521646"</f>
        <v>521646</v>
      </c>
    </row>
    <row r="3764" spans="1:11" x14ac:dyDescent="0.25">
      <c r="A3764">
        <v>2023</v>
      </c>
      <c r="B3764" t="s">
        <v>3424</v>
      </c>
      <c r="C3764" t="s">
        <v>3427</v>
      </c>
      <c r="D3764" t="s">
        <v>19</v>
      </c>
      <c r="E3764" t="s">
        <v>20</v>
      </c>
      <c r="F3764" t="str">
        <f>"43606"</f>
        <v>43606</v>
      </c>
      <c r="G3764" t="str">
        <f t="shared" si="125"/>
        <v>632482</v>
      </c>
      <c r="H3764" s="2">
        <f>100</f>
        <v>100</v>
      </c>
      <c r="I3764" t="s">
        <v>27</v>
      </c>
      <c r="J3764" t="s">
        <v>157</v>
      </c>
      <c r="K3764" t="str">
        <f>"520968"</f>
        <v>520968</v>
      </c>
    </row>
    <row r="3765" spans="1:11" x14ac:dyDescent="0.25">
      <c r="A3765">
        <v>2023</v>
      </c>
      <c r="B3765" t="s">
        <v>3463</v>
      </c>
      <c r="C3765" t="s">
        <v>3464</v>
      </c>
      <c r="D3765" t="s">
        <v>50</v>
      </c>
      <c r="E3765" t="s">
        <v>20</v>
      </c>
      <c r="F3765" t="str">
        <f>"43560"</f>
        <v>43560</v>
      </c>
      <c r="G3765" t="str">
        <f>"632483"</f>
        <v>632483</v>
      </c>
      <c r="H3765" s="2">
        <f>16.6</f>
        <v>16.600000000000001</v>
      </c>
      <c r="I3765" t="s">
        <v>27</v>
      </c>
      <c r="J3765" t="s">
        <v>108</v>
      </c>
      <c r="K3765" t="str">
        <f>"40322"</f>
        <v>40322</v>
      </c>
    </row>
    <row r="3766" spans="1:11" x14ac:dyDescent="0.25">
      <c r="A3766">
        <v>2023</v>
      </c>
      <c r="B3766" t="s">
        <v>3467</v>
      </c>
      <c r="C3766" t="s">
        <v>3468</v>
      </c>
      <c r="D3766" t="s">
        <v>19</v>
      </c>
      <c r="E3766" t="s">
        <v>20</v>
      </c>
      <c r="F3766" t="str">
        <f>"43612-1711"</f>
        <v>43612-1711</v>
      </c>
      <c r="G3766" t="str">
        <f>"637573"</f>
        <v>637573</v>
      </c>
      <c r="H3766" s="2">
        <f>50</f>
        <v>50</v>
      </c>
      <c r="I3766" t="s">
        <v>27</v>
      </c>
      <c r="J3766" t="s">
        <v>61</v>
      </c>
      <c r="K3766" t="str">
        <f>"120254"</f>
        <v>120254</v>
      </c>
    </row>
    <row r="3767" spans="1:11" x14ac:dyDescent="0.25">
      <c r="A3767">
        <v>2023</v>
      </c>
      <c r="B3767" t="s">
        <v>3489</v>
      </c>
      <c r="C3767" t="s">
        <v>3490</v>
      </c>
      <c r="D3767" t="s">
        <v>19</v>
      </c>
      <c r="E3767" t="s">
        <v>20</v>
      </c>
      <c r="F3767" t="str">
        <f>"43617"</f>
        <v>43617</v>
      </c>
      <c r="G3767" t="str">
        <f>"638581"</f>
        <v>638581</v>
      </c>
      <c r="H3767" s="2">
        <f>19.6</f>
        <v>19.600000000000001</v>
      </c>
      <c r="I3767" t="s">
        <v>27</v>
      </c>
      <c r="J3767" t="s">
        <v>61</v>
      </c>
      <c r="K3767" t="str">
        <f>"334254"</f>
        <v>334254</v>
      </c>
    </row>
    <row r="3768" spans="1:11" x14ac:dyDescent="0.25">
      <c r="A3768">
        <v>2023</v>
      </c>
      <c r="B3768" t="s">
        <v>3494</v>
      </c>
      <c r="C3768" t="s">
        <v>3495</v>
      </c>
      <c r="D3768" t="s">
        <v>19</v>
      </c>
      <c r="E3768" t="s">
        <v>20</v>
      </c>
      <c r="F3768" t="str">
        <f>"43612-3402"</f>
        <v>43612-3402</v>
      </c>
      <c r="G3768" t="str">
        <f>"637573"</f>
        <v>637573</v>
      </c>
      <c r="H3768" s="2">
        <f>100</f>
        <v>100</v>
      </c>
      <c r="I3768" t="s">
        <v>27</v>
      </c>
      <c r="J3768" t="s">
        <v>61</v>
      </c>
      <c r="K3768" t="str">
        <f>"119890"</f>
        <v>119890</v>
      </c>
    </row>
    <row r="3769" spans="1:11" x14ac:dyDescent="0.25">
      <c r="A3769">
        <v>2023</v>
      </c>
      <c r="B3769" t="s">
        <v>3502</v>
      </c>
      <c r="C3769" t="s">
        <v>3503</v>
      </c>
      <c r="D3769" t="s">
        <v>58</v>
      </c>
      <c r="E3769" t="s">
        <v>20</v>
      </c>
      <c r="F3769" t="str">
        <f>"43616-3914"</f>
        <v>43616-3914</v>
      </c>
      <c r="G3769" t="str">
        <f>"637573"</f>
        <v>637573</v>
      </c>
      <c r="H3769" s="2">
        <f>20</f>
        <v>20</v>
      </c>
      <c r="I3769" t="s">
        <v>27</v>
      </c>
      <c r="J3769" t="s">
        <v>61</v>
      </c>
      <c r="K3769" t="str">
        <f>"119835"</f>
        <v>119835</v>
      </c>
    </row>
    <row r="3770" spans="1:11" x14ac:dyDescent="0.25">
      <c r="A3770">
        <v>2023</v>
      </c>
      <c r="B3770" t="s">
        <v>3506</v>
      </c>
      <c r="C3770" t="s">
        <v>3507</v>
      </c>
      <c r="D3770" t="s">
        <v>19</v>
      </c>
      <c r="E3770" t="s">
        <v>20</v>
      </c>
      <c r="F3770" t="str">
        <f>"43607"</f>
        <v>43607</v>
      </c>
      <c r="G3770" t="str">
        <f>"632483"</f>
        <v>632483</v>
      </c>
      <c r="H3770" s="2">
        <f>65.3</f>
        <v>65.3</v>
      </c>
      <c r="I3770" t="s">
        <v>27</v>
      </c>
      <c r="J3770" t="s">
        <v>108</v>
      </c>
      <c r="K3770" t="str">
        <f>"39904"</f>
        <v>39904</v>
      </c>
    </row>
    <row r="3771" spans="1:11" x14ac:dyDescent="0.25">
      <c r="A3771">
        <v>2023</v>
      </c>
      <c r="B3771" t="s">
        <v>3518</v>
      </c>
      <c r="C3771" t="s">
        <v>3519</v>
      </c>
      <c r="D3771" t="s">
        <v>3520</v>
      </c>
      <c r="E3771" t="s">
        <v>923</v>
      </c>
      <c r="F3771" t="str">
        <f>"95348"</f>
        <v>95348</v>
      </c>
      <c r="G3771" t="str">
        <f>"632483"</f>
        <v>632483</v>
      </c>
      <c r="H3771" s="2">
        <f>16.4</f>
        <v>16.399999999999999</v>
      </c>
      <c r="I3771" t="s">
        <v>27</v>
      </c>
      <c r="J3771" t="s">
        <v>108</v>
      </c>
      <c r="K3771" t="str">
        <f>"38910"</f>
        <v>38910</v>
      </c>
    </row>
    <row r="3772" spans="1:11" x14ac:dyDescent="0.25">
      <c r="A3772">
        <v>2023</v>
      </c>
      <c r="B3772" t="s">
        <v>3527</v>
      </c>
      <c r="C3772" t="s">
        <v>3528</v>
      </c>
      <c r="D3772" t="s">
        <v>19</v>
      </c>
      <c r="E3772" t="s">
        <v>20</v>
      </c>
      <c r="F3772" t="str">
        <f>"43608"</f>
        <v>43608</v>
      </c>
      <c r="G3772" t="str">
        <f>"632482"</f>
        <v>632482</v>
      </c>
      <c r="H3772" s="2">
        <f>300</f>
        <v>300</v>
      </c>
      <c r="I3772" t="s">
        <v>27</v>
      </c>
      <c r="J3772" t="s">
        <v>157</v>
      </c>
      <c r="K3772" t="str">
        <f>"521659"</f>
        <v>521659</v>
      </c>
    </row>
    <row r="3773" spans="1:11" x14ac:dyDescent="0.25">
      <c r="A3773">
        <v>2023</v>
      </c>
      <c r="B3773" t="s">
        <v>3527</v>
      </c>
      <c r="C3773" t="s">
        <v>3528</v>
      </c>
      <c r="D3773" t="s">
        <v>19</v>
      </c>
      <c r="E3773" t="s">
        <v>20</v>
      </c>
      <c r="F3773" t="str">
        <f>"43608"</f>
        <v>43608</v>
      </c>
      <c r="G3773" t="str">
        <f>"632482"</f>
        <v>632482</v>
      </c>
      <c r="H3773" s="2">
        <f>130</f>
        <v>130</v>
      </c>
      <c r="I3773" t="s">
        <v>27</v>
      </c>
      <c r="J3773" t="s">
        <v>157</v>
      </c>
      <c r="K3773" t="str">
        <f>"521772"</f>
        <v>521772</v>
      </c>
    </row>
    <row r="3774" spans="1:11" x14ac:dyDescent="0.25">
      <c r="A3774">
        <v>2023</v>
      </c>
      <c r="B3774" t="s">
        <v>3527</v>
      </c>
      <c r="C3774" t="s">
        <v>3528</v>
      </c>
      <c r="D3774" t="s">
        <v>19</v>
      </c>
      <c r="E3774" t="s">
        <v>20</v>
      </c>
      <c r="F3774" t="str">
        <f>"43608"</f>
        <v>43608</v>
      </c>
      <c r="G3774" t="str">
        <f>"632482"</f>
        <v>632482</v>
      </c>
      <c r="H3774" s="2">
        <f>110</f>
        <v>110</v>
      </c>
      <c r="I3774" t="s">
        <v>27</v>
      </c>
      <c r="J3774" t="s">
        <v>157</v>
      </c>
      <c r="K3774" t="str">
        <f>"521564"</f>
        <v>521564</v>
      </c>
    </row>
    <row r="3775" spans="1:11" x14ac:dyDescent="0.25">
      <c r="A3775">
        <v>2023</v>
      </c>
      <c r="B3775" t="s">
        <v>3527</v>
      </c>
      <c r="C3775" t="s">
        <v>3528</v>
      </c>
      <c r="D3775" t="s">
        <v>19</v>
      </c>
      <c r="E3775" t="s">
        <v>20</v>
      </c>
      <c r="F3775" t="str">
        <f>"43608"</f>
        <v>43608</v>
      </c>
      <c r="G3775" t="str">
        <f>"632482"</f>
        <v>632482</v>
      </c>
      <c r="H3775" s="2">
        <f>20</f>
        <v>20</v>
      </c>
      <c r="I3775" t="s">
        <v>27</v>
      </c>
      <c r="J3775" t="s">
        <v>157</v>
      </c>
      <c r="K3775" t="str">
        <f>"521105"</f>
        <v>521105</v>
      </c>
    </row>
    <row r="3776" spans="1:11" x14ac:dyDescent="0.25">
      <c r="A3776">
        <v>2023</v>
      </c>
      <c r="B3776" t="s">
        <v>3545</v>
      </c>
      <c r="C3776" t="s">
        <v>3546</v>
      </c>
      <c r="D3776" t="s">
        <v>1163</v>
      </c>
      <c r="E3776" t="s">
        <v>20</v>
      </c>
      <c r="F3776" t="str">
        <f>"45250"</f>
        <v>45250</v>
      </c>
      <c r="G3776" t="str">
        <f>"632483"</f>
        <v>632483</v>
      </c>
      <c r="H3776" s="2">
        <f>3.75</f>
        <v>3.75</v>
      </c>
      <c r="I3776" t="s">
        <v>27</v>
      </c>
      <c r="J3776" t="s">
        <v>108</v>
      </c>
      <c r="K3776" t="str">
        <f>"40363"</f>
        <v>40363</v>
      </c>
    </row>
    <row r="3777" spans="1:11" x14ac:dyDescent="0.25">
      <c r="A3777">
        <v>2023</v>
      </c>
      <c r="B3777" t="s">
        <v>3551</v>
      </c>
      <c r="C3777" t="s">
        <v>3552</v>
      </c>
      <c r="D3777" t="s">
        <v>3553</v>
      </c>
      <c r="E3777" t="s">
        <v>14</v>
      </c>
      <c r="F3777" t="str">
        <f>"49238"</f>
        <v>49238</v>
      </c>
      <c r="G3777" t="str">
        <f>"632483"</f>
        <v>632483</v>
      </c>
      <c r="H3777" s="2">
        <f>9.75</f>
        <v>9.75</v>
      </c>
      <c r="I3777" t="s">
        <v>27</v>
      </c>
      <c r="J3777" t="s">
        <v>108</v>
      </c>
      <c r="K3777" t="str">
        <f>"40335"</f>
        <v>40335</v>
      </c>
    </row>
    <row r="3778" spans="1:11" x14ac:dyDescent="0.25">
      <c r="A3778">
        <v>2023</v>
      </c>
      <c r="B3778" t="s">
        <v>3558</v>
      </c>
      <c r="C3778" t="s">
        <v>3559</v>
      </c>
      <c r="D3778" t="s">
        <v>50</v>
      </c>
      <c r="E3778" t="s">
        <v>20</v>
      </c>
      <c r="F3778" t="str">
        <f>"43560"</f>
        <v>43560</v>
      </c>
      <c r="G3778" t="str">
        <f>"Je12142023"</f>
        <v>Je12142023</v>
      </c>
      <c r="H3778" s="2">
        <f>11.67</f>
        <v>11.67</v>
      </c>
      <c r="I3778" t="s">
        <v>15</v>
      </c>
      <c r="J3778" t="s">
        <v>176</v>
      </c>
      <c r="K3778" t="str">
        <f>"60095975"</f>
        <v>60095975</v>
      </c>
    </row>
    <row r="3779" spans="1:11" x14ac:dyDescent="0.25">
      <c r="A3779">
        <v>2023</v>
      </c>
      <c r="B3779" t="s">
        <v>3566</v>
      </c>
      <c r="C3779" t="s">
        <v>3567</v>
      </c>
      <c r="D3779" t="s">
        <v>50</v>
      </c>
      <c r="E3779" t="s">
        <v>20</v>
      </c>
      <c r="F3779" t="str">
        <f>"43560"</f>
        <v>43560</v>
      </c>
      <c r="G3779" t="str">
        <f>"632482"</f>
        <v>632482</v>
      </c>
      <c r="H3779" s="2">
        <f>100</f>
        <v>100</v>
      </c>
      <c r="I3779" t="s">
        <v>27</v>
      </c>
      <c r="J3779" t="s">
        <v>157</v>
      </c>
      <c r="K3779" t="str">
        <f>"520814"</f>
        <v>520814</v>
      </c>
    </row>
    <row r="3780" spans="1:11" x14ac:dyDescent="0.25">
      <c r="A3780">
        <v>2023</v>
      </c>
      <c r="B3780" t="s">
        <v>3568</v>
      </c>
      <c r="C3780" t="s">
        <v>3569</v>
      </c>
      <c r="D3780" t="s">
        <v>19</v>
      </c>
      <c r="E3780" t="s">
        <v>20</v>
      </c>
      <c r="F3780" t="str">
        <f>"43623"</f>
        <v>43623</v>
      </c>
      <c r="G3780" t="str">
        <f>"Je10162023"</f>
        <v>Je10162023</v>
      </c>
      <c r="H3780" s="2">
        <f>65.75</f>
        <v>65.75</v>
      </c>
      <c r="I3780" t="s">
        <v>15</v>
      </c>
      <c r="J3780" t="s">
        <v>93</v>
      </c>
      <c r="K3780" t="str">
        <f>"60089122"</f>
        <v>60089122</v>
      </c>
    </row>
    <row r="3781" spans="1:11" x14ac:dyDescent="0.25">
      <c r="A3781">
        <v>2023</v>
      </c>
      <c r="B3781" t="s">
        <v>3570</v>
      </c>
      <c r="C3781" t="s">
        <v>3571</v>
      </c>
      <c r="D3781" t="s">
        <v>19</v>
      </c>
      <c r="E3781" t="s">
        <v>20</v>
      </c>
      <c r="F3781" t="str">
        <f>"43623-4121"</f>
        <v>43623-4121</v>
      </c>
      <c r="G3781" t="str">
        <f>"637573"</f>
        <v>637573</v>
      </c>
      <c r="H3781" s="2">
        <f>20</f>
        <v>20</v>
      </c>
      <c r="I3781" t="s">
        <v>27</v>
      </c>
      <c r="J3781" t="s">
        <v>61</v>
      </c>
      <c r="K3781" t="str">
        <f>"120675"</f>
        <v>120675</v>
      </c>
    </row>
    <row r="3782" spans="1:11" x14ac:dyDescent="0.25">
      <c r="A3782">
        <v>2023</v>
      </c>
      <c r="B3782" t="s">
        <v>3580</v>
      </c>
      <c r="C3782" t="s">
        <v>3581</v>
      </c>
      <c r="D3782" t="s">
        <v>50</v>
      </c>
      <c r="E3782" t="s">
        <v>20</v>
      </c>
      <c r="F3782" t="str">
        <f>"43560-2630"</f>
        <v>43560-2630</v>
      </c>
      <c r="G3782" t="str">
        <f>"637573"</f>
        <v>637573</v>
      </c>
      <c r="H3782" s="2">
        <f>10</f>
        <v>10</v>
      </c>
      <c r="I3782" t="s">
        <v>27</v>
      </c>
      <c r="J3782" t="s">
        <v>61</v>
      </c>
      <c r="K3782" t="str">
        <f>"119082"</f>
        <v>119082</v>
      </c>
    </row>
    <row r="3783" spans="1:11" x14ac:dyDescent="0.25">
      <c r="A3783">
        <v>2023</v>
      </c>
      <c r="B3783" t="s">
        <v>3582</v>
      </c>
      <c r="C3783" t="s">
        <v>245</v>
      </c>
      <c r="D3783" t="s">
        <v>19</v>
      </c>
      <c r="E3783" t="s">
        <v>20</v>
      </c>
      <c r="F3783" t="str">
        <f>"43617"</f>
        <v>43617</v>
      </c>
      <c r="G3783" t="str">
        <f>"632483"</f>
        <v>632483</v>
      </c>
      <c r="H3783" s="2">
        <f>20</f>
        <v>20</v>
      </c>
      <c r="I3783" t="s">
        <v>27</v>
      </c>
      <c r="J3783" t="s">
        <v>108</v>
      </c>
      <c r="K3783" t="str">
        <f>"40425"</f>
        <v>40425</v>
      </c>
    </row>
    <row r="3784" spans="1:11" x14ac:dyDescent="0.25">
      <c r="A3784">
        <v>2023</v>
      </c>
      <c r="B3784" t="s">
        <v>3585</v>
      </c>
      <c r="C3784" t="s">
        <v>3586</v>
      </c>
      <c r="D3784" t="s">
        <v>19</v>
      </c>
      <c r="E3784" t="s">
        <v>20</v>
      </c>
      <c r="F3784" t="str">
        <f>"43617"</f>
        <v>43617</v>
      </c>
      <c r="G3784" t="str">
        <f>"632482"</f>
        <v>632482</v>
      </c>
      <c r="H3784" s="2">
        <f>17.19</f>
        <v>17.190000000000001</v>
      </c>
      <c r="I3784" t="s">
        <v>27</v>
      </c>
      <c r="J3784" t="s">
        <v>157</v>
      </c>
      <c r="K3784" t="str">
        <f>"521989"</f>
        <v>521989</v>
      </c>
    </row>
    <row r="3785" spans="1:11" x14ac:dyDescent="0.25">
      <c r="A3785">
        <v>2023</v>
      </c>
      <c r="B3785" t="s">
        <v>3587</v>
      </c>
      <c r="C3785" t="s">
        <v>3588</v>
      </c>
      <c r="D3785" t="s">
        <v>19</v>
      </c>
      <c r="E3785" t="s">
        <v>20</v>
      </c>
      <c r="F3785" t="str">
        <f>"43623"</f>
        <v>43623</v>
      </c>
      <c r="G3785" t="str">
        <f>"Je012023"</f>
        <v>Je012023</v>
      </c>
      <c r="H3785" s="2">
        <f>150</f>
        <v>150</v>
      </c>
      <c r="I3785" t="s">
        <v>15</v>
      </c>
      <c r="J3785" t="s">
        <v>397</v>
      </c>
      <c r="K3785" t="str">
        <f>"60064563"</f>
        <v>60064563</v>
      </c>
    </row>
    <row r="3786" spans="1:11" x14ac:dyDescent="0.25">
      <c r="A3786">
        <v>2023</v>
      </c>
      <c r="B3786" t="s">
        <v>3591</v>
      </c>
      <c r="C3786" t="s">
        <v>3592</v>
      </c>
      <c r="D3786" t="s">
        <v>19</v>
      </c>
      <c r="E3786" t="s">
        <v>20</v>
      </c>
      <c r="F3786" t="str">
        <f>"43608"</f>
        <v>43608</v>
      </c>
      <c r="G3786" t="str">
        <f>"Je12142023"</f>
        <v>Je12142023</v>
      </c>
      <c r="H3786" s="2">
        <f>23.26</f>
        <v>23.26</v>
      </c>
      <c r="I3786" t="s">
        <v>15</v>
      </c>
      <c r="J3786" t="s">
        <v>176</v>
      </c>
      <c r="K3786" t="str">
        <f>"60096665"</f>
        <v>60096665</v>
      </c>
    </row>
    <row r="3787" spans="1:11" x14ac:dyDescent="0.25">
      <c r="A3787">
        <v>2023</v>
      </c>
      <c r="B3787" t="s">
        <v>3593</v>
      </c>
      <c r="C3787" t="s">
        <v>3594</v>
      </c>
      <c r="D3787" t="s">
        <v>19</v>
      </c>
      <c r="E3787" t="s">
        <v>20</v>
      </c>
      <c r="F3787" t="str">
        <f>"43613-5605"</f>
        <v>43613-5605</v>
      </c>
      <c r="G3787" t="str">
        <f>"637573"</f>
        <v>637573</v>
      </c>
      <c r="H3787" s="2">
        <f>40</f>
        <v>40</v>
      </c>
      <c r="I3787" t="s">
        <v>27</v>
      </c>
      <c r="J3787" t="s">
        <v>61</v>
      </c>
      <c r="K3787" t="str">
        <f>"120849"</f>
        <v>120849</v>
      </c>
    </row>
    <row r="3788" spans="1:11" x14ac:dyDescent="0.25">
      <c r="A3788">
        <v>2023</v>
      </c>
      <c r="B3788" t="s">
        <v>3599</v>
      </c>
      <c r="C3788" t="s">
        <v>3600</v>
      </c>
      <c r="D3788" t="s">
        <v>19</v>
      </c>
      <c r="E3788" t="s">
        <v>20</v>
      </c>
      <c r="F3788" t="str">
        <f>"43614"</f>
        <v>43614</v>
      </c>
      <c r="G3788" t="str">
        <f>"Je12142023"</f>
        <v>Je12142023</v>
      </c>
      <c r="H3788" s="2">
        <f>113.58</f>
        <v>113.58</v>
      </c>
      <c r="I3788" t="s">
        <v>15</v>
      </c>
      <c r="J3788" t="s">
        <v>176</v>
      </c>
      <c r="K3788" t="str">
        <f>"60099956"</f>
        <v>60099956</v>
      </c>
    </row>
    <row r="3789" spans="1:11" x14ac:dyDescent="0.25">
      <c r="A3789">
        <v>2023</v>
      </c>
      <c r="B3789" t="s">
        <v>3601</v>
      </c>
      <c r="C3789" t="s">
        <v>3602</v>
      </c>
      <c r="D3789" t="s">
        <v>19</v>
      </c>
      <c r="E3789" t="s">
        <v>20</v>
      </c>
      <c r="F3789" t="str">
        <f>"43613"</f>
        <v>43613</v>
      </c>
      <c r="G3789" t="str">
        <f>"632514"</f>
        <v>632514</v>
      </c>
      <c r="H3789" s="2">
        <f>4.25</f>
        <v>4.25</v>
      </c>
      <c r="I3789" t="s">
        <v>27</v>
      </c>
      <c r="J3789" t="s">
        <v>195</v>
      </c>
      <c r="K3789" t="str">
        <f>"22024235"</f>
        <v>22024235</v>
      </c>
    </row>
    <row r="3790" spans="1:11" x14ac:dyDescent="0.25">
      <c r="A3790">
        <v>2023</v>
      </c>
      <c r="B3790" t="s">
        <v>3603</v>
      </c>
      <c r="C3790" t="s">
        <v>3604</v>
      </c>
      <c r="D3790" t="s">
        <v>19</v>
      </c>
      <c r="E3790" t="s">
        <v>20</v>
      </c>
      <c r="F3790" t="str">
        <f>"43612-2144"</f>
        <v>43612-2144</v>
      </c>
      <c r="G3790" t="str">
        <f>"637573"</f>
        <v>637573</v>
      </c>
      <c r="H3790" s="2">
        <f>10</f>
        <v>10</v>
      </c>
      <c r="I3790" t="s">
        <v>27</v>
      </c>
      <c r="J3790" t="s">
        <v>61</v>
      </c>
      <c r="K3790" t="str">
        <f>"119673"</f>
        <v>119673</v>
      </c>
    </row>
    <row r="3791" spans="1:11" x14ac:dyDescent="0.25">
      <c r="A3791">
        <v>2023</v>
      </c>
      <c r="B3791" t="s">
        <v>3616</v>
      </c>
      <c r="C3791" t="s">
        <v>3617</v>
      </c>
      <c r="D3791" t="s">
        <v>19</v>
      </c>
      <c r="E3791" t="s">
        <v>20</v>
      </c>
      <c r="F3791" t="str">
        <f>"43615"</f>
        <v>43615</v>
      </c>
      <c r="G3791" t="str">
        <f t="shared" ref="G3791:G3801" si="126">"632482"</f>
        <v>632482</v>
      </c>
      <c r="H3791" s="2">
        <f>35.75</f>
        <v>35.75</v>
      </c>
      <c r="I3791" t="s">
        <v>27</v>
      </c>
      <c r="J3791" t="s">
        <v>157</v>
      </c>
      <c r="K3791" t="str">
        <f>"521606"</f>
        <v>521606</v>
      </c>
    </row>
    <row r="3792" spans="1:11" x14ac:dyDescent="0.25">
      <c r="A3792">
        <v>2023</v>
      </c>
      <c r="B3792" t="s">
        <v>3643</v>
      </c>
      <c r="C3792" t="s">
        <v>3644</v>
      </c>
      <c r="D3792" t="s">
        <v>19</v>
      </c>
      <c r="E3792" t="s">
        <v>20</v>
      </c>
      <c r="F3792" t="str">
        <f t="shared" ref="F3792:F3801" si="127">"43697"</f>
        <v>43697</v>
      </c>
      <c r="G3792" t="str">
        <f t="shared" si="126"/>
        <v>632482</v>
      </c>
      <c r="H3792" s="2">
        <f>50</f>
        <v>50</v>
      </c>
      <c r="I3792" t="s">
        <v>27</v>
      </c>
      <c r="J3792" t="s">
        <v>157</v>
      </c>
      <c r="K3792" t="str">
        <f>"521318"</f>
        <v>521318</v>
      </c>
    </row>
    <row r="3793" spans="1:11" x14ac:dyDescent="0.25">
      <c r="A3793">
        <v>2023</v>
      </c>
      <c r="B3793" t="s">
        <v>3643</v>
      </c>
      <c r="C3793" t="s">
        <v>3644</v>
      </c>
      <c r="D3793" t="s">
        <v>19</v>
      </c>
      <c r="E3793" t="s">
        <v>20</v>
      </c>
      <c r="F3793" t="str">
        <f t="shared" si="127"/>
        <v>43697</v>
      </c>
      <c r="G3793" t="str">
        <f t="shared" si="126"/>
        <v>632482</v>
      </c>
      <c r="H3793" s="2">
        <f>50</f>
        <v>50</v>
      </c>
      <c r="I3793" t="s">
        <v>27</v>
      </c>
      <c r="J3793" t="s">
        <v>157</v>
      </c>
      <c r="K3793" t="str">
        <f>"521835"</f>
        <v>521835</v>
      </c>
    </row>
    <row r="3794" spans="1:11" x14ac:dyDescent="0.25">
      <c r="A3794">
        <v>2023</v>
      </c>
      <c r="B3794" t="s">
        <v>3643</v>
      </c>
      <c r="C3794" t="s">
        <v>3644</v>
      </c>
      <c r="D3794" t="s">
        <v>19</v>
      </c>
      <c r="E3794" t="s">
        <v>20</v>
      </c>
      <c r="F3794" t="str">
        <f t="shared" si="127"/>
        <v>43697</v>
      </c>
      <c r="G3794" t="str">
        <f t="shared" si="126"/>
        <v>632482</v>
      </c>
      <c r="H3794" s="2">
        <f>50</f>
        <v>50</v>
      </c>
      <c r="I3794" t="s">
        <v>27</v>
      </c>
      <c r="J3794" t="s">
        <v>157</v>
      </c>
      <c r="K3794" t="str">
        <f>"521739"</f>
        <v>521739</v>
      </c>
    </row>
    <row r="3795" spans="1:11" x14ac:dyDescent="0.25">
      <c r="A3795">
        <v>2023</v>
      </c>
      <c r="B3795" t="s">
        <v>3643</v>
      </c>
      <c r="C3795" t="s">
        <v>3644</v>
      </c>
      <c r="D3795" t="s">
        <v>19</v>
      </c>
      <c r="E3795" t="s">
        <v>20</v>
      </c>
      <c r="F3795" t="str">
        <f t="shared" si="127"/>
        <v>43697</v>
      </c>
      <c r="G3795" t="str">
        <f t="shared" si="126"/>
        <v>632482</v>
      </c>
      <c r="H3795" s="2">
        <f>50</f>
        <v>50</v>
      </c>
      <c r="I3795" t="s">
        <v>27</v>
      </c>
      <c r="J3795" t="s">
        <v>157</v>
      </c>
      <c r="K3795" t="str">
        <f>"520679"</f>
        <v>520679</v>
      </c>
    </row>
    <row r="3796" spans="1:11" x14ac:dyDescent="0.25">
      <c r="A3796">
        <v>2023</v>
      </c>
      <c r="B3796" t="s">
        <v>3643</v>
      </c>
      <c r="C3796" t="s">
        <v>3644</v>
      </c>
      <c r="D3796" t="s">
        <v>19</v>
      </c>
      <c r="E3796" t="s">
        <v>20</v>
      </c>
      <c r="F3796" t="str">
        <f t="shared" si="127"/>
        <v>43697</v>
      </c>
      <c r="G3796" t="str">
        <f t="shared" si="126"/>
        <v>632482</v>
      </c>
      <c r="H3796" s="2">
        <f>50</f>
        <v>50</v>
      </c>
      <c r="I3796" t="s">
        <v>27</v>
      </c>
      <c r="J3796" t="s">
        <v>157</v>
      </c>
      <c r="K3796" t="str">
        <f>"521169"</f>
        <v>521169</v>
      </c>
    </row>
    <row r="3797" spans="1:11" x14ac:dyDescent="0.25">
      <c r="A3797">
        <v>2023</v>
      </c>
      <c r="B3797" t="s">
        <v>3643</v>
      </c>
      <c r="C3797" t="s">
        <v>3644</v>
      </c>
      <c r="D3797" t="s">
        <v>19</v>
      </c>
      <c r="E3797" t="s">
        <v>20</v>
      </c>
      <c r="F3797" t="str">
        <f t="shared" si="127"/>
        <v>43697</v>
      </c>
      <c r="G3797" t="str">
        <f t="shared" si="126"/>
        <v>632482</v>
      </c>
      <c r="H3797" s="2">
        <f>100</f>
        <v>100</v>
      </c>
      <c r="I3797" t="s">
        <v>27</v>
      </c>
      <c r="J3797" t="s">
        <v>157</v>
      </c>
      <c r="K3797" t="str">
        <f>"523053"</f>
        <v>523053</v>
      </c>
    </row>
    <row r="3798" spans="1:11" x14ac:dyDescent="0.25">
      <c r="A3798">
        <v>2023</v>
      </c>
      <c r="B3798" t="s">
        <v>3643</v>
      </c>
      <c r="C3798" t="s">
        <v>3644</v>
      </c>
      <c r="D3798" t="s">
        <v>19</v>
      </c>
      <c r="E3798" t="s">
        <v>20</v>
      </c>
      <c r="F3798" t="str">
        <f t="shared" si="127"/>
        <v>43697</v>
      </c>
      <c r="G3798" t="str">
        <f t="shared" si="126"/>
        <v>632482</v>
      </c>
      <c r="H3798" s="2">
        <f>50</f>
        <v>50</v>
      </c>
      <c r="I3798" t="s">
        <v>27</v>
      </c>
      <c r="J3798" t="s">
        <v>157</v>
      </c>
      <c r="K3798" t="str">
        <f>"522596"</f>
        <v>522596</v>
      </c>
    </row>
    <row r="3799" spans="1:11" x14ac:dyDescent="0.25">
      <c r="A3799">
        <v>2023</v>
      </c>
      <c r="B3799" t="s">
        <v>3643</v>
      </c>
      <c r="C3799" t="s">
        <v>3644</v>
      </c>
      <c r="D3799" t="s">
        <v>19</v>
      </c>
      <c r="E3799" t="s">
        <v>20</v>
      </c>
      <c r="F3799" t="str">
        <f t="shared" si="127"/>
        <v>43697</v>
      </c>
      <c r="G3799" t="str">
        <f t="shared" si="126"/>
        <v>632482</v>
      </c>
      <c r="H3799" s="2">
        <f>50</f>
        <v>50</v>
      </c>
      <c r="I3799" t="s">
        <v>27</v>
      </c>
      <c r="J3799" t="s">
        <v>157</v>
      </c>
      <c r="K3799" t="str">
        <f>"522670"</f>
        <v>522670</v>
      </c>
    </row>
    <row r="3800" spans="1:11" x14ac:dyDescent="0.25">
      <c r="A3800">
        <v>2023</v>
      </c>
      <c r="B3800" t="s">
        <v>3643</v>
      </c>
      <c r="C3800" t="s">
        <v>3644</v>
      </c>
      <c r="D3800" t="s">
        <v>19</v>
      </c>
      <c r="E3800" t="s">
        <v>20</v>
      </c>
      <c r="F3800" t="str">
        <f t="shared" si="127"/>
        <v>43697</v>
      </c>
      <c r="G3800" t="str">
        <f t="shared" si="126"/>
        <v>632482</v>
      </c>
      <c r="H3800" s="2">
        <f>50</f>
        <v>50</v>
      </c>
      <c r="I3800" t="s">
        <v>27</v>
      </c>
      <c r="J3800" t="s">
        <v>157</v>
      </c>
      <c r="K3800" t="str">
        <f>"522387"</f>
        <v>522387</v>
      </c>
    </row>
    <row r="3801" spans="1:11" x14ac:dyDescent="0.25">
      <c r="A3801">
        <v>2023</v>
      </c>
      <c r="B3801" t="s">
        <v>3643</v>
      </c>
      <c r="C3801" t="s">
        <v>3644</v>
      </c>
      <c r="D3801" t="s">
        <v>19</v>
      </c>
      <c r="E3801" t="s">
        <v>20</v>
      </c>
      <c r="F3801" t="str">
        <f t="shared" si="127"/>
        <v>43697</v>
      </c>
      <c r="G3801" t="str">
        <f t="shared" si="126"/>
        <v>632482</v>
      </c>
      <c r="H3801" s="2">
        <f>50</f>
        <v>50</v>
      </c>
      <c r="I3801" t="s">
        <v>27</v>
      </c>
      <c r="J3801" t="s">
        <v>157</v>
      </c>
      <c r="K3801" t="str">
        <f>"520807"</f>
        <v>520807</v>
      </c>
    </row>
    <row r="3802" spans="1:11" x14ac:dyDescent="0.25">
      <c r="A3802">
        <v>2023</v>
      </c>
      <c r="B3802" t="s">
        <v>3654</v>
      </c>
      <c r="C3802" t="s">
        <v>3655</v>
      </c>
      <c r="D3802" t="s">
        <v>19</v>
      </c>
      <c r="E3802" t="s">
        <v>20</v>
      </c>
      <c r="F3802" t="str">
        <f>"43614-3914"</f>
        <v>43614-3914</v>
      </c>
      <c r="G3802" t="str">
        <f>"637573"</f>
        <v>637573</v>
      </c>
      <c r="H3802" s="2">
        <f>30</f>
        <v>30</v>
      </c>
      <c r="I3802" t="s">
        <v>27</v>
      </c>
      <c r="J3802" t="s">
        <v>61</v>
      </c>
      <c r="K3802" t="str">
        <f>"120229"</f>
        <v>120229</v>
      </c>
    </row>
    <row r="3803" spans="1:11" x14ac:dyDescent="0.25">
      <c r="A3803">
        <v>2023</v>
      </c>
      <c r="B3803" t="s">
        <v>3663</v>
      </c>
      <c r="C3803" t="s">
        <v>3664</v>
      </c>
      <c r="D3803" t="s">
        <v>19</v>
      </c>
      <c r="E3803" t="s">
        <v>20</v>
      </c>
      <c r="F3803" t="str">
        <f>"43607"</f>
        <v>43607</v>
      </c>
      <c r="G3803" t="str">
        <f>"632483"</f>
        <v>632483</v>
      </c>
      <c r="H3803" s="2">
        <f>42.35</f>
        <v>42.35</v>
      </c>
      <c r="I3803" t="s">
        <v>27</v>
      </c>
      <c r="J3803" t="s">
        <v>108</v>
      </c>
      <c r="K3803" t="str">
        <f>"40729"</f>
        <v>40729</v>
      </c>
    </row>
    <row r="3804" spans="1:11" x14ac:dyDescent="0.25">
      <c r="A3804">
        <v>2023</v>
      </c>
      <c r="B3804" t="s">
        <v>3667</v>
      </c>
      <c r="C3804" t="s">
        <v>3668</v>
      </c>
      <c r="D3804" t="s">
        <v>19</v>
      </c>
      <c r="E3804" t="s">
        <v>20</v>
      </c>
      <c r="F3804" t="str">
        <f>"43607"</f>
        <v>43607</v>
      </c>
      <c r="G3804" t="str">
        <f>"Je012023"</f>
        <v>Je012023</v>
      </c>
      <c r="H3804" s="2">
        <f>218.3</f>
        <v>218.3</v>
      </c>
      <c r="I3804" t="s">
        <v>15</v>
      </c>
      <c r="J3804" t="s">
        <v>397</v>
      </c>
      <c r="K3804" t="str">
        <f>"60061417"</f>
        <v>60061417</v>
      </c>
    </row>
    <row r="3805" spans="1:11" x14ac:dyDescent="0.25">
      <c r="A3805">
        <v>2023</v>
      </c>
      <c r="B3805" t="s">
        <v>3690</v>
      </c>
      <c r="C3805" t="s">
        <v>3691</v>
      </c>
      <c r="D3805" t="s">
        <v>19</v>
      </c>
      <c r="E3805" t="s">
        <v>20</v>
      </c>
      <c r="F3805" t="str">
        <f>"43623"</f>
        <v>43623</v>
      </c>
      <c r="G3805" t="str">
        <f>"632482"</f>
        <v>632482</v>
      </c>
      <c r="H3805" s="2">
        <f>20</f>
        <v>20</v>
      </c>
      <c r="I3805" t="s">
        <v>27</v>
      </c>
      <c r="J3805" t="s">
        <v>157</v>
      </c>
      <c r="K3805" t="str">
        <f>"521014"</f>
        <v>521014</v>
      </c>
    </row>
    <row r="3806" spans="1:11" x14ac:dyDescent="0.25">
      <c r="A3806">
        <v>2023</v>
      </c>
      <c r="B3806" t="s">
        <v>3706</v>
      </c>
      <c r="C3806" t="s">
        <v>3707</v>
      </c>
      <c r="D3806" t="s">
        <v>50</v>
      </c>
      <c r="E3806" t="s">
        <v>20</v>
      </c>
      <c r="F3806" t="str">
        <f>"43560-9648"</f>
        <v>43560-9648</v>
      </c>
      <c r="G3806" t="str">
        <f>"637573"</f>
        <v>637573</v>
      </c>
      <c r="H3806" s="2">
        <f>20</f>
        <v>20</v>
      </c>
      <c r="I3806" t="s">
        <v>27</v>
      </c>
      <c r="J3806" t="s">
        <v>61</v>
      </c>
      <c r="K3806" t="str">
        <f>"119837"</f>
        <v>119837</v>
      </c>
    </row>
    <row r="3807" spans="1:11" x14ac:dyDescent="0.25">
      <c r="A3807">
        <v>2023</v>
      </c>
      <c r="B3807" t="s">
        <v>3708</v>
      </c>
      <c r="C3807" t="s">
        <v>3709</v>
      </c>
      <c r="D3807" t="s">
        <v>19</v>
      </c>
      <c r="E3807" t="s">
        <v>20</v>
      </c>
      <c r="F3807" t="str">
        <f>"43623"</f>
        <v>43623</v>
      </c>
      <c r="G3807" t="str">
        <f>"632514"</f>
        <v>632514</v>
      </c>
      <c r="H3807" s="2">
        <f>2</f>
        <v>2</v>
      </c>
      <c r="I3807" t="s">
        <v>27</v>
      </c>
      <c r="J3807" t="s">
        <v>195</v>
      </c>
      <c r="K3807" t="str">
        <f>"22025386"</f>
        <v>22025386</v>
      </c>
    </row>
    <row r="3808" spans="1:11" x14ac:dyDescent="0.25">
      <c r="A3808">
        <v>2023</v>
      </c>
      <c r="B3808" t="s">
        <v>3710</v>
      </c>
      <c r="C3808" t="s">
        <v>3711</v>
      </c>
      <c r="D3808" t="s">
        <v>19</v>
      </c>
      <c r="E3808" t="s">
        <v>20</v>
      </c>
      <c r="F3808" t="str">
        <f>"43609"</f>
        <v>43609</v>
      </c>
      <c r="G3808" t="str">
        <f>"Je12142023"</f>
        <v>Je12142023</v>
      </c>
      <c r="H3808" s="2">
        <f>36.7</f>
        <v>36.700000000000003</v>
      </c>
      <c r="I3808" t="s">
        <v>15</v>
      </c>
      <c r="J3808" t="s">
        <v>176</v>
      </c>
      <c r="K3808" t="str">
        <f>"60094167"</f>
        <v>60094167</v>
      </c>
    </row>
    <row r="3809" spans="1:11" x14ac:dyDescent="0.25">
      <c r="A3809">
        <v>2023</v>
      </c>
      <c r="B3809" t="s">
        <v>3732</v>
      </c>
      <c r="C3809" t="s">
        <v>3733</v>
      </c>
      <c r="D3809" t="s">
        <v>19</v>
      </c>
      <c r="E3809" t="s">
        <v>20</v>
      </c>
      <c r="F3809" t="str">
        <f>"43623"</f>
        <v>43623</v>
      </c>
      <c r="G3809" t="str">
        <f>"637573"</f>
        <v>637573</v>
      </c>
      <c r="H3809" s="2">
        <f>80</f>
        <v>80</v>
      </c>
      <c r="I3809" t="s">
        <v>27</v>
      </c>
      <c r="J3809" t="s">
        <v>61</v>
      </c>
      <c r="K3809" t="str">
        <f>"118716"</f>
        <v>118716</v>
      </c>
    </row>
    <row r="3810" spans="1:11" x14ac:dyDescent="0.25">
      <c r="A3810">
        <v>2023</v>
      </c>
      <c r="B3810" t="s">
        <v>3767</v>
      </c>
      <c r="C3810" t="s">
        <v>3768</v>
      </c>
      <c r="D3810" t="s">
        <v>19</v>
      </c>
      <c r="E3810" t="s">
        <v>20</v>
      </c>
      <c r="F3810" t="str">
        <f>"43615-3307"</f>
        <v>43615-3307</v>
      </c>
      <c r="G3810" t="str">
        <f>"637573"</f>
        <v>637573</v>
      </c>
      <c r="H3810" s="2">
        <f>20</f>
        <v>20</v>
      </c>
      <c r="I3810" t="s">
        <v>27</v>
      </c>
      <c r="J3810" t="s">
        <v>61</v>
      </c>
      <c r="K3810" t="str">
        <f>"119898"</f>
        <v>119898</v>
      </c>
    </row>
    <row r="3811" spans="1:11" x14ac:dyDescent="0.25">
      <c r="A3811">
        <v>2023</v>
      </c>
      <c r="B3811" t="s">
        <v>3778</v>
      </c>
      <c r="C3811" t="s">
        <v>3779</v>
      </c>
      <c r="D3811" t="s">
        <v>19</v>
      </c>
      <c r="E3811" t="s">
        <v>20</v>
      </c>
      <c r="F3811" t="str">
        <f>"43623"</f>
        <v>43623</v>
      </c>
      <c r="G3811" t="str">
        <f>"637573"</f>
        <v>637573</v>
      </c>
      <c r="H3811" s="2">
        <f>10</f>
        <v>10</v>
      </c>
      <c r="I3811" t="s">
        <v>27</v>
      </c>
      <c r="J3811" t="s">
        <v>61</v>
      </c>
      <c r="K3811" t="str">
        <f>"120624"</f>
        <v>120624</v>
      </c>
    </row>
    <row r="3812" spans="1:11" x14ac:dyDescent="0.25">
      <c r="A3812">
        <v>2023</v>
      </c>
      <c r="B3812" t="s">
        <v>3811</v>
      </c>
      <c r="C3812" t="s">
        <v>3812</v>
      </c>
      <c r="D3812" t="s">
        <v>19</v>
      </c>
      <c r="E3812" t="s">
        <v>20</v>
      </c>
      <c r="F3812" t="str">
        <f>"43606-2538"</f>
        <v>43606-2538</v>
      </c>
      <c r="G3812" t="str">
        <f>"637573"</f>
        <v>637573</v>
      </c>
      <c r="H3812" s="2">
        <f>20</f>
        <v>20</v>
      </c>
      <c r="I3812" t="s">
        <v>27</v>
      </c>
      <c r="J3812" t="s">
        <v>61</v>
      </c>
      <c r="K3812" t="str">
        <f>"120383"</f>
        <v>120383</v>
      </c>
    </row>
    <row r="3813" spans="1:11" x14ac:dyDescent="0.25">
      <c r="A3813">
        <v>2023</v>
      </c>
      <c r="B3813" t="s">
        <v>3813</v>
      </c>
      <c r="C3813" t="s">
        <v>3814</v>
      </c>
      <c r="D3813" t="s">
        <v>19</v>
      </c>
      <c r="E3813" t="s">
        <v>20</v>
      </c>
      <c r="F3813" t="str">
        <f>"43615-5424"</f>
        <v>43615-5424</v>
      </c>
      <c r="G3813" t="str">
        <f>"637573"</f>
        <v>637573</v>
      </c>
      <c r="H3813" s="2">
        <f>50</f>
        <v>50</v>
      </c>
      <c r="I3813" t="s">
        <v>27</v>
      </c>
      <c r="J3813" t="s">
        <v>61</v>
      </c>
      <c r="K3813" t="str">
        <f>"120917"</f>
        <v>120917</v>
      </c>
    </row>
    <row r="3814" spans="1:11" x14ac:dyDescent="0.25">
      <c r="A3814">
        <v>2023</v>
      </c>
      <c r="B3814" t="s">
        <v>3820</v>
      </c>
      <c r="C3814" t="s">
        <v>3821</v>
      </c>
      <c r="D3814" t="s">
        <v>19</v>
      </c>
      <c r="E3814" t="s">
        <v>20</v>
      </c>
      <c r="F3814" t="str">
        <f>"43615"</f>
        <v>43615</v>
      </c>
      <c r="G3814" t="str">
        <f>"Je12142023"</f>
        <v>Je12142023</v>
      </c>
      <c r="H3814" s="2">
        <f>246.68</f>
        <v>246.68</v>
      </c>
      <c r="I3814" t="s">
        <v>15</v>
      </c>
      <c r="J3814" t="s">
        <v>176</v>
      </c>
      <c r="K3814" t="str">
        <f>"60100428"</f>
        <v>60100428</v>
      </c>
    </row>
    <row r="3815" spans="1:11" x14ac:dyDescent="0.25">
      <c r="A3815">
        <v>2023</v>
      </c>
      <c r="B3815" t="s">
        <v>3822</v>
      </c>
      <c r="C3815" t="s">
        <v>3823</v>
      </c>
      <c r="D3815" t="s">
        <v>19</v>
      </c>
      <c r="E3815" t="s">
        <v>20</v>
      </c>
      <c r="F3815" t="str">
        <f>"43604"</f>
        <v>43604</v>
      </c>
      <c r="G3815" t="str">
        <f>"Je012023"</f>
        <v>Je012023</v>
      </c>
      <c r="H3815" s="2">
        <f>15</f>
        <v>15</v>
      </c>
      <c r="I3815" t="s">
        <v>15</v>
      </c>
      <c r="J3815" t="s">
        <v>397</v>
      </c>
      <c r="K3815" t="str">
        <f>"60060189"</f>
        <v>60060189</v>
      </c>
    </row>
    <row r="3816" spans="1:11" x14ac:dyDescent="0.25">
      <c r="A3816">
        <v>2023</v>
      </c>
      <c r="B3816" t="s">
        <v>3824</v>
      </c>
      <c r="C3816" t="s">
        <v>3825</v>
      </c>
      <c r="D3816" t="s">
        <v>19</v>
      </c>
      <c r="E3816" t="s">
        <v>20</v>
      </c>
      <c r="F3816" t="str">
        <f>"43606"</f>
        <v>43606</v>
      </c>
      <c r="G3816" t="str">
        <f>"632482"</f>
        <v>632482</v>
      </c>
      <c r="H3816" s="2">
        <f>36.24</f>
        <v>36.24</v>
      </c>
      <c r="I3816" t="s">
        <v>27</v>
      </c>
      <c r="J3816" t="s">
        <v>157</v>
      </c>
      <c r="K3816" t="str">
        <f>"521839"</f>
        <v>521839</v>
      </c>
    </row>
    <row r="3817" spans="1:11" x14ac:dyDescent="0.25">
      <c r="A3817">
        <v>2023</v>
      </c>
      <c r="B3817" t="s">
        <v>3826</v>
      </c>
      <c r="C3817" t="s">
        <v>3827</v>
      </c>
      <c r="D3817" t="s">
        <v>3426</v>
      </c>
      <c r="E3817" t="s">
        <v>20</v>
      </c>
      <c r="F3817" t="str">
        <f>"44136"</f>
        <v>44136</v>
      </c>
      <c r="G3817" t="str">
        <f>"632482"</f>
        <v>632482</v>
      </c>
      <c r="H3817" s="2">
        <f>100</f>
        <v>100</v>
      </c>
      <c r="I3817" t="s">
        <v>27</v>
      </c>
      <c r="J3817" t="s">
        <v>157</v>
      </c>
      <c r="K3817" t="str">
        <f>"523103"</f>
        <v>523103</v>
      </c>
    </row>
    <row r="3818" spans="1:11" x14ac:dyDescent="0.25">
      <c r="A3818">
        <v>2023</v>
      </c>
      <c r="B3818" t="s">
        <v>3830</v>
      </c>
      <c r="C3818" t="s">
        <v>3831</v>
      </c>
      <c r="D3818" t="s">
        <v>3832</v>
      </c>
      <c r="E3818" t="s">
        <v>3833</v>
      </c>
      <c r="F3818" t="str">
        <f>"56301-3642"</f>
        <v>56301-3642</v>
      </c>
      <c r="G3818" t="str">
        <f>"Je10162023"</f>
        <v>Je10162023</v>
      </c>
      <c r="H3818" s="2">
        <f>282.99</f>
        <v>282.99</v>
      </c>
      <c r="I3818" t="s">
        <v>15</v>
      </c>
      <c r="J3818" t="s">
        <v>93</v>
      </c>
      <c r="K3818" t="str">
        <f>"60087078"</f>
        <v>60087078</v>
      </c>
    </row>
    <row r="3819" spans="1:11" x14ac:dyDescent="0.25">
      <c r="A3819">
        <v>2023</v>
      </c>
      <c r="B3819" t="s">
        <v>3843</v>
      </c>
      <c r="C3819" t="s">
        <v>3844</v>
      </c>
      <c r="D3819" t="s">
        <v>125</v>
      </c>
      <c r="E3819" t="s">
        <v>20</v>
      </c>
      <c r="F3819" t="str">
        <f>"43537"</f>
        <v>43537</v>
      </c>
      <c r="G3819" t="str">
        <f>"Je012023"</f>
        <v>Je012023</v>
      </c>
      <c r="H3819" s="2">
        <f>10</f>
        <v>10</v>
      </c>
      <c r="I3819" t="s">
        <v>15</v>
      </c>
      <c r="J3819" t="s">
        <v>397</v>
      </c>
      <c r="K3819" t="str">
        <f>"60065963"</f>
        <v>60065963</v>
      </c>
    </row>
    <row r="3820" spans="1:11" x14ac:dyDescent="0.25">
      <c r="A3820">
        <v>2023</v>
      </c>
      <c r="B3820" t="s">
        <v>3849</v>
      </c>
      <c r="C3820" t="s">
        <v>3850</v>
      </c>
      <c r="D3820" t="s">
        <v>125</v>
      </c>
      <c r="E3820" t="s">
        <v>20</v>
      </c>
      <c r="F3820" t="str">
        <f>"43537-3458"</f>
        <v>43537-3458</v>
      </c>
      <c r="G3820" t="str">
        <f>"637573"</f>
        <v>637573</v>
      </c>
      <c r="H3820" s="2">
        <f>20</f>
        <v>20</v>
      </c>
      <c r="I3820" t="s">
        <v>27</v>
      </c>
      <c r="J3820" t="s">
        <v>61</v>
      </c>
      <c r="K3820" t="str">
        <f>"118871"</f>
        <v>118871</v>
      </c>
    </row>
    <row r="3821" spans="1:11" x14ac:dyDescent="0.25">
      <c r="A3821">
        <v>2023</v>
      </c>
      <c r="B3821" t="s">
        <v>3880</v>
      </c>
      <c r="C3821" t="s">
        <v>3881</v>
      </c>
      <c r="D3821" t="s">
        <v>19</v>
      </c>
      <c r="E3821" t="s">
        <v>20</v>
      </c>
      <c r="F3821" t="str">
        <f>"43614-5317"</f>
        <v>43614-5317</v>
      </c>
      <c r="G3821" t="str">
        <f>"637573"</f>
        <v>637573</v>
      </c>
      <c r="H3821" s="2">
        <f>40</f>
        <v>40</v>
      </c>
      <c r="I3821" t="s">
        <v>27</v>
      </c>
      <c r="J3821" t="s">
        <v>61</v>
      </c>
      <c r="K3821" t="str">
        <f>"119084"</f>
        <v>119084</v>
      </c>
    </row>
    <row r="3822" spans="1:11" x14ac:dyDescent="0.25">
      <c r="A3822">
        <v>2023</v>
      </c>
      <c r="B3822" t="s">
        <v>3884</v>
      </c>
      <c r="C3822" t="s">
        <v>3885</v>
      </c>
      <c r="D3822" t="s">
        <v>19</v>
      </c>
      <c r="E3822" t="s">
        <v>20</v>
      </c>
      <c r="F3822" t="str">
        <f>"43613"</f>
        <v>43613</v>
      </c>
      <c r="G3822" t="str">
        <f>"589332"</f>
        <v>589332</v>
      </c>
      <c r="H3822" s="2">
        <f>100</f>
        <v>100</v>
      </c>
      <c r="I3822" t="s">
        <v>519</v>
      </c>
      <c r="J3822" t="s">
        <v>519</v>
      </c>
      <c r="K3822" t="str">
        <f>"15942"</f>
        <v>15942</v>
      </c>
    </row>
    <row r="3823" spans="1:11" x14ac:dyDescent="0.25">
      <c r="A3823">
        <v>2023</v>
      </c>
      <c r="B3823" t="s">
        <v>3894</v>
      </c>
      <c r="C3823" t="s">
        <v>3895</v>
      </c>
      <c r="D3823" t="s">
        <v>19</v>
      </c>
      <c r="E3823" t="s">
        <v>20</v>
      </c>
      <c r="F3823" t="str">
        <f>"43615"</f>
        <v>43615</v>
      </c>
      <c r="G3823" t="str">
        <f>"638581"</f>
        <v>638581</v>
      </c>
      <c r="H3823" s="2">
        <f>5.79</f>
        <v>5.79</v>
      </c>
      <c r="I3823" t="s">
        <v>27</v>
      </c>
      <c r="J3823" t="s">
        <v>61</v>
      </c>
      <c r="K3823" t="str">
        <f>"334033"</f>
        <v>334033</v>
      </c>
    </row>
    <row r="3824" spans="1:11" x14ac:dyDescent="0.25">
      <c r="A3824">
        <v>2023</v>
      </c>
      <c r="B3824" t="s">
        <v>3911</v>
      </c>
      <c r="C3824" t="s">
        <v>3912</v>
      </c>
      <c r="D3824" t="s">
        <v>1063</v>
      </c>
      <c r="E3824" t="s">
        <v>985</v>
      </c>
      <c r="F3824" t="str">
        <f>"80205"</f>
        <v>80205</v>
      </c>
      <c r="G3824" t="str">
        <f>"632514"</f>
        <v>632514</v>
      </c>
      <c r="H3824" s="2">
        <f>5</f>
        <v>5</v>
      </c>
      <c r="I3824" t="s">
        <v>27</v>
      </c>
      <c r="J3824" t="s">
        <v>195</v>
      </c>
      <c r="K3824" t="str">
        <f>"33011669"</f>
        <v>33011669</v>
      </c>
    </row>
    <row r="3825" spans="1:11" x14ac:dyDescent="0.25">
      <c r="A3825">
        <v>2023</v>
      </c>
      <c r="B3825" t="s">
        <v>3918</v>
      </c>
      <c r="C3825" t="s">
        <v>3914</v>
      </c>
      <c r="D3825" t="s">
        <v>3915</v>
      </c>
      <c r="E3825" t="s">
        <v>20</v>
      </c>
      <c r="F3825" t="str">
        <f>"44870"</f>
        <v>44870</v>
      </c>
      <c r="G3825" t="str">
        <f>"Je04112023"</f>
        <v>Je04112023</v>
      </c>
      <c r="H3825" s="2">
        <f>14.85</f>
        <v>14.85</v>
      </c>
      <c r="I3825" t="s">
        <v>15</v>
      </c>
      <c r="J3825" t="s">
        <v>412</v>
      </c>
      <c r="K3825" t="str">
        <f>"60068909"</f>
        <v>60068909</v>
      </c>
    </row>
    <row r="3826" spans="1:11" x14ac:dyDescent="0.25">
      <c r="A3826">
        <v>2023</v>
      </c>
      <c r="B3826" t="s">
        <v>3918</v>
      </c>
      <c r="C3826" t="s">
        <v>3914</v>
      </c>
      <c r="D3826" t="s">
        <v>3915</v>
      </c>
      <c r="E3826" t="s">
        <v>20</v>
      </c>
      <c r="F3826" t="str">
        <f>"44870"</f>
        <v>44870</v>
      </c>
      <c r="G3826" t="str">
        <f>"Je04112023"</f>
        <v>Je04112023</v>
      </c>
      <c r="H3826" s="2">
        <f>14.85</f>
        <v>14.85</v>
      </c>
      <c r="I3826" t="s">
        <v>15</v>
      </c>
      <c r="J3826" t="s">
        <v>412</v>
      </c>
      <c r="K3826" t="str">
        <f>"60071672"</f>
        <v>60071672</v>
      </c>
    </row>
    <row r="3827" spans="1:11" x14ac:dyDescent="0.25">
      <c r="A3827">
        <v>2023</v>
      </c>
      <c r="B3827" t="s">
        <v>3918</v>
      </c>
      <c r="C3827" t="s">
        <v>3914</v>
      </c>
      <c r="D3827" t="s">
        <v>3915</v>
      </c>
      <c r="E3827" t="s">
        <v>20</v>
      </c>
      <c r="F3827" t="str">
        <f>"44870"</f>
        <v>44870</v>
      </c>
      <c r="G3827" t="str">
        <f>"Je04112023"</f>
        <v>Je04112023</v>
      </c>
      <c r="H3827" s="2">
        <f>14.85</f>
        <v>14.85</v>
      </c>
      <c r="I3827" t="s">
        <v>15</v>
      </c>
      <c r="J3827" t="s">
        <v>412</v>
      </c>
      <c r="K3827" t="str">
        <f>"60073821"</f>
        <v>60073821</v>
      </c>
    </row>
    <row r="3828" spans="1:11" x14ac:dyDescent="0.25">
      <c r="A3828">
        <v>2023</v>
      </c>
      <c r="B3828" t="s">
        <v>3937</v>
      </c>
      <c r="C3828" t="s">
        <v>3938</v>
      </c>
      <c r="D3828" t="s">
        <v>19</v>
      </c>
      <c r="E3828" t="s">
        <v>20</v>
      </c>
      <c r="F3828" t="str">
        <f>"43604"</f>
        <v>43604</v>
      </c>
      <c r="G3828" t="str">
        <f>"638581"</f>
        <v>638581</v>
      </c>
      <c r="H3828" s="2">
        <f>9.75</f>
        <v>9.75</v>
      </c>
      <c r="I3828" t="s">
        <v>27</v>
      </c>
      <c r="J3828" t="s">
        <v>61</v>
      </c>
      <c r="K3828" t="str">
        <f>"334147"</f>
        <v>334147</v>
      </c>
    </row>
    <row r="3829" spans="1:11" x14ac:dyDescent="0.25">
      <c r="A3829">
        <v>2023</v>
      </c>
      <c r="B3829" t="s">
        <v>3937</v>
      </c>
      <c r="C3829" t="s">
        <v>3938</v>
      </c>
      <c r="D3829" t="s">
        <v>19</v>
      </c>
      <c r="E3829" t="s">
        <v>20</v>
      </c>
      <c r="F3829" t="str">
        <f>"43604"</f>
        <v>43604</v>
      </c>
      <c r="G3829" t="str">
        <f>"638581"</f>
        <v>638581</v>
      </c>
      <c r="H3829" s="2">
        <f>4.3</f>
        <v>4.3</v>
      </c>
      <c r="I3829" t="s">
        <v>27</v>
      </c>
      <c r="J3829" t="s">
        <v>61</v>
      </c>
      <c r="K3829" t="str">
        <f>"334226"</f>
        <v>334226</v>
      </c>
    </row>
    <row r="3830" spans="1:11" x14ac:dyDescent="0.25">
      <c r="A3830">
        <v>2023</v>
      </c>
      <c r="B3830" t="s">
        <v>3937</v>
      </c>
      <c r="C3830" t="s">
        <v>3938</v>
      </c>
      <c r="D3830" t="s">
        <v>19</v>
      </c>
      <c r="E3830" t="s">
        <v>20</v>
      </c>
      <c r="F3830" t="str">
        <f>"43604"</f>
        <v>43604</v>
      </c>
      <c r="G3830" t="str">
        <f>"638581"</f>
        <v>638581</v>
      </c>
      <c r="H3830" s="2">
        <f>9.75</f>
        <v>9.75</v>
      </c>
      <c r="I3830" t="s">
        <v>27</v>
      </c>
      <c r="J3830" t="s">
        <v>61</v>
      </c>
      <c r="K3830" t="str">
        <f>"333888"</f>
        <v>333888</v>
      </c>
    </row>
    <row r="3831" spans="1:11" x14ac:dyDescent="0.25">
      <c r="A3831">
        <v>2023</v>
      </c>
      <c r="B3831" t="s">
        <v>3951</v>
      </c>
      <c r="C3831" t="s">
        <v>3952</v>
      </c>
      <c r="D3831" t="s">
        <v>19</v>
      </c>
      <c r="E3831" t="s">
        <v>20</v>
      </c>
      <c r="F3831" t="str">
        <f>"43615"</f>
        <v>43615</v>
      </c>
      <c r="G3831" t="str">
        <f>"Je12142023"</f>
        <v>Je12142023</v>
      </c>
      <c r="H3831" s="2">
        <f>203.1</f>
        <v>203.1</v>
      </c>
      <c r="I3831" t="s">
        <v>15</v>
      </c>
      <c r="J3831" t="s">
        <v>176</v>
      </c>
      <c r="K3831" t="str">
        <f>"60096893"</f>
        <v>60096893</v>
      </c>
    </row>
    <row r="3832" spans="1:11" x14ac:dyDescent="0.25">
      <c r="A3832">
        <v>2023</v>
      </c>
      <c r="B3832" t="s">
        <v>3953</v>
      </c>
      <c r="C3832" t="s">
        <v>3954</v>
      </c>
      <c r="D3832" t="s">
        <v>19</v>
      </c>
      <c r="E3832" t="s">
        <v>20</v>
      </c>
      <c r="F3832" t="str">
        <f>"43623-3250"</f>
        <v>43623-3250</v>
      </c>
      <c r="G3832" t="str">
        <f>"637573"</f>
        <v>637573</v>
      </c>
      <c r="H3832" s="2">
        <f>10</f>
        <v>10</v>
      </c>
      <c r="I3832" t="s">
        <v>27</v>
      </c>
      <c r="J3832" t="s">
        <v>61</v>
      </c>
      <c r="K3832" t="str">
        <f>"120135"</f>
        <v>120135</v>
      </c>
    </row>
    <row r="3833" spans="1:11" x14ac:dyDescent="0.25">
      <c r="A3833">
        <v>2023</v>
      </c>
      <c r="B3833" t="s">
        <v>3964</v>
      </c>
      <c r="C3833" t="s">
        <v>3965</v>
      </c>
      <c r="D3833" t="s">
        <v>19</v>
      </c>
      <c r="E3833" t="s">
        <v>20</v>
      </c>
      <c r="F3833" t="str">
        <f>"43609"</f>
        <v>43609</v>
      </c>
      <c r="G3833" t="str">
        <f>"632514"</f>
        <v>632514</v>
      </c>
      <c r="H3833" s="2">
        <f>5</f>
        <v>5</v>
      </c>
      <c r="I3833" t="s">
        <v>27</v>
      </c>
      <c r="J3833" t="s">
        <v>195</v>
      </c>
      <c r="K3833" t="str">
        <f>"22024987"</f>
        <v>22024987</v>
      </c>
    </row>
    <row r="3834" spans="1:11" x14ac:dyDescent="0.25">
      <c r="A3834">
        <v>2023</v>
      </c>
      <c r="B3834" t="s">
        <v>3967</v>
      </c>
      <c r="C3834" t="s">
        <v>3968</v>
      </c>
      <c r="D3834" t="s">
        <v>3969</v>
      </c>
      <c r="E3834" t="s">
        <v>600</v>
      </c>
      <c r="F3834" t="str">
        <f>"41042"</f>
        <v>41042</v>
      </c>
      <c r="G3834" t="str">
        <f>"632483"</f>
        <v>632483</v>
      </c>
      <c r="H3834" s="2">
        <f>550</f>
        <v>550</v>
      </c>
      <c r="I3834" t="s">
        <v>27</v>
      </c>
      <c r="J3834" t="s">
        <v>108</v>
      </c>
      <c r="K3834" t="str">
        <f>"40552"</f>
        <v>40552</v>
      </c>
    </row>
    <row r="3835" spans="1:11" x14ac:dyDescent="0.25">
      <c r="A3835">
        <v>2023</v>
      </c>
      <c r="B3835" t="s">
        <v>3994</v>
      </c>
      <c r="C3835" t="s">
        <v>3995</v>
      </c>
      <c r="D3835" t="s">
        <v>19</v>
      </c>
      <c r="E3835" t="s">
        <v>20</v>
      </c>
      <c r="F3835" t="str">
        <f>"43613-4316"</f>
        <v>43613-4316</v>
      </c>
      <c r="G3835" t="str">
        <f>"637573"</f>
        <v>637573</v>
      </c>
      <c r="H3835" s="2">
        <f>20</f>
        <v>20</v>
      </c>
      <c r="I3835" t="s">
        <v>27</v>
      </c>
      <c r="J3835" t="s">
        <v>61</v>
      </c>
      <c r="K3835" t="str">
        <f>"120473"</f>
        <v>120473</v>
      </c>
    </row>
    <row r="3836" spans="1:11" x14ac:dyDescent="0.25">
      <c r="A3836">
        <v>2023</v>
      </c>
      <c r="B3836" t="s">
        <v>4011</v>
      </c>
      <c r="C3836" t="s">
        <v>4012</v>
      </c>
      <c r="D3836" t="s">
        <v>19</v>
      </c>
      <c r="E3836" t="s">
        <v>20</v>
      </c>
      <c r="F3836" t="str">
        <f>"43614-5352"</f>
        <v>43614-5352</v>
      </c>
      <c r="G3836" t="str">
        <f>"637573"</f>
        <v>637573</v>
      </c>
      <c r="H3836" s="2">
        <f>30</f>
        <v>30</v>
      </c>
      <c r="I3836" t="s">
        <v>27</v>
      </c>
      <c r="J3836" t="s">
        <v>61</v>
      </c>
      <c r="K3836" t="str">
        <f>"119610"</f>
        <v>119610</v>
      </c>
    </row>
    <row r="3837" spans="1:11" x14ac:dyDescent="0.25">
      <c r="A3837">
        <v>2023</v>
      </c>
      <c r="B3837" t="s">
        <v>4011</v>
      </c>
      <c r="C3837" t="s">
        <v>4012</v>
      </c>
      <c r="D3837" t="s">
        <v>19</v>
      </c>
      <c r="E3837" t="s">
        <v>20</v>
      </c>
      <c r="F3837" t="str">
        <f>"43614-5352"</f>
        <v>43614-5352</v>
      </c>
      <c r="G3837" t="str">
        <f>"637573"</f>
        <v>637573</v>
      </c>
      <c r="H3837" s="2">
        <f>30</f>
        <v>30</v>
      </c>
      <c r="I3837" t="s">
        <v>27</v>
      </c>
      <c r="J3837" t="s">
        <v>61</v>
      </c>
      <c r="K3837" t="str">
        <f>"119577"</f>
        <v>119577</v>
      </c>
    </row>
    <row r="3838" spans="1:11" x14ac:dyDescent="0.25">
      <c r="A3838">
        <v>2023</v>
      </c>
      <c r="B3838" t="s">
        <v>4021</v>
      </c>
      <c r="C3838" t="s">
        <v>4022</v>
      </c>
      <c r="D3838" t="s">
        <v>19</v>
      </c>
      <c r="E3838" t="s">
        <v>20</v>
      </c>
      <c r="F3838" t="str">
        <f>"43623-4307"</f>
        <v>43623-4307</v>
      </c>
      <c r="G3838" t="str">
        <f>"Je04112023"</f>
        <v>Je04112023</v>
      </c>
      <c r="H3838" s="2">
        <f>650</f>
        <v>650</v>
      </c>
      <c r="I3838" t="s">
        <v>15</v>
      </c>
      <c r="J3838" t="s">
        <v>412</v>
      </c>
      <c r="K3838" t="str">
        <f>"60070175"</f>
        <v>60070175</v>
      </c>
    </row>
    <row r="3839" spans="1:11" x14ac:dyDescent="0.25">
      <c r="A3839">
        <v>2023</v>
      </c>
      <c r="B3839" t="s">
        <v>4047</v>
      </c>
      <c r="C3839" t="s">
        <v>4048</v>
      </c>
      <c r="D3839" t="s">
        <v>622</v>
      </c>
      <c r="E3839" t="s">
        <v>623</v>
      </c>
      <c r="F3839" t="str">
        <f>"20535"</f>
        <v>20535</v>
      </c>
      <c r="G3839" t="str">
        <f>"632482"</f>
        <v>632482</v>
      </c>
      <c r="H3839" s="2">
        <f>1.18</f>
        <v>1.18</v>
      </c>
      <c r="I3839" t="s">
        <v>27</v>
      </c>
      <c r="J3839" t="s">
        <v>157</v>
      </c>
      <c r="K3839" t="str">
        <f>"520698"</f>
        <v>520698</v>
      </c>
    </row>
    <row r="3840" spans="1:11" x14ac:dyDescent="0.25">
      <c r="A3840">
        <v>2023</v>
      </c>
      <c r="B3840" t="s">
        <v>4047</v>
      </c>
      <c r="C3840" t="s">
        <v>4048</v>
      </c>
      <c r="D3840" t="s">
        <v>622</v>
      </c>
      <c r="E3840" t="s">
        <v>623</v>
      </c>
      <c r="F3840" t="str">
        <f>"20535"</f>
        <v>20535</v>
      </c>
      <c r="G3840" t="str">
        <f>"632482"</f>
        <v>632482</v>
      </c>
      <c r="H3840" s="2">
        <f>1.19</f>
        <v>1.19</v>
      </c>
      <c r="I3840" t="s">
        <v>27</v>
      </c>
      <c r="J3840" t="s">
        <v>157</v>
      </c>
      <c r="K3840" t="str">
        <f>"521759"</f>
        <v>521759</v>
      </c>
    </row>
    <row r="3841" spans="1:11" x14ac:dyDescent="0.25">
      <c r="A3841">
        <v>2023</v>
      </c>
      <c r="B3841" t="s">
        <v>4058</v>
      </c>
      <c r="C3841" t="s">
        <v>4059</v>
      </c>
      <c r="D3841" t="s">
        <v>19</v>
      </c>
      <c r="E3841" t="s">
        <v>20</v>
      </c>
      <c r="F3841" t="str">
        <f>"43611-1040"</f>
        <v>43611-1040</v>
      </c>
      <c r="G3841" t="str">
        <f>"637573"</f>
        <v>637573</v>
      </c>
      <c r="H3841" s="2">
        <f>50</f>
        <v>50</v>
      </c>
      <c r="I3841" t="s">
        <v>27</v>
      </c>
      <c r="J3841" t="s">
        <v>61</v>
      </c>
      <c r="K3841" t="str">
        <f>"120255"</f>
        <v>120255</v>
      </c>
    </row>
    <row r="3842" spans="1:11" x14ac:dyDescent="0.25">
      <c r="A3842">
        <v>2023</v>
      </c>
      <c r="B3842" t="s">
        <v>4066</v>
      </c>
      <c r="C3842" t="s">
        <v>4067</v>
      </c>
      <c r="D3842" t="s">
        <v>19</v>
      </c>
      <c r="E3842" t="s">
        <v>20</v>
      </c>
      <c r="F3842" t="str">
        <f>"43613-4511"</f>
        <v>43613-4511</v>
      </c>
      <c r="G3842" t="str">
        <f>"637573"</f>
        <v>637573</v>
      </c>
      <c r="H3842" s="2">
        <f>20</f>
        <v>20</v>
      </c>
      <c r="I3842" t="s">
        <v>27</v>
      </c>
      <c r="J3842" t="s">
        <v>61</v>
      </c>
      <c r="K3842" t="str">
        <f>"120543"</f>
        <v>120543</v>
      </c>
    </row>
    <row r="3843" spans="1:11" x14ac:dyDescent="0.25">
      <c r="A3843">
        <v>2023</v>
      </c>
      <c r="B3843" t="s">
        <v>4077</v>
      </c>
      <c r="C3843" t="s">
        <v>4078</v>
      </c>
      <c r="D3843" t="s">
        <v>1163</v>
      </c>
      <c r="E3843" t="s">
        <v>20</v>
      </c>
      <c r="F3843" t="str">
        <f>"45227"</f>
        <v>45227</v>
      </c>
      <c r="G3843" t="str">
        <f>"Je12142023"</f>
        <v>Je12142023</v>
      </c>
      <c r="H3843" s="2">
        <f>7349.17</f>
        <v>7349.17</v>
      </c>
      <c r="I3843" t="s">
        <v>15</v>
      </c>
      <c r="J3843" t="s">
        <v>176</v>
      </c>
      <c r="K3843" t="str">
        <f>"60094220"</f>
        <v>60094220</v>
      </c>
    </row>
    <row r="3844" spans="1:11" x14ac:dyDescent="0.25">
      <c r="A3844">
        <v>2023</v>
      </c>
      <c r="B3844" t="s">
        <v>4077</v>
      </c>
      <c r="C3844" t="s">
        <v>4079</v>
      </c>
      <c r="D3844" t="s">
        <v>19</v>
      </c>
      <c r="E3844" t="s">
        <v>20</v>
      </c>
      <c r="F3844" t="str">
        <f>"43604"</f>
        <v>43604</v>
      </c>
      <c r="G3844" t="str">
        <f>"632482"</f>
        <v>632482</v>
      </c>
      <c r="H3844" s="2">
        <f>22.5</f>
        <v>22.5</v>
      </c>
      <c r="I3844" t="s">
        <v>27</v>
      </c>
      <c r="J3844" t="s">
        <v>157</v>
      </c>
      <c r="K3844" t="str">
        <f>"523162"</f>
        <v>523162</v>
      </c>
    </row>
    <row r="3845" spans="1:11" x14ac:dyDescent="0.25">
      <c r="A3845">
        <v>2023</v>
      </c>
      <c r="B3845" t="s">
        <v>4093</v>
      </c>
      <c r="C3845" t="s">
        <v>4094</v>
      </c>
      <c r="D3845" t="s">
        <v>19</v>
      </c>
      <c r="E3845" t="s">
        <v>20</v>
      </c>
      <c r="F3845" t="str">
        <f>"43604"</f>
        <v>43604</v>
      </c>
      <c r="G3845" t="str">
        <f>"632482"</f>
        <v>632482</v>
      </c>
      <c r="H3845" s="2">
        <f>50</f>
        <v>50</v>
      </c>
      <c r="I3845" t="s">
        <v>27</v>
      </c>
      <c r="J3845" t="s">
        <v>157</v>
      </c>
      <c r="K3845" t="str">
        <f>"521820"</f>
        <v>521820</v>
      </c>
    </row>
    <row r="3846" spans="1:11" x14ac:dyDescent="0.25">
      <c r="A3846">
        <v>2023</v>
      </c>
      <c r="B3846" t="s">
        <v>4095</v>
      </c>
      <c r="C3846" t="s">
        <v>4096</v>
      </c>
      <c r="D3846" t="s">
        <v>19</v>
      </c>
      <c r="E3846" t="s">
        <v>20</v>
      </c>
      <c r="F3846" t="str">
        <f>"43623"</f>
        <v>43623</v>
      </c>
      <c r="G3846" t="str">
        <f>"Je10162023"</f>
        <v>Je10162023</v>
      </c>
      <c r="H3846" s="2">
        <f>30</f>
        <v>30</v>
      </c>
      <c r="I3846" t="s">
        <v>15</v>
      </c>
      <c r="J3846" t="s">
        <v>93</v>
      </c>
      <c r="K3846" t="str">
        <f>"60090890"</f>
        <v>60090890</v>
      </c>
    </row>
    <row r="3847" spans="1:11" x14ac:dyDescent="0.25">
      <c r="A3847">
        <v>2023</v>
      </c>
      <c r="B3847" t="s">
        <v>4097</v>
      </c>
      <c r="C3847" t="s">
        <v>4098</v>
      </c>
      <c r="D3847" t="s">
        <v>19</v>
      </c>
      <c r="E3847" t="s">
        <v>20</v>
      </c>
      <c r="F3847" t="str">
        <f>"43606"</f>
        <v>43606</v>
      </c>
      <c r="G3847" t="str">
        <f>"632482"</f>
        <v>632482</v>
      </c>
      <c r="H3847" s="2">
        <f>40</f>
        <v>40</v>
      </c>
      <c r="I3847" t="s">
        <v>27</v>
      </c>
      <c r="J3847" t="s">
        <v>157</v>
      </c>
      <c r="K3847" t="str">
        <f>"523197"</f>
        <v>523197</v>
      </c>
    </row>
    <row r="3848" spans="1:11" x14ac:dyDescent="0.25">
      <c r="A3848">
        <v>2023</v>
      </c>
      <c r="B3848" t="s">
        <v>4097</v>
      </c>
      <c r="C3848" t="s">
        <v>4098</v>
      </c>
      <c r="D3848" t="s">
        <v>19</v>
      </c>
      <c r="E3848" t="s">
        <v>20</v>
      </c>
      <c r="F3848" t="str">
        <f>"43606"</f>
        <v>43606</v>
      </c>
      <c r="G3848" t="str">
        <f>"632482"</f>
        <v>632482</v>
      </c>
      <c r="H3848" s="2">
        <f>40</f>
        <v>40</v>
      </c>
      <c r="I3848" t="s">
        <v>27</v>
      </c>
      <c r="J3848" t="s">
        <v>157</v>
      </c>
      <c r="K3848" t="str">
        <f>"523010"</f>
        <v>523010</v>
      </c>
    </row>
    <row r="3849" spans="1:11" x14ac:dyDescent="0.25">
      <c r="A3849">
        <v>2023</v>
      </c>
      <c r="B3849" t="s">
        <v>4097</v>
      </c>
      <c r="C3849" t="s">
        <v>4098</v>
      </c>
      <c r="D3849" t="s">
        <v>19</v>
      </c>
      <c r="E3849" t="s">
        <v>20</v>
      </c>
      <c r="F3849" t="str">
        <f>"43606"</f>
        <v>43606</v>
      </c>
      <c r="G3849" t="str">
        <f>"632482"</f>
        <v>632482</v>
      </c>
      <c r="H3849" s="2">
        <f>26</f>
        <v>26</v>
      </c>
      <c r="I3849" t="s">
        <v>27</v>
      </c>
      <c r="J3849" t="s">
        <v>157</v>
      </c>
      <c r="K3849" t="str">
        <f>"522864"</f>
        <v>522864</v>
      </c>
    </row>
    <row r="3850" spans="1:11" x14ac:dyDescent="0.25">
      <c r="A3850">
        <v>2023</v>
      </c>
      <c r="B3850" t="s">
        <v>4097</v>
      </c>
      <c r="C3850" t="s">
        <v>4098</v>
      </c>
      <c r="D3850" t="s">
        <v>19</v>
      </c>
      <c r="E3850" t="s">
        <v>20</v>
      </c>
      <c r="F3850" t="str">
        <f>"43606"</f>
        <v>43606</v>
      </c>
      <c r="G3850" t="str">
        <f>"632482"</f>
        <v>632482</v>
      </c>
      <c r="H3850" s="2">
        <f>40</f>
        <v>40</v>
      </c>
      <c r="I3850" t="s">
        <v>27</v>
      </c>
      <c r="J3850" t="s">
        <v>157</v>
      </c>
      <c r="K3850" t="str">
        <f>"520723"</f>
        <v>520723</v>
      </c>
    </row>
    <row r="3851" spans="1:11" x14ac:dyDescent="0.25">
      <c r="A3851">
        <v>2023</v>
      </c>
      <c r="B3851" t="s">
        <v>4097</v>
      </c>
      <c r="C3851" t="s">
        <v>4098</v>
      </c>
      <c r="D3851" t="s">
        <v>19</v>
      </c>
      <c r="E3851" t="s">
        <v>20</v>
      </c>
      <c r="F3851" t="str">
        <f>"43606"</f>
        <v>43606</v>
      </c>
      <c r="G3851" t="str">
        <f>"632482"</f>
        <v>632482</v>
      </c>
      <c r="H3851" s="2">
        <f>40</f>
        <v>40</v>
      </c>
      <c r="I3851" t="s">
        <v>27</v>
      </c>
      <c r="J3851" t="s">
        <v>157</v>
      </c>
      <c r="K3851" t="str">
        <f>"523258"</f>
        <v>523258</v>
      </c>
    </row>
    <row r="3852" spans="1:11" x14ac:dyDescent="0.25">
      <c r="A3852">
        <v>2023</v>
      </c>
      <c r="B3852" t="s">
        <v>4107</v>
      </c>
      <c r="C3852" t="s">
        <v>4108</v>
      </c>
      <c r="D3852" t="s">
        <v>19</v>
      </c>
      <c r="E3852" t="s">
        <v>20</v>
      </c>
      <c r="F3852" t="str">
        <f>"43623"</f>
        <v>43623</v>
      </c>
      <c r="G3852" t="str">
        <f>"Je12142023"</f>
        <v>Je12142023</v>
      </c>
      <c r="H3852" s="2">
        <f>40.27</f>
        <v>40.270000000000003</v>
      </c>
      <c r="I3852" t="s">
        <v>15</v>
      </c>
      <c r="J3852" t="s">
        <v>176</v>
      </c>
      <c r="K3852" t="str">
        <f>"60100431"</f>
        <v>60100431</v>
      </c>
    </row>
    <row r="3853" spans="1:11" x14ac:dyDescent="0.25">
      <c r="A3853">
        <v>2023</v>
      </c>
      <c r="B3853" t="s">
        <v>4109</v>
      </c>
      <c r="C3853" t="s">
        <v>4110</v>
      </c>
      <c r="D3853" t="s">
        <v>19</v>
      </c>
      <c r="E3853" t="s">
        <v>20</v>
      </c>
      <c r="F3853" t="str">
        <f>"43607"</f>
        <v>43607</v>
      </c>
      <c r="G3853" t="str">
        <f>"Je012023"</f>
        <v>Je012023</v>
      </c>
      <c r="H3853" s="2">
        <f>15</f>
        <v>15</v>
      </c>
      <c r="I3853" t="s">
        <v>15</v>
      </c>
      <c r="J3853" t="s">
        <v>397</v>
      </c>
      <c r="K3853" t="str">
        <f>"60060190"</f>
        <v>60060190</v>
      </c>
    </row>
    <row r="3854" spans="1:11" x14ac:dyDescent="0.25">
      <c r="A3854">
        <v>2023</v>
      </c>
      <c r="B3854" t="s">
        <v>4122</v>
      </c>
      <c r="C3854" t="s">
        <v>4123</v>
      </c>
      <c r="D3854" t="s">
        <v>50</v>
      </c>
      <c r="E3854" t="s">
        <v>20</v>
      </c>
      <c r="F3854" t="str">
        <f>"43560"</f>
        <v>43560</v>
      </c>
      <c r="G3854" t="str">
        <f>"Je12142023"</f>
        <v>Je12142023</v>
      </c>
      <c r="H3854" s="2">
        <f>200</f>
        <v>200</v>
      </c>
      <c r="I3854" t="s">
        <v>15</v>
      </c>
      <c r="J3854" t="s">
        <v>176</v>
      </c>
      <c r="K3854" t="str">
        <f>"60101205"</f>
        <v>60101205</v>
      </c>
    </row>
    <row r="3855" spans="1:11" x14ac:dyDescent="0.25">
      <c r="A3855">
        <v>2023</v>
      </c>
      <c r="B3855" t="s">
        <v>4136</v>
      </c>
      <c r="C3855" t="s">
        <v>4137</v>
      </c>
      <c r="D3855" t="s">
        <v>120</v>
      </c>
      <c r="E3855" t="s">
        <v>20</v>
      </c>
      <c r="F3855" t="str">
        <f>"43522"</f>
        <v>43522</v>
      </c>
      <c r="G3855" t="str">
        <f>"632482"</f>
        <v>632482</v>
      </c>
      <c r="H3855" s="2">
        <f>5</f>
        <v>5</v>
      </c>
      <c r="I3855" t="s">
        <v>27</v>
      </c>
      <c r="J3855" t="s">
        <v>157</v>
      </c>
      <c r="K3855" t="str">
        <f>"522160"</f>
        <v>522160</v>
      </c>
    </row>
    <row r="3856" spans="1:11" x14ac:dyDescent="0.25">
      <c r="A3856">
        <v>2023</v>
      </c>
      <c r="B3856" t="s">
        <v>4136</v>
      </c>
      <c r="C3856" t="s">
        <v>4137</v>
      </c>
      <c r="D3856" t="s">
        <v>120</v>
      </c>
      <c r="E3856" t="s">
        <v>20</v>
      </c>
      <c r="F3856" t="str">
        <f>"43522"</f>
        <v>43522</v>
      </c>
      <c r="G3856" t="str">
        <f>"632482"</f>
        <v>632482</v>
      </c>
      <c r="H3856" s="2">
        <f>10</f>
        <v>10</v>
      </c>
      <c r="I3856" t="s">
        <v>27</v>
      </c>
      <c r="J3856" t="s">
        <v>157</v>
      </c>
      <c r="K3856" t="str">
        <f>"522702"</f>
        <v>522702</v>
      </c>
    </row>
    <row r="3857" spans="1:11" x14ac:dyDescent="0.25">
      <c r="A3857">
        <v>2023</v>
      </c>
      <c r="B3857" t="s">
        <v>4136</v>
      </c>
      <c r="C3857" t="s">
        <v>4137</v>
      </c>
      <c r="D3857" t="s">
        <v>120</v>
      </c>
      <c r="E3857" t="s">
        <v>20</v>
      </c>
      <c r="F3857" t="str">
        <f>"43522"</f>
        <v>43522</v>
      </c>
      <c r="G3857" t="str">
        <f>"632482"</f>
        <v>632482</v>
      </c>
      <c r="H3857" s="2">
        <f>5</f>
        <v>5</v>
      </c>
      <c r="I3857" t="s">
        <v>27</v>
      </c>
      <c r="J3857" t="s">
        <v>157</v>
      </c>
      <c r="K3857" t="str">
        <f>"522495"</f>
        <v>522495</v>
      </c>
    </row>
    <row r="3858" spans="1:11" x14ac:dyDescent="0.25">
      <c r="A3858">
        <v>2023</v>
      </c>
      <c r="B3858" t="s">
        <v>4138</v>
      </c>
      <c r="C3858" t="s">
        <v>4139</v>
      </c>
      <c r="D3858" t="s">
        <v>120</v>
      </c>
      <c r="E3858" t="s">
        <v>20</v>
      </c>
      <c r="F3858" t="str">
        <f>"43522"</f>
        <v>43522</v>
      </c>
      <c r="G3858" t="str">
        <f>"Je12142023"</f>
        <v>Je12142023</v>
      </c>
      <c r="H3858" s="2">
        <f>241.2</f>
        <v>241.2</v>
      </c>
      <c r="I3858" t="s">
        <v>15</v>
      </c>
      <c r="J3858" t="s">
        <v>176</v>
      </c>
      <c r="K3858" t="str">
        <f>"60098238"</f>
        <v>60098238</v>
      </c>
    </row>
    <row r="3859" spans="1:11" x14ac:dyDescent="0.25">
      <c r="A3859">
        <v>2023</v>
      </c>
      <c r="B3859" t="s">
        <v>4158</v>
      </c>
      <c r="C3859" t="s">
        <v>4159</v>
      </c>
      <c r="D3859" t="s">
        <v>19</v>
      </c>
      <c r="E3859" t="s">
        <v>20</v>
      </c>
      <c r="F3859" t="str">
        <f>"43605"</f>
        <v>43605</v>
      </c>
      <c r="G3859" t="str">
        <f>"Je10162023"</f>
        <v>Je10162023</v>
      </c>
      <c r="H3859" s="2">
        <f>534.34</f>
        <v>534.34</v>
      </c>
      <c r="I3859" t="s">
        <v>15</v>
      </c>
      <c r="J3859" t="s">
        <v>93</v>
      </c>
      <c r="K3859" t="str">
        <f>"60090350"</f>
        <v>60090350</v>
      </c>
    </row>
    <row r="3860" spans="1:11" x14ac:dyDescent="0.25">
      <c r="A3860">
        <v>2023</v>
      </c>
      <c r="B3860" t="s">
        <v>4172</v>
      </c>
      <c r="C3860" t="s">
        <v>4173</v>
      </c>
      <c r="D3860" t="s">
        <v>58</v>
      </c>
      <c r="E3860" t="s">
        <v>20</v>
      </c>
      <c r="F3860" t="str">
        <f>"43616"</f>
        <v>43616</v>
      </c>
      <c r="G3860" t="str">
        <f>"Je06132023"</f>
        <v>Je06132023</v>
      </c>
      <c r="H3860" s="2">
        <f>630.21</f>
        <v>630.21</v>
      </c>
      <c r="I3860" t="s">
        <v>15</v>
      </c>
      <c r="J3860" t="s">
        <v>16</v>
      </c>
      <c r="K3860" t="str">
        <f>"60079603"</f>
        <v>60079603</v>
      </c>
    </row>
    <row r="3861" spans="1:11" x14ac:dyDescent="0.25">
      <c r="A3861">
        <v>2023</v>
      </c>
      <c r="B3861" t="s">
        <v>4180</v>
      </c>
      <c r="C3861" t="s">
        <v>4181</v>
      </c>
      <c r="D3861" t="s">
        <v>19</v>
      </c>
      <c r="E3861" t="s">
        <v>20</v>
      </c>
      <c r="F3861" t="str">
        <f>"43608-1721"</f>
        <v>43608-1721</v>
      </c>
      <c r="G3861" t="str">
        <f>"637573"</f>
        <v>637573</v>
      </c>
      <c r="H3861" s="2">
        <f>20</f>
        <v>20</v>
      </c>
      <c r="I3861" t="s">
        <v>27</v>
      </c>
      <c r="J3861" t="s">
        <v>61</v>
      </c>
      <c r="K3861" t="str">
        <f>"118888"</f>
        <v>118888</v>
      </c>
    </row>
    <row r="3862" spans="1:11" x14ac:dyDescent="0.25">
      <c r="A3862">
        <v>2023</v>
      </c>
      <c r="B3862" t="s">
        <v>4184</v>
      </c>
      <c r="C3862" t="s">
        <v>4185</v>
      </c>
      <c r="D3862" t="s">
        <v>19</v>
      </c>
      <c r="E3862" t="s">
        <v>20</v>
      </c>
      <c r="F3862" t="str">
        <f>"43607"</f>
        <v>43607</v>
      </c>
      <c r="G3862" t="str">
        <f>"632482"</f>
        <v>632482</v>
      </c>
      <c r="H3862" s="2">
        <f>100</f>
        <v>100</v>
      </c>
      <c r="I3862" t="s">
        <v>27</v>
      </c>
      <c r="J3862" t="s">
        <v>157</v>
      </c>
      <c r="K3862" t="str">
        <f>"521092"</f>
        <v>521092</v>
      </c>
    </row>
    <row r="3863" spans="1:11" x14ac:dyDescent="0.25">
      <c r="A3863">
        <v>2023</v>
      </c>
      <c r="B3863" t="s">
        <v>4190</v>
      </c>
      <c r="C3863" t="s">
        <v>4191</v>
      </c>
      <c r="D3863" t="s">
        <v>19</v>
      </c>
      <c r="E3863" t="s">
        <v>20</v>
      </c>
      <c r="F3863" t="str">
        <f>"43614-3413"</f>
        <v>43614-3413</v>
      </c>
      <c r="G3863" t="str">
        <f>"637573"</f>
        <v>637573</v>
      </c>
      <c r="H3863" s="2">
        <f>10</f>
        <v>10</v>
      </c>
      <c r="I3863" t="s">
        <v>27</v>
      </c>
      <c r="J3863" t="s">
        <v>61</v>
      </c>
      <c r="K3863" t="str">
        <f>"118854"</f>
        <v>118854</v>
      </c>
    </row>
    <row r="3864" spans="1:11" x14ac:dyDescent="0.25">
      <c r="A3864">
        <v>2023</v>
      </c>
      <c r="B3864" t="s">
        <v>4211</v>
      </c>
      <c r="C3864" t="s">
        <v>4212</v>
      </c>
      <c r="D3864" t="s">
        <v>19</v>
      </c>
      <c r="E3864" t="s">
        <v>20</v>
      </c>
      <c r="F3864" t="str">
        <f>"43605"</f>
        <v>43605</v>
      </c>
      <c r="G3864" t="str">
        <f>"632482"</f>
        <v>632482</v>
      </c>
      <c r="H3864" s="2">
        <f>60</f>
        <v>60</v>
      </c>
      <c r="I3864" t="s">
        <v>27</v>
      </c>
      <c r="J3864" t="s">
        <v>157</v>
      </c>
      <c r="K3864" t="str">
        <f>"522573"</f>
        <v>522573</v>
      </c>
    </row>
    <row r="3865" spans="1:11" x14ac:dyDescent="0.25">
      <c r="A3865">
        <v>2023</v>
      </c>
      <c r="B3865" t="s">
        <v>4211</v>
      </c>
      <c r="C3865" t="s">
        <v>4212</v>
      </c>
      <c r="D3865" t="s">
        <v>19</v>
      </c>
      <c r="E3865" t="s">
        <v>20</v>
      </c>
      <c r="F3865" t="str">
        <f>"43605"</f>
        <v>43605</v>
      </c>
      <c r="G3865" t="str">
        <f>"632482"</f>
        <v>632482</v>
      </c>
      <c r="H3865" s="2">
        <f>284.28</f>
        <v>284.27999999999997</v>
      </c>
      <c r="I3865" t="s">
        <v>27</v>
      </c>
      <c r="J3865" t="s">
        <v>157</v>
      </c>
      <c r="K3865" t="str">
        <f>"521039"</f>
        <v>521039</v>
      </c>
    </row>
    <row r="3866" spans="1:11" x14ac:dyDescent="0.25">
      <c r="A3866">
        <v>2023</v>
      </c>
      <c r="B3866" t="s">
        <v>4228</v>
      </c>
      <c r="C3866" t="s">
        <v>4229</v>
      </c>
      <c r="D3866" t="s">
        <v>19</v>
      </c>
      <c r="E3866" t="s">
        <v>20</v>
      </c>
      <c r="F3866" t="str">
        <f>"43613-5017"</f>
        <v>43613-5017</v>
      </c>
      <c r="G3866" t="str">
        <f>"637573"</f>
        <v>637573</v>
      </c>
      <c r="H3866" s="2">
        <f>10</f>
        <v>10</v>
      </c>
      <c r="I3866" t="s">
        <v>27</v>
      </c>
      <c r="J3866" t="s">
        <v>61</v>
      </c>
      <c r="K3866" t="str">
        <f>"119798"</f>
        <v>119798</v>
      </c>
    </row>
    <row r="3867" spans="1:11" x14ac:dyDescent="0.25">
      <c r="A3867">
        <v>2023</v>
      </c>
      <c r="B3867" t="s">
        <v>4246</v>
      </c>
      <c r="C3867" t="s">
        <v>4247</v>
      </c>
      <c r="D3867" t="s">
        <v>19</v>
      </c>
      <c r="E3867" t="s">
        <v>20</v>
      </c>
      <c r="F3867" t="str">
        <f>"43607"</f>
        <v>43607</v>
      </c>
      <c r="G3867" t="str">
        <f>"Je06132023"</f>
        <v>Je06132023</v>
      </c>
      <c r="H3867" s="2">
        <f>85</f>
        <v>85</v>
      </c>
      <c r="I3867" t="s">
        <v>15</v>
      </c>
      <c r="J3867" t="s">
        <v>16</v>
      </c>
      <c r="K3867" t="str">
        <f>"60081407"</f>
        <v>60081407</v>
      </c>
    </row>
    <row r="3868" spans="1:11" x14ac:dyDescent="0.25">
      <c r="A3868">
        <v>2023</v>
      </c>
      <c r="B3868" t="s">
        <v>4246</v>
      </c>
      <c r="C3868" t="s">
        <v>4247</v>
      </c>
      <c r="D3868" t="s">
        <v>19</v>
      </c>
      <c r="E3868" t="s">
        <v>20</v>
      </c>
      <c r="F3868" t="str">
        <f>"43607"</f>
        <v>43607</v>
      </c>
      <c r="G3868" t="str">
        <f>"Je06132023"</f>
        <v>Je06132023</v>
      </c>
      <c r="H3868" s="2">
        <f>125</f>
        <v>125</v>
      </c>
      <c r="I3868" t="s">
        <v>15</v>
      </c>
      <c r="J3868" t="s">
        <v>16</v>
      </c>
      <c r="K3868" t="str">
        <f>"60080305"</f>
        <v>60080305</v>
      </c>
    </row>
    <row r="3869" spans="1:11" x14ac:dyDescent="0.25">
      <c r="A3869">
        <v>2023</v>
      </c>
      <c r="B3869" t="s">
        <v>4255</v>
      </c>
      <c r="C3869" t="s">
        <v>3412</v>
      </c>
      <c r="D3869" t="s">
        <v>125</v>
      </c>
      <c r="E3869" t="s">
        <v>20</v>
      </c>
      <c r="F3869" t="str">
        <f>"43537"</f>
        <v>43537</v>
      </c>
      <c r="G3869" t="str">
        <f>"632483"</f>
        <v>632483</v>
      </c>
      <c r="H3869" s="2">
        <f>9.24</f>
        <v>9.24</v>
      </c>
      <c r="I3869" t="s">
        <v>27</v>
      </c>
      <c r="J3869" t="s">
        <v>108</v>
      </c>
      <c r="K3869" t="str">
        <f>"40084"</f>
        <v>40084</v>
      </c>
    </row>
    <row r="3870" spans="1:11" x14ac:dyDescent="0.25">
      <c r="A3870">
        <v>2023</v>
      </c>
      <c r="B3870" t="s">
        <v>4255</v>
      </c>
      <c r="C3870" t="s">
        <v>245</v>
      </c>
      <c r="D3870" t="s">
        <v>19</v>
      </c>
      <c r="E3870" t="s">
        <v>20</v>
      </c>
      <c r="F3870" t="str">
        <f>"43617"</f>
        <v>43617</v>
      </c>
      <c r="G3870" t="str">
        <f>"632483"</f>
        <v>632483</v>
      </c>
      <c r="H3870" s="2">
        <f>20</f>
        <v>20</v>
      </c>
      <c r="I3870" t="s">
        <v>27</v>
      </c>
      <c r="J3870" t="s">
        <v>108</v>
      </c>
      <c r="K3870" t="str">
        <f>"39343"</f>
        <v>39343</v>
      </c>
    </row>
    <row r="3871" spans="1:11" x14ac:dyDescent="0.25">
      <c r="A3871">
        <v>2023</v>
      </c>
      <c r="B3871" t="s">
        <v>4255</v>
      </c>
      <c r="C3871" t="s">
        <v>245</v>
      </c>
      <c r="D3871" t="s">
        <v>19</v>
      </c>
      <c r="E3871" t="s">
        <v>20</v>
      </c>
      <c r="F3871" t="str">
        <f>"43617"</f>
        <v>43617</v>
      </c>
      <c r="G3871" t="str">
        <f>"632483"</f>
        <v>632483</v>
      </c>
      <c r="H3871" s="2">
        <f>20</f>
        <v>20</v>
      </c>
      <c r="I3871" t="s">
        <v>27</v>
      </c>
      <c r="J3871" t="s">
        <v>108</v>
      </c>
      <c r="K3871" t="str">
        <f>"39502"</f>
        <v>39502</v>
      </c>
    </row>
    <row r="3872" spans="1:11" x14ac:dyDescent="0.25">
      <c r="A3872">
        <v>2023</v>
      </c>
      <c r="B3872" t="s">
        <v>4272</v>
      </c>
      <c r="C3872" t="s">
        <v>4273</v>
      </c>
      <c r="D3872" t="s">
        <v>19</v>
      </c>
      <c r="E3872" t="s">
        <v>20</v>
      </c>
      <c r="F3872" t="str">
        <f>"43620"</f>
        <v>43620</v>
      </c>
      <c r="G3872" t="str">
        <f>"Je10162023"</f>
        <v>Je10162023</v>
      </c>
      <c r="H3872" s="2">
        <f>125</f>
        <v>125</v>
      </c>
      <c r="I3872" t="s">
        <v>15</v>
      </c>
      <c r="J3872" t="s">
        <v>93</v>
      </c>
      <c r="K3872" t="str">
        <f>"60089477"</f>
        <v>60089477</v>
      </c>
    </row>
    <row r="3873" spans="1:11" x14ac:dyDescent="0.25">
      <c r="A3873">
        <v>2023</v>
      </c>
      <c r="B3873" t="s">
        <v>4293</v>
      </c>
      <c r="C3873" t="s">
        <v>4294</v>
      </c>
      <c r="D3873" t="s">
        <v>64</v>
      </c>
      <c r="E3873" t="s">
        <v>20</v>
      </c>
      <c r="F3873" t="str">
        <f>"43566-9817"</f>
        <v>43566-9817</v>
      </c>
      <c r="G3873" t="str">
        <f>"637573"</f>
        <v>637573</v>
      </c>
      <c r="H3873" s="2">
        <f>10</f>
        <v>10</v>
      </c>
      <c r="I3873" t="s">
        <v>27</v>
      </c>
      <c r="J3873" t="s">
        <v>61</v>
      </c>
      <c r="K3873" t="str">
        <f>"120509"</f>
        <v>120509</v>
      </c>
    </row>
    <row r="3874" spans="1:11" x14ac:dyDescent="0.25">
      <c r="A3874">
        <v>2023</v>
      </c>
      <c r="B3874" t="s">
        <v>4306</v>
      </c>
      <c r="C3874" t="s">
        <v>4307</v>
      </c>
      <c r="D3874" t="s">
        <v>125</v>
      </c>
      <c r="E3874" t="s">
        <v>20</v>
      </c>
      <c r="F3874" t="str">
        <f>"43537"</f>
        <v>43537</v>
      </c>
      <c r="G3874" t="str">
        <f>"632483"</f>
        <v>632483</v>
      </c>
      <c r="H3874" s="2">
        <f>14.75</f>
        <v>14.75</v>
      </c>
      <c r="I3874" t="s">
        <v>27</v>
      </c>
      <c r="J3874" t="s">
        <v>108</v>
      </c>
      <c r="K3874" t="str">
        <f>"40308"</f>
        <v>40308</v>
      </c>
    </row>
    <row r="3875" spans="1:11" x14ac:dyDescent="0.25">
      <c r="A3875">
        <v>2023</v>
      </c>
      <c r="B3875" t="s">
        <v>4308</v>
      </c>
      <c r="C3875" t="s">
        <v>4309</v>
      </c>
      <c r="D3875" t="s">
        <v>19</v>
      </c>
      <c r="E3875" t="s">
        <v>20</v>
      </c>
      <c r="F3875" t="str">
        <f>"43617"</f>
        <v>43617</v>
      </c>
      <c r="G3875" t="str">
        <f>"632483"</f>
        <v>632483</v>
      </c>
      <c r="H3875" s="2">
        <f>20</f>
        <v>20</v>
      </c>
      <c r="I3875" t="s">
        <v>27</v>
      </c>
      <c r="J3875" t="s">
        <v>108</v>
      </c>
      <c r="K3875" t="str">
        <f>"39689"</f>
        <v>39689</v>
      </c>
    </row>
    <row r="3876" spans="1:11" x14ac:dyDescent="0.25">
      <c r="A3876">
        <v>2023</v>
      </c>
      <c r="B3876" t="s">
        <v>4308</v>
      </c>
      <c r="C3876" t="s">
        <v>4310</v>
      </c>
      <c r="D3876" t="s">
        <v>19</v>
      </c>
      <c r="E3876" t="s">
        <v>20</v>
      </c>
      <c r="F3876" t="str">
        <f>"43617"</f>
        <v>43617</v>
      </c>
      <c r="G3876" t="str">
        <f>"632483"</f>
        <v>632483</v>
      </c>
      <c r="H3876" s="2">
        <f>6.15</f>
        <v>6.15</v>
      </c>
      <c r="I3876" t="s">
        <v>27</v>
      </c>
      <c r="J3876" t="s">
        <v>108</v>
      </c>
      <c r="K3876" t="str">
        <f>"38662"</f>
        <v>38662</v>
      </c>
    </row>
    <row r="3877" spans="1:11" x14ac:dyDescent="0.25">
      <c r="A3877">
        <v>2023</v>
      </c>
      <c r="B3877" t="s">
        <v>4315</v>
      </c>
      <c r="C3877" t="s">
        <v>4316</v>
      </c>
      <c r="D3877" t="s">
        <v>19</v>
      </c>
      <c r="E3877" t="s">
        <v>20</v>
      </c>
      <c r="F3877" t="str">
        <f>"43612-3160"</f>
        <v>43612-3160</v>
      </c>
      <c r="G3877" t="str">
        <f>"637573"</f>
        <v>637573</v>
      </c>
      <c r="H3877" s="2">
        <f>10</f>
        <v>10</v>
      </c>
      <c r="I3877" t="s">
        <v>27</v>
      </c>
      <c r="J3877" t="s">
        <v>61</v>
      </c>
      <c r="K3877" t="str">
        <f>"120138"</f>
        <v>120138</v>
      </c>
    </row>
    <row r="3878" spans="1:11" x14ac:dyDescent="0.25">
      <c r="A3878">
        <v>2023</v>
      </c>
      <c r="B3878" t="s">
        <v>4319</v>
      </c>
      <c r="C3878" t="s">
        <v>4320</v>
      </c>
      <c r="D3878" t="s">
        <v>58</v>
      </c>
      <c r="E3878" t="s">
        <v>20</v>
      </c>
      <c r="F3878" t="str">
        <f>"43616"</f>
        <v>43616</v>
      </c>
      <c r="G3878" t="str">
        <f>"Je12142023"</f>
        <v>Je12142023</v>
      </c>
      <c r="H3878" s="2">
        <f>35</f>
        <v>35</v>
      </c>
      <c r="I3878" t="s">
        <v>15</v>
      </c>
      <c r="J3878" t="s">
        <v>176</v>
      </c>
      <c r="K3878" t="str">
        <f>"60102348"</f>
        <v>60102348</v>
      </c>
    </row>
    <row r="3879" spans="1:11" x14ac:dyDescent="0.25">
      <c r="A3879">
        <v>2023</v>
      </c>
      <c r="B3879" t="s">
        <v>4336</v>
      </c>
      <c r="C3879" t="s">
        <v>4337</v>
      </c>
      <c r="D3879" t="s">
        <v>4338</v>
      </c>
      <c r="E3879" t="s">
        <v>14</v>
      </c>
      <c r="F3879" t="str">
        <f>"48933"</f>
        <v>48933</v>
      </c>
      <c r="G3879" t="str">
        <f>"632482"</f>
        <v>632482</v>
      </c>
      <c r="H3879" s="2">
        <f>17.19</f>
        <v>17.190000000000001</v>
      </c>
      <c r="I3879" t="s">
        <v>27</v>
      </c>
      <c r="J3879" t="s">
        <v>157</v>
      </c>
      <c r="K3879" t="str">
        <f>"521998"</f>
        <v>521998</v>
      </c>
    </row>
    <row r="3880" spans="1:11" x14ac:dyDescent="0.25">
      <c r="A3880">
        <v>2023</v>
      </c>
      <c r="B3880" t="s">
        <v>4352</v>
      </c>
      <c r="C3880" t="s">
        <v>4353</v>
      </c>
      <c r="D3880" t="s">
        <v>19</v>
      </c>
      <c r="E3880" t="s">
        <v>20</v>
      </c>
      <c r="F3880" t="str">
        <f>"43606-4416"</f>
        <v>43606-4416</v>
      </c>
      <c r="G3880" t="str">
        <f>"637573"</f>
        <v>637573</v>
      </c>
      <c r="H3880" s="2">
        <f>80</f>
        <v>80</v>
      </c>
      <c r="I3880" t="s">
        <v>27</v>
      </c>
      <c r="J3880" t="s">
        <v>61</v>
      </c>
      <c r="K3880" t="str">
        <f>"119268"</f>
        <v>119268</v>
      </c>
    </row>
    <row r="3881" spans="1:11" x14ac:dyDescent="0.25">
      <c r="A3881">
        <v>2023</v>
      </c>
      <c r="B3881" t="s">
        <v>4386</v>
      </c>
      <c r="C3881" t="s">
        <v>4387</v>
      </c>
      <c r="D3881" t="s">
        <v>899</v>
      </c>
      <c r="E3881" t="s">
        <v>20</v>
      </c>
      <c r="F3881" t="str">
        <f>"43412"</f>
        <v>43412</v>
      </c>
      <c r="G3881" t="str">
        <f>"Je12142023"</f>
        <v>Je12142023</v>
      </c>
      <c r="H3881" s="2">
        <f>244.84</f>
        <v>244.84</v>
      </c>
      <c r="I3881" t="s">
        <v>15</v>
      </c>
      <c r="J3881" t="s">
        <v>176</v>
      </c>
      <c r="K3881" t="str">
        <f>"60098245"</f>
        <v>60098245</v>
      </c>
    </row>
    <row r="3882" spans="1:11" x14ac:dyDescent="0.25">
      <c r="A3882">
        <v>2023</v>
      </c>
      <c r="B3882" t="s">
        <v>4398</v>
      </c>
      <c r="C3882" t="s">
        <v>4399</v>
      </c>
      <c r="D3882" t="s">
        <v>536</v>
      </c>
      <c r="E3882" t="s">
        <v>14</v>
      </c>
      <c r="F3882" t="str">
        <f>"48161"</f>
        <v>48161</v>
      </c>
      <c r="G3882" t="str">
        <f>"632514"</f>
        <v>632514</v>
      </c>
      <c r="H3882" s="2">
        <f>2.8</f>
        <v>2.8</v>
      </c>
      <c r="I3882" t="s">
        <v>27</v>
      </c>
      <c r="J3882" t="s">
        <v>195</v>
      </c>
      <c r="K3882" t="str">
        <f>"33011561"</f>
        <v>33011561</v>
      </c>
    </row>
    <row r="3883" spans="1:11" x14ac:dyDescent="0.25">
      <c r="A3883">
        <v>2023</v>
      </c>
      <c r="B3883" t="s">
        <v>4406</v>
      </c>
      <c r="C3883" t="s">
        <v>4411</v>
      </c>
      <c r="D3883" t="s">
        <v>4408</v>
      </c>
      <c r="E3883" t="s">
        <v>4409</v>
      </c>
      <c r="F3883" t="str">
        <f t="shared" ref="F3883:F3888" si="128">"73008"</f>
        <v>73008</v>
      </c>
      <c r="G3883" t="str">
        <f t="shared" ref="G3883:G3888" si="129">"632482"</f>
        <v>632482</v>
      </c>
      <c r="H3883" s="2">
        <f>5</f>
        <v>5</v>
      </c>
      <c r="I3883" t="s">
        <v>27</v>
      </c>
      <c r="J3883" t="s">
        <v>157</v>
      </c>
      <c r="K3883" t="str">
        <f>"522898"</f>
        <v>522898</v>
      </c>
    </row>
    <row r="3884" spans="1:11" x14ac:dyDescent="0.25">
      <c r="A3884">
        <v>2023</v>
      </c>
      <c r="B3884" t="s">
        <v>4406</v>
      </c>
      <c r="C3884" t="s">
        <v>4411</v>
      </c>
      <c r="D3884" t="s">
        <v>4408</v>
      </c>
      <c r="E3884" t="s">
        <v>4409</v>
      </c>
      <c r="F3884" t="str">
        <f t="shared" si="128"/>
        <v>73008</v>
      </c>
      <c r="G3884" t="str">
        <f t="shared" si="129"/>
        <v>632482</v>
      </c>
      <c r="H3884" s="2">
        <f>5</f>
        <v>5</v>
      </c>
      <c r="I3884" t="s">
        <v>27</v>
      </c>
      <c r="J3884" t="s">
        <v>157</v>
      </c>
      <c r="K3884" t="str">
        <f>"522463"</f>
        <v>522463</v>
      </c>
    </row>
    <row r="3885" spans="1:11" x14ac:dyDescent="0.25">
      <c r="A3885">
        <v>2023</v>
      </c>
      <c r="B3885" t="s">
        <v>4406</v>
      </c>
      <c r="C3885" t="s">
        <v>4411</v>
      </c>
      <c r="D3885" t="s">
        <v>4408</v>
      </c>
      <c r="E3885" t="s">
        <v>4409</v>
      </c>
      <c r="F3885" t="str">
        <f t="shared" si="128"/>
        <v>73008</v>
      </c>
      <c r="G3885" t="str">
        <f t="shared" si="129"/>
        <v>632482</v>
      </c>
      <c r="H3885" s="2">
        <f>10</f>
        <v>10</v>
      </c>
      <c r="I3885" t="s">
        <v>27</v>
      </c>
      <c r="J3885" t="s">
        <v>157</v>
      </c>
      <c r="K3885" t="str">
        <f>"522245"</f>
        <v>522245</v>
      </c>
    </row>
    <row r="3886" spans="1:11" x14ac:dyDescent="0.25">
      <c r="A3886">
        <v>2023</v>
      </c>
      <c r="B3886" t="s">
        <v>4406</v>
      </c>
      <c r="C3886" t="s">
        <v>4411</v>
      </c>
      <c r="D3886" t="s">
        <v>4408</v>
      </c>
      <c r="E3886" t="s">
        <v>4409</v>
      </c>
      <c r="F3886" t="str">
        <f t="shared" si="128"/>
        <v>73008</v>
      </c>
      <c r="G3886" t="str">
        <f t="shared" si="129"/>
        <v>632482</v>
      </c>
      <c r="H3886" s="2">
        <f>5</f>
        <v>5</v>
      </c>
      <c r="I3886" t="s">
        <v>27</v>
      </c>
      <c r="J3886" t="s">
        <v>157</v>
      </c>
      <c r="K3886" t="str">
        <f>"523240"</f>
        <v>523240</v>
      </c>
    </row>
    <row r="3887" spans="1:11" x14ac:dyDescent="0.25">
      <c r="A3887">
        <v>2023</v>
      </c>
      <c r="B3887" t="s">
        <v>4406</v>
      </c>
      <c r="C3887" t="s">
        <v>4411</v>
      </c>
      <c r="D3887" t="s">
        <v>4408</v>
      </c>
      <c r="E3887" t="s">
        <v>4409</v>
      </c>
      <c r="F3887" t="str">
        <f t="shared" si="128"/>
        <v>73008</v>
      </c>
      <c r="G3887" t="str">
        <f t="shared" si="129"/>
        <v>632482</v>
      </c>
      <c r="H3887" s="2">
        <f>5</f>
        <v>5</v>
      </c>
      <c r="I3887" t="s">
        <v>27</v>
      </c>
      <c r="J3887" t="s">
        <v>157</v>
      </c>
      <c r="K3887" t="str">
        <f>"521837"</f>
        <v>521837</v>
      </c>
    </row>
    <row r="3888" spans="1:11" x14ac:dyDescent="0.25">
      <c r="A3888">
        <v>2023</v>
      </c>
      <c r="B3888" t="s">
        <v>4406</v>
      </c>
      <c r="C3888" t="s">
        <v>4411</v>
      </c>
      <c r="D3888" t="s">
        <v>4408</v>
      </c>
      <c r="E3888" t="s">
        <v>4409</v>
      </c>
      <c r="F3888" t="str">
        <f t="shared" si="128"/>
        <v>73008</v>
      </c>
      <c r="G3888" t="str">
        <f t="shared" si="129"/>
        <v>632482</v>
      </c>
      <c r="H3888" s="2">
        <f>5</f>
        <v>5</v>
      </c>
      <c r="I3888" t="s">
        <v>27</v>
      </c>
      <c r="J3888" t="s">
        <v>157</v>
      </c>
      <c r="K3888" t="str">
        <f>"521523"</f>
        <v>521523</v>
      </c>
    </row>
    <row r="3889" spans="1:11" x14ac:dyDescent="0.25">
      <c r="A3889">
        <v>2023</v>
      </c>
      <c r="B3889" t="s">
        <v>4427</v>
      </c>
      <c r="C3889" t="s">
        <v>4428</v>
      </c>
      <c r="D3889" t="s">
        <v>105</v>
      </c>
      <c r="E3889" t="s">
        <v>20</v>
      </c>
      <c r="F3889" t="str">
        <f>"43528"</f>
        <v>43528</v>
      </c>
      <c r="G3889" t="str">
        <f>"Je12142023"</f>
        <v>Je12142023</v>
      </c>
      <c r="H3889" s="2">
        <f>229.1</f>
        <v>229.1</v>
      </c>
      <c r="I3889" t="s">
        <v>15</v>
      </c>
      <c r="J3889" t="s">
        <v>176</v>
      </c>
      <c r="K3889" t="str">
        <f>"60098518"</f>
        <v>60098518</v>
      </c>
    </row>
    <row r="3890" spans="1:11" x14ac:dyDescent="0.25">
      <c r="A3890">
        <v>2023</v>
      </c>
      <c r="B3890" t="s">
        <v>4438</v>
      </c>
      <c r="C3890" t="s">
        <v>4439</v>
      </c>
      <c r="D3890" t="s">
        <v>105</v>
      </c>
      <c r="E3890" t="s">
        <v>20</v>
      </c>
      <c r="F3890" t="str">
        <f>"43528"</f>
        <v>43528</v>
      </c>
      <c r="G3890" t="str">
        <f>"Je10162023"</f>
        <v>Je10162023</v>
      </c>
      <c r="H3890" s="2">
        <f>125</f>
        <v>125</v>
      </c>
      <c r="I3890" t="s">
        <v>15</v>
      </c>
      <c r="J3890" t="s">
        <v>93</v>
      </c>
      <c r="K3890" t="str">
        <f>"60089490"</f>
        <v>60089490</v>
      </c>
    </row>
    <row r="3891" spans="1:11" x14ac:dyDescent="0.25">
      <c r="A3891">
        <v>2023</v>
      </c>
      <c r="B3891" t="s">
        <v>4438</v>
      </c>
      <c r="C3891" t="s">
        <v>4435</v>
      </c>
      <c r="D3891" t="s">
        <v>105</v>
      </c>
      <c r="E3891" t="s">
        <v>20</v>
      </c>
      <c r="F3891" t="str">
        <f>"43528"</f>
        <v>43528</v>
      </c>
      <c r="G3891" t="str">
        <f>"Je012023"</f>
        <v>Je012023</v>
      </c>
      <c r="H3891" s="2">
        <f>25</f>
        <v>25</v>
      </c>
      <c r="I3891" t="s">
        <v>15</v>
      </c>
      <c r="J3891" t="s">
        <v>397</v>
      </c>
      <c r="K3891" t="str">
        <f>"60064121"</f>
        <v>60064121</v>
      </c>
    </row>
    <row r="3892" spans="1:11" x14ac:dyDescent="0.25">
      <c r="A3892">
        <v>2023</v>
      </c>
      <c r="B3892" t="s">
        <v>4442</v>
      </c>
      <c r="C3892" t="s">
        <v>4443</v>
      </c>
      <c r="D3892" t="s">
        <v>19</v>
      </c>
      <c r="E3892" t="s">
        <v>20</v>
      </c>
      <c r="F3892" t="str">
        <f>"43623-0097"</f>
        <v>43623-0097</v>
      </c>
      <c r="G3892" t="str">
        <f>"Je04112023"</f>
        <v>Je04112023</v>
      </c>
      <c r="H3892" s="2">
        <f>1000</f>
        <v>1000</v>
      </c>
      <c r="I3892" t="s">
        <v>15</v>
      </c>
      <c r="J3892" t="s">
        <v>412</v>
      </c>
      <c r="K3892" t="str">
        <f>"60070457"</f>
        <v>60070457</v>
      </c>
    </row>
    <row r="3893" spans="1:11" x14ac:dyDescent="0.25">
      <c r="A3893">
        <v>2023</v>
      </c>
      <c r="B3893" t="s">
        <v>4467</v>
      </c>
      <c r="C3893" t="s">
        <v>4468</v>
      </c>
      <c r="D3893" t="s">
        <v>19</v>
      </c>
      <c r="E3893" t="s">
        <v>20</v>
      </c>
      <c r="F3893" t="str">
        <f>"43615-3430"</f>
        <v>43615-3430</v>
      </c>
      <c r="G3893" t="str">
        <f>"637573"</f>
        <v>637573</v>
      </c>
      <c r="H3893" s="2">
        <f>10</f>
        <v>10</v>
      </c>
      <c r="I3893" t="s">
        <v>27</v>
      </c>
      <c r="J3893" t="s">
        <v>61</v>
      </c>
      <c r="K3893" t="str">
        <f>"118874"</f>
        <v>118874</v>
      </c>
    </row>
    <row r="3894" spans="1:11" x14ac:dyDescent="0.25">
      <c r="A3894">
        <v>2023</v>
      </c>
      <c r="B3894" t="s">
        <v>4474</v>
      </c>
      <c r="C3894" t="s">
        <v>4475</v>
      </c>
      <c r="D3894" t="s">
        <v>536</v>
      </c>
      <c r="E3894" t="s">
        <v>14</v>
      </c>
      <c r="F3894" t="str">
        <f>"48161"</f>
        <v>48161</v>
      </c>
      <c r="G3894" t="str">
        <f>"632514"</f>
        <v>632514</v>
      </c>
      <c r="H3894" s="2">
        <f>14.43</f>
        <v>14.43</v>
      </c>
      <c r="I3894" t="s">
        <v>27</v>
      </c>
      <c r="J3894" t="s">
        <v>195</v>
      </c>
      <c r="K3894" t="str">
        <f>"33011409"</f>
        <v>33011409</v>
      </c>
    </row>
    <row r="3895" spans="1:11" x14ac:dyDescent="0.25">
      <c r="A3895">
        <v>2023</v>
      </c>
      <c r="B3895" t="s">
        <v>4478</v>
      </c>
      <c r="C3895" t="s">
        <v>4479</v>
      </c>
      <c r="D3895" t="s">
        <v>19</v>
      </c>
      <c r="E3895" t="s">
        <v>20</v>
      </c>
      <c r="F3895" t="str">
        <f>"43609"</f>
        <v>43609</v>
      </c>
      <c r="G3895" t="str">
        <f>"Je12142023"</f>
        <v>Je12142023</v>
      </c>
      <c r="H3895" s="2">
        <f>86.1</f>
        <v>86.1</v>
      </c>
      <c r="I3895" t="s">
        <v>15</v>
      </c>
      <c r="J3895" t="s">
        <v>176</v>
      </c>
      <c r="K3895" t="str">
        <f>"60100060"</f>
        <v>60100060</v>
      </c>
    </row>
    <row r="3896" spans="1:11" x14ac:dyDescent="0.25">
      <c r="A3896">
        <v>2023</v>
      </c>
      <c r="B3896" t="s">
        <v>4482</v>
      </c>
      <c r="C3896" t="s">
        <v>4483</v>
      </c>
      <c r="D3896" t="s">
        <v>19</v>
      </c>
      <c r="E3896" t="s">
        <v>20</v>
      </c>
      <c r="F3896" t="str">
        <f>"43605"</f>
        <v>43605</v>
      </c>
      <c r="G3896" t="str">
        <f>"Je10162023"</f>
        <v>Je10162023</v>
      </c>
      <c r="H3896" s="2">
        <f>92</f>
        <v>92</v>
      </c>
      <c r="I3896" t="s">
        <v>15</v>
      </c>
      <c r="J3896" t="s">
        <v>93</v>
      </c>
      <c r="K3896" t="str">
        <f>"60089139"</f>
        <v>60089139</v>
      </c>
    </row>
    <row r="3897" spans="1:11" x14ac:dyDescent="0.25">
      <c r="A3897">
        <v>2023</v>
      </c>
      <c r="B3897" t="s">
        <v>4482</v>
      </c>
      <c r="C3897" t="s">
        <v>4483</v>
      </c>
      <c r="D3897" t="s">
        <v>19</v>
      </c>
      <c r="E3897" t="s">
        <v>20</v>
      </c>
      <c r="F3897" t="str">
        <f>"43605"</f>
        <v>43605</v>
      </c>
      <c r="G3897" t="str">
        <f>"Je12142023"</f>
        <v>Je12142023</v>
      </c>
      <c r="H3897" s="2">
        <f>86.5</f>
        <v>86.5</v>
      </c>
      <c r="I3897" t="s">
        <v>15</v>
      </c>
      <c r="J3897" t="s">
        <v>176</v>
      </c>
      <c r="K3897" t="str">
        <f>"60102351"</f>
        <v>60102351</v>
      </c>
    </row>
    <row r="3898" spans="1:11" x14ac:dyDescent="0.25">
      <c r="A3898">
        <v>2023</v>
      </c>
      <c r="B3898" t="s">
        <v>4489</v>
      </c>
      <c r="C3898" t="s">
        <v>4490</v>
      </c>
      <c r="D3898" t="s">
        <v>125</v>
      </c>
      <c r="E3898" t="s">
        <v>20</v>
      </c>
      <c r="F3898" t="str">
        <f>"43537"</f>
        <v>43537</v>
      </c>
      <c r="G3898" t="str">
        <f>"632482"</f>
        <v>632482</v>
      </c>
      <c r="H3898" s="2">
        <f>25</f>
        <v>25</v>
      </c>
      <c r="I3898" t="s">
        <v>27</v>
      </c>
      <c r="J3898" t="s">
        <v>157</v>
      </c>
      <c r="K3898" t="str">
        <f>"522201"</f>
        <v>522201</v>
      </c>
    </row>
    <row r="3899" spans="1:11" x14ac:dyDescent="0.25">
      <c r="A3899">
        <v>2023</v>
      </c>
      <c r="B3899" t="s">
        <v>4491</v>
      </c>
      <c r="C3899" t="s">
        <v>4492</v>
      </c>
      <c r="D3899" t="s">
        <v>19</v>
      </c>
      <c r="E3899" t="s">
        <v>20</v>
      </c>
      <c r="F3899" t="str">
        <f>"43614"</f>
        <v>43614</v>
      </c>
      <c r="G3899" t="str">
        <f>"Je12142023"</f>
        <v>Je12142023</v>
      </c>
      <c r="H3899" s="2">
        <f>200</f>
        <v>200</v>
      </c>
      <c r="I3899" t="s">
        <v>15</v>
      </c>
      <c r="J3899" t="s">
        <v>176</v>
      </c>
      <c r="K3899" t="str">
        <f>"60101256"</f>
        <v>60101256</v>
      </c>
    </row>
    <row r="3900" spans="1:11" x14ac:dyDescent="0.25">
      <c r="A3900">
        <v>2023</v>
      </c>
      <c r="B3900" t="s">
        <v>4555</v>
      </c>
      <c r="C3900" t="s">
        <v>4556</v>
      </c>
      <c r="D3900" t="s">
        <v>19</v>
      </c>
      <c r="E3900" t="s">
        <v>20</v>
      </c>
      <c r="F3900" t="str">
        <f>"43604"</f>
        <v>43604</v>
      </c>
      <c r="G3900" t="str">
        <f>"Je012023"</f>
        <v>Je012023</v>
      </c>
      <c r="H3900" s="2">
        <f>140</f>
        <v>140</v>
      </c>
      <c r="I3900" t="s">
        <v>15</v>
      </c>
      <c r="J3900" t="s">
        <v>397</v>
      </c>
      <c r="K3900" t="str">
        <f>"60064664"</f>
        <v>60064664</v>
      </c>
    </row>
    <row r="3901" spans="1:11" x14ac:dyDescent="0.25">
      <c r="A3901">
        <v>2023</v>
      </c>
      <c r="B3901" t="s">
        <v>4559</v>
      </c>
      <c r="C3901" t="s">
        <v>4560</v>
      </c>
      <c r="D3901" t="s">
        <v>19</v>
      </c>
      <c r="E3901" t="s">
        <v>20</v>
      </c>
      <c r="F3901" t="str">
        <f>"43608"</f>
        <v>43608</v>
      </c>
      <c r="G3901" t="str">
        <f>"Je12142023"</f>
        <v>Je12142023</v>
      </c>
      <c r="H3901" s="2">
        <f>20</f>
        <v>20</v>
      </c>
      <c r="I3901" t="s">
        <v>15</v>
      </c>
      <c r="J3901" t="s">
        <v>176</v>
      </c>
      <c r="K3901" t="str">
        <f>"60101274"</f>
        <v>60101274</v>
      </c>
    </row>
    <row r="3902" spans="1:11" x14ac:dyDescent="0.25">
      <c r="A3902">
        <v>2023</v>
      </c>
      <c r="B3902" t="s">
        <v>4600</v>
      </c>
      <c r="C3902" t="s">
        <v>4575</v>
      </c>
      <c r="D3902" t="s">
        <v>19</v>
      </c>
      <c r="E3902" t="s">
        <v>20</v>
      </c>
      <c r="F3902" t="str">
        <f>"43604"</f>
        <v>43604</v>
      </c>
      <c r="G3902" t="str">
        <f>"632483"</f>
        <v>632483</v>
      </c>
      <c r="H3902" s="2">
        <f>5.6</f>
        <v>5.6</v>
      </c>
      <c r="I3902" t="s">
        <v>27</v>
      </c>
      <c r="J3902" t="s">
        <v>108</v>
      </c>
      <c r="K3902" t="str">
        <f>"40085"</f>
        <v>40085</v>
      </c>
    </row>
    <row r="3903" spans="1:11" x14ac:dyDescent="0.25">
      <c r="A3903">
        <v>2023</v>
      </c>
      <c r="B3903" t="s">
        <v>4601</v>
      </c>
      <c r="C3903" t="s">
        <v>4602</v>
      </c>
      <c r="D3903" t="s">
        <v>19</v>
      </c>
      <c r="E3903" t="s">
        <v>20</v>
      </c>
      <c r="F3903" t="str">
        <f>"43612"</f>
        <v>43612</v>
      </c>
      <c r="G3903" t="str">
        <f t="shared" ref="G3903:G3911" si="130">"632482"</f>
        <v>632482</v>
      </c>
      <c r="H3903" s="2">
        <f>25</f>
        <v>25</v>
      </c>
      <c r="I3903" t="s">
        <v>27</v>
      </c>
      <c r="J3903" t="s">
        <v>157</v>
      </c>
      <c r="K3903" t="str">
        <f>"522417"</f>
        <v>522417</v>
      </c>
    </row>
    <row r="3904" spans="1:11" x14ac:dyDescent="0.25">
      <c r="A3904">
        <v>2023</v>
      </c>
      <c r="B3904" t="s">
        <v>4601</v>
      </c>
      <c r="C3904" t="s">
        <v>4602</v>
      </c>
      <c r="D3904" t="s">
        <v>19</v>
      </c>
      <c r="E3904" t="s">
        <v>20</v>
      </c>
      <c r="F3904" t="str">
        <f>"43612"</f>
        <v>43612</v>
      </c>
      <c r="G3904" t="str">
        <f t="shared" si="130"/>
        <v>632482</v>
      </c>
      <c r="H3904" s="2">
        <f>50</f>
        <v>50</v>
      </c>
      <c r="I3904" t="s">
        <v>27</v>
      </c>
      <c r="J3904" t="s">
        <v>157</v>
      </c>
      <c r="K3904" t="str">
        <f>"523089"</f>
        <v>523089</v>
      </c>
    </row>
    <row r="3905" spans="1:11" x14ac:dyDescent="0.25">
      <c r="A3905">
        <v>2023</v>
      </c>
      <c r="B3905" t="s">
        <v>4605</v>
      </c>
      <c r="C3905" t="s">
        <v>4606</v>
      </c>
      <c r="D3905" t="s">
        <v>19</v>
      </c>
      <c r="E3905" t="s">
        <v>20</v>
      </c>
      <c r="F3905" t="str">
        <f t="shared" ref="F3905:F3911" si="131">"43613"</f>
        <v>43613</v>
      </c>
      <c r="G3905" t="str">
        <f t="shared" si="130"/>
        <v>632482</v>
      </c>
      <c r="H3905" s="2">
        <f>2.27</f>
        <v>2.27</v>
      </c>
      <c r="I3905" t="s">
        <v>27</v>
      </c>
      <c r="J3905" t="s">
        <v>157</v>
      </c>
      <c r="K3905" t="str">
        <f>"522260"</f>
        <v>522260</v>
      </c>
    </row>
    <row r="3906" spans="1:11" x14ac:dyDescent="0.25">
      <c r="A3906">
        <v>2023</v>
      </c>
      <c r="B3906" t="s">
        <v>4605</v>
      </c>
      <c r="C3906" t="s">
        <v>4606</v>
      </c>
      <c r="D3906" t="s">
        <v>19</v>
      </c>
      <c r="E3906" t="s">
        <v>20</v>
      </c>
      <c r="F3906" t="str">
        <f t="shared" si="131"/>
        <v>43613</v>
      </c>
      <c r="G3906" t="str">
        <f t="shared" si="130"/>
        <v>632482</v>
      </c>
      <c r="H3906" s="2">
        <f>4.55</f>
        <v>4.55</v>
      </c>
      <c r="I3906" t="s">
        <v>27</v>
      </c>
      <c r="J3906" t="s">
        <v>157</v>
      </c>
      <c r="K3906" t="str">
        <f>"520825"</f>
        <v>520825</v>
      </c>
    </row>
    <row r="3907" spans="1:11" x14ac:dyDescent="0.25">
      <c r="A3907">
        <v>2023</v>
      </c>
      <c r="B3907" t="s">
        <v>4605</v>
      </c>
      <c r="C3907" t="s">
        <v>4606</v>
      </c>
      <c r="D3907" t="s">
        <v>19</v>
      </c>
      <c r="E3907" t="s">
        <v>20</v>
      </c>
      <c r="F3907" t="str">
        <f t="shared" si="131"/>
        <v>43613</v>
      </c>
      <c r="G3907" t="str">
        <f t="shared" si="130"/>
        <v>632482</v>
      </c>
      <c r="H3907" s="2">
        <f>4.55</f>
        <v>4.55</v>
      </c>
      <c r="I3907" t="s">
        <v>27</v>
      </c>
      <c r="J3907" t="s">
        <v>157</v>
      </c>
      <c r="K3907" t="str">
        <f>"521418"</f>
        <v>521418</v>
      </c>
    </row>
    <row r="3908" spans="1:11" x14ac:dyDescent="0.25">
      <c r="A3908">
        <v>2023</v>
      </c>
      <c r="B3908" t="s">
        <v>4605</v>
      </c>
      <c r="C3908" t="s">
        <v>4606</v>
      </c>
      <c r="D3908" t="s">
        <v>19</v>
      </c>
      <c r="E3908" t="s">
        <v>20</v>
      </c>
      <c r="F3908" t="str">
        <f t="shared" si="131"/>
        <v>43613</v>
      </c>
      <c r="G3908" t="str">
        <f t="shared" si="130"/>
        <v>632482</v>
      </c>
      <c r="H3908" s="2">
        <f>4.55</f>
        <v>4.55</v>
      </c>
      <c r="I3908" t="s">
        <v>27</v>
      </c>
      <c r="J3908" t="s">
        <v>157</v>
      </c>
      <c r="K3908" t="str">
        <f>"521542"</f>
        <v>521542</v>
      </c>
    </row>
    <row r="3909" spans="1:11" x14ac:dyDescent="0.25">
      <c r="A3909">
        <v>2023</v>
      </c>
      <c r="B3909" t="s">
        <v>4605</v>
      </c>
      <c r="C3909" t="s">
        <v>4606</v>
      </c>
      <c r="D3909" t="s">
        <v>19</v>
      </c>
      <c r="E3909" t="s">
        <v>20</v>
      </c>
      <c r="F3909" t="str">
        <f t="shared" si="131"/>
        <v>43613</v>
      </c>
      <c r="G3909" t="str">
        <f t="shared" si="130"/>
        <v>632482</v>
      </c>
      <c r="H3909" s="2">
        <f>1.82</f>
        <v>1.82</v>
      </c>
      <c r="I3909" t="s">
        <v>27</v>
      </c>
      <c r="J3909" t="s">
        <v>157</v>
      </c>
      <c r="K3909" t="str">
        <f>"521855"</f>
        <v>521855</v>
      </c>
    </row>
    <row r="3910" spans="1:11" x14ac:dyDescent="0.25">
      <c r="A3910">
        <v>2023</v>
      </c>
      <c r="B3910" t="s">
        <v>4605</v>
      </c>
      <c r="C3910" t="s">
        <v>4606</v>
      </c>
      <c r="D3910" t="s">
        <v>19</v>
      </c>
      <c r="E3910" t="s">
        <v>20</v>
      </c>
      <c r="F3910" t="str">
        <f t="shared" si="131"/>
        <v>43613</v>
      </c>
      <c r="G3910" t="str">
        <f t="shared" si="130"/>
        <v>632482</v>
      </c>
      <c r="H3910" s="2">
        <f>2.27</f>
        <v>2.27</v>
      </c>
      <c r="I3910" t="s">
        <v>27</v>
      </c>
      <c r="J3910" t="s">
        <v>157</v>
      </c>
      <c r="K3910" t="str">
        <f>"521078"</f>
        <v>521078</v>
      </c>
    </row>
    <row r="3911" spans="1:11" x14ac:dyDescent="0.25">
      <c r="A3911">
        <v>2023</v>
      </c>
      <c r="B3911" t="s">
        <v>4605</v>
      </c>
      <c r="C3911" t="s">
        <v>4606</v>
      </c>
      <c r="D3911" t="s">
        <v>19</v>
      </c>
      <c r="E3911" t="s">
        <v>20</v>
      </c>
      <c r="F3911" t="str">
        <f t="shared" si="131"/>
        <v>43613</v>
      </c>
      <c r="G3911" t="str">
        <f t="shared" si="130"/>
        <v>632482</v>
      </c>
      <c r="H3911" s="2">
        <f>4.55</f>
        <v>4.55</v>
      </c>
      <c r="I3911" t="s">
        <v>27</v>
      </c>
      <c r="J3911" t="s">
        <v>157</v>
      </c>
      <c r="K3911" t="str">
        <f>"520604"</f>
        <v>520604</v>
      </c>
    </row>
    <row r="3912" spans="1:11" x14ac:dyDescent="0.25">
      <c r="A3912">
        <v>2023</v>
      </c>
      <c r="B3912" t="s">
        <v>4607</v>
      </c>
      <c r="C3912" t="s">
        <v>4609</v>
      </c>
      <c r="D3912" t="s">
        <v>19</v>
      </c>
      <c r="E3912" t="s">
        <v>20</v>
      </c>
      <c r="F3912" t="str">
        <f t="shared" ref="F3912:F3920" si="132">"43612"</f>
        <v>43612</v>
      </c>
      <c r="G3912" t="str">
        <f t="shared" ref="G3912:G3920" si="133">"632514"</f>
        <v>632514</v>
      </c>
      <c r="H3912" s="2">
        <f>381.25</f>
        <v>381.25</v>
      </c>
      <c r="I3912" t="s">
        <v>27</v>
      </c>
      <c r="J3912" t="s">
        <v>195</v>
      </c>
      <c r="K3912" t="str">
        <f>"44009602"</f>
        <v>44009602</v>
      </c>
    </row>
    <row r="3913" spans="1:11" x14ac:dyDescent="0.25">
      <c r="A3913">
        <v>2023</v>
      </c>
      <c r="B3913" t="s">
        <v>4607</v>
      </c>
      <c r="C3913" t="s">
        <v>4608</v>
      </c>
      <c r="D3913" t="s">
        <v>19</v>
      </c>
      <c r="E3913" t="s">
        <v>20</v>
      </c>
      <c r="F3913" t="str">
        <f t="shared" si="132"/>
        <v>43612</v>
      </c>
      <c r="G3913" t="str">
        <f t="shared" si="133"/>
        <v>632514</v>
      </c>
      <c r="H3913" s="2">
        <f>15</f>
        <v>15</v>
      </c>
      <c r="I3913" t="s">
        <v>27</v>
      </c>
      <c r="J3913" t="s">
        <v>195</v>
      </c>
      <c r="K3913" t="str">
        <f>"44009122"</f>
        <v>44009122</v>
      </c>
    </row>
    <row r="3914" spans="1:11" x14ac:dyDescent="0.25">
      <c r="A3914">
        <v>2023</v>
      </c>
      <c r="B3914" t="s">
        <v>4607</v>
      </c>
      <c r="C3914" t="s">
        <v>4608</v>
      </c>
      <c r="D3914" t="s">
        <v>19</v>
      </c>
      <c r="E3914" t="s">
        <v>20</v>
      </c>
      <c r="F3914" t="str">
        <f t="shared" si="132"/>
        <v>43612</v>
      </c>
      <c r="G3914" t="str">
        <f t="shared" si="133"/>
        <v>632514</v>
      </c>
      <c r="H3914" s="2">
        <f>27.85</f>
        <v>27.85</v>
      </c>
      <c r="I3914" t="s">
        <v>27</v>
      </c>
      <c r="J3914" t="s">
        <v>195</v>
      </c>
      <c r="K3914" t="str">
        <f>"44009697"</f>
        <v>44009697</v>
      </c>
    </row>
    <row r="3915" spans="1:11" x14ac:dyDescent="0.25">
      <c r="A3915">
        <v>2023</v>
      </c>
      <c r="B3915" t="s">
        <v>4610</v>
      </c>
      <c r="C3915" t="s">
        <v>4608</v>
      </c>
      <c r="D3915" t="s">
        <v>19</v>
      </c>
      <c r="E3915" t="s">
        <v>20</v>
      </c>
      <c r="F3915" t="str">
        <f t="shared" si="132"/>
        <v>43612</v>
      </c>
      <c r="G3915" t="str">
        <f t="shared" si="133"/>
        <v>632514</v>
      </c>
      <c r="H3915" s="2">
        <f>226.12</f>
        <v>226.12</v>
      </c>
      <c r="I3915" t="s">
        <v>27</v>
      </c>
      <c r="J3915" t="s">
        <v>195</v>
      </c>
      <c r="K3915" t="str">
        <f>"44009701"</f>
        <v>44009701</v>
      </c>
    </row>
    <row r="3916" spans="1:11" x14ac:dyDescent="0.25">
      <c r="A3916">
        <v>2023</v>
      </c>
      <c r="B3916" t="s">
        <v>4610</v>
      </c>
      <c r="C3916" t="s">
        <v>4611</v>
      </c>
      <c r="D3916" t="s">
        <v>19</v>
      </c>
      <c r="E3916" t="s">
        <v>20</v>
      </c>
      <c r="F3916" t="str">
        <f t="shared" si="132"/>
        <v>43612</v>
      </c>
      <c r="G3916" t="str">
        <f t="shared" si="133"/>
        <v>632514</v>
      </c>
      <c r="H3916" s="2">
        <f>15</f>
        <v>15</v>
      </c>
      <c r="I3916" t="s">
        <v>27</v>
      </c>
      <c r="J3916" t="s">
        <v>195</v>
      </c>
      <c r="K3916" t="str">
        <f>"44009127"</f>
        <v>44009127</v>
      </c>
    </row>
    <row r="3917" spans="1:11" x14ac:dyDescent="0.25">
      <c r="A3917">
        <v>2023</v>
      </c>
      <c r="B3917" t="s">
        <v>4610</v>
      </c>
      <c r="C3917" t="s">
        <v>4608</v>
      </c>
      <c r="D3917" t="s">
        <v>19</v>
      </c>
      <c r="E3917" t="s">
        <v>20</v>
      </c>
      <c r="F3917" t="str">
        <f t="shared" si="132"/>
        <v>43612</v>
      </c>
      <c r="G3917" t="str">
        <f t="shared" si="133"/>
        <v>632514</v>
      </c>
      <c r="H3917" s="2">
        <f>834.34</f>
        <v>834.34</v>
      </c>
      <c r="I3917" t="s">
        <v>27</v>
      </c>
      <c r="J3917" t="s">
        <v>195</v>
      </c>
      <c r="K3917" t="str">
        <f>"44009200"</f>
        <v>44009200</v>
      </c>
    </row>
    <row r="3918" spans="1:11" x14ac:dyDescent="0.25">
      <c r="A3918">
        <v>2023</v>
      </c>
      <c r="B3918" t="s">
        <v>4610</v>
      </c>
      <c r="C3918" t="s">
        <v>4608</v>
      </c>
      <c r="D3918" t="s">
        <v>19</v>
      </c>
      <c r="E3918" t="s">
        <v>20</v>
      </c>
      <c r="F3918" t="str">
        <f t="shared" si="132"/>
        <v>43612</v>
      </c>
      <c r="G3918" t="str">
        <f t="shared" si="133"/>
        <v>632514</v>
      </c>
      <c r="H3918" s="2">
        <f>1114.84</f>
        <v>1114.8399999999999</v>
      </c>
      <c r="I3918" t="s">
        <v>27</v>
      </c>
      <c r="J3918" t="s">
        <v>195</v>
      </c>
      <c r="K3918" t="str">
        <f>"44009306"</f>
        <v>44009306</v>
      </c>
    </row>
    <row r="3919" spans="1:11" x14ac:dyDescent="0.25">
      <c r="A3919">
        <v>2023</v>
      </c>
      <c r="B3919" t="s">
        <v>4612</v>
      </c>
      <c r="C3919" t="s">
        <v>4608</v>
      </c>
      <c r="D3919" t="s">
        <v>19</v>
      </c>
      <c r="E3919" t="s">
        <v>20</v>
      </c>
      <c r="F3919" t="str">
        <f t="shared" si="132"/>
        <v>43612</v>
      </c>
      <c r="G3919" t="str">
        <f t="shared" si="133"/>
        <v>632514</v>
      </c>
      <c r="H3919" s="2">
        <f>365.39</f>
        <v>365.39</v>
      </c>
      <c r="I3919" t="s">
        <v>27</v>
      </c>
      <c r="J3919" t="s">
        <v>195</v>
      </c>
      <c r="K3919" t="str">
        <f>"44009357"</f>
        <v>44009357</v>
      </c>
    </row>
    <row r="3920" spans="1:11" x14ac:dyDescent="0.25">
      <c r="A3920">
        <v>2023</v>
      </c>
      <c r="B3920" t="s">
        <v>4612</v>
      </c>
      <c r="C3920" t="s">
        <v>4608</v>
      </c>
      <c r="D3920" t="s">
        <v>19</v>
      </c>
      <c r="E3920" t="s">
        <v>20</v>
      </c>
      <c r="F3920" t="str">
        <f t="shared" si="132"/>
        <v>43612</v>
      </c>
      <c r="G3920" t="str">
        <f t="shared" si="133"/>
        <v>632514</v>
      </c>
      <c r="H3920" s="2">
        <f>523</f>
        <v>523</v>
      </c>
      <c r="I3920" t="s">
        <v>27</v>
      </c>
      <c r="J3920" t="s">
        <v>195</v>
      </c>
      <c r="K3920" t="str">
        <f>"44009254"</f>
        <v>44009254</v>
      </c>
    </row>
    <row r="3921" spans="1:11" x14ac:dyDescent="0.25">
      <c r="A3921">
        <v>2023</v>
      </c>
      <c r="B3921" t="s">
        <v>4615</v>
      </c>
      <c r="C3921" t="s">
        <v>4616</v>
      </c>
      <c r="D3921" t="s">
        <v>50</v>
      </c>
      <c r="E3921" t="s">
        <v>20</v>
      </c>
      <c r="F3921" t="str">
        <f>"43560"</f>
        <v>43560</v>
      </c>
      <c r="G3921" t="str">
        <f>"632482"</f>
        <v>632482</v>
      </c>
      <c r="H3921" s="2">
        <f>50</f>
        <v>50</v>
      </c>
      <c r="I3921" t="s">
        <v>27</v>
      </c>
      <c r="J3921" t="s">
        <v>157</v>
      </c>
      <c r="K3921" t="str">
        <f>"521891"</f>
        <v>521891</v>
      </c>
    </row>
    <row r="3922" spans="1:11" x14ac:dyDescent="0.25">
      <c r="A3922">
        <v>2023</v>
      </c>
      <c r="B3922" t="s">
        <v>4664</v>
      </c>
      <c r="C3922" t="s">
        <v>4665</v>
      </c>
      <c r="D3922" t="s">
        <v>50</v>
      </c>
      <c r="E3922" t="s">
        <v>20</v>
      </c>
      <c r="F3922" t="str">
        <f>"43560-9567"</f>
        <v>43560-9567</v>
      </c>
      <c r="G3922" t="str">
        <f>"637573"</f>
        <v>637573</v>
      </c>
      <c r="H3922" s="2">
        <f>10</f>
        <v>10</v>
      </c>
      <c r="I3922" t="s">
        <v>27</v>
      </c>
      <c r="J3922" t="s">
        <v>61</v>
      </c>
      <c r="K3922" t="str">
        <f>"118933"</f>
        <v>118933</v>
      </c>
    </row>
    <row r="3923" spans="1:11" x14ac:dyDescent="0.25">
      <c r="A3923">
        <v>2023</v>
      </c>
      <c r="B3923" t="s">
        <v>4671</v>
      </c>
      <c r="C3923" t="s">
        <v>4672</v>
      </c>
      <c r="D3923" t="s">
        <v>19</v>
      </c>
      <c r="E3923" t="s">
        <v>20</v>
      </c>
      <c r="F3923" t="str">
        <f>"43606"</f>
        <v>43606</v>
      </c>
      <c r="G3923" t="str">
        <f>"632482"</f>
        <v>632482</v>
      </c>
      <c r="H3923" s="2">
        <f>25</f>
        <v>25</v>
      </c>
      <c r="I3923" t="s">
        <v>27</v>
      </c>
      <c r="J3923" t="s">
        <v>157</v>
      </c>
      <c r="K3923" t="str">
        <f>"522206"</f>
        <v>522206</v>
      </c>
    </row>
    <row r="3924" spans="1:11" x14ac:dyDescent="0.25">
      <c r="A3924">
        <v>2023</v>
      </c>
      <c r="B3924" t="s">
        <v>4673</v>
      </c>
      <c r="C3924" t="s">
        <v>4674</v>
      </c>
      <c r="D3924" t="s">
        <v>19</v>
      </c>
      <c r="E3924" t="s">
        <v>20</v>
      </c>
      <c r="F3924" t="str">
        <f>"43608"</f>
        <v>43608</v>
      </c>
      <c r="G3924" t="str">
        <f>"Je10162023"</f>
        <v>Je10162023</v>
      </c>
      <c r="H3924" s="2">
        <f>125</f>
        <v>125</v>
      </c>
      <c r="I3924" t="s">
        <v>15</v>
      </c>
      <c r="J3924" t="s">
        <v>93</v>
      </c>
      <c r="K3924" t="str">
        <f>"60089528"</f>
        <v>60089528</v>
      </c>
    </row>
    <row r="3925" spans="1:11" x14ac:dyDescent="0.25">
      <c r="A3925">
        <v>2023</v>
      </c>
      <c r="B3925" t="s">
        <v>4673</v>
      </c>
      <c r="C3925" t="s">
        <v>4674</v>
      </c>
      <c r="D3925" t="s">
        <v>19</v>
      </c>
      <c r="E3925" t="s">
        <v>20</v>
      </c>
      <c r="F3925" t="str">
        <f>"43608"</f>
        <v>43608</v>
      </c>
      <c r="G3925" t="str">
        <f>"Je10162023"</f>
        <v>Je10162023</v>
      </c>
      <c r="H3925" s="2">
        <f>140</f>
        <v>140</v>
      </c>
      <c r="I3925" t="s">
        <v>15</v>
      </c>
      <c r="J3925" t="s">
        <v>93</v>
      </c>
      <c r="K3925" t="str">
        <f>"60090975"</f>
        <v>60090975</v>
      </c>
    </row>
    <row r="3926" spans="1:11" x14ac:dyDescent="0.25">
      <c r="A3926">
        <v>2023</v>
      </c>
      <c r="B3926" t="s">
        <v>4691</v>
      </c>
      <c r="C3926" t="s">
        <v>4692</v>
      </c>
      <c r="D3926" t="s">
        <v>19</v>
      </c>
      <c r="E3926" t="s">
        <v>20</v>
      </c>
      <c r="F3926" t="str">
        <f>"43613-3242"</f>
        <v>43613-3242</v>
      </c>
      <c r="G3926" t="str">
        <f>"637573"</f>
        <v>637573</v>
      </c>
      <c r="H3926" s="2">
        <f>10</f>
        <v>10</v>
      </c>
      <c r="I3926" t="s">
        <v>27</v>
      </c>
      <c r="J3926" t="s">
        <v>61</v>
      </c>
      <c r="K3926" t="str">
        <f>"119681"</f>
        <v>119681</v>
      </c>
    </row>
    <row r="3927" spans="1:11" x14ac:dyDescent="0.25">
      <c r="A3927">
        <v>2023</v>
      </c>
      <c r="B3927" t="s">
        <v>4709</v>
      </c>
      <c r="C3927" t="s">
        <v>4710</v>
      </c>
      <c r="D3927" t="s">
        <v>4711</v>
      </c>
      <c r="E3927" t="s">
        <v>1664</v>
      </c>
      <c r="F3927" t="str">
        <f>"24301"</f>
        <v>24301</v>
      </c>
      <c r="G3927" t="str">
        <f>"632482"</f>
        <v>632482</v>
      </c>
      <c r="H3927" s="2">
        <f>250</f>
        <v>250</v>
      </c>
      <c r="I3927" t="s">
        <v>27</v>
      </c>
      <c r="J3927" t="s">
        <v>157</v>
      </c>
      <c r="K3927" t="str">
        <f>"522420"</f>
        <v>522420</v>
      </c>
    </row>
    <row r="3928" spans="1:11" x14ac:dyDescent="0.25">
      <c r="A3928">
        <v>2023</v>
      </c>
      <c r="B3928" t="s">
        <v>4712</v>
      </c>
      <c r="C3928" t="s">
        <v>4713</v>
      </c>
      <c r="D3928" t="s">
        <v>19</v>
      </c>
      <c r="E3928" t="s">
        <v>20</v>
      </c>
      <c r="F3928" t="str">
        <f>"43614"</f>
        <v>43614</v>
      </c>
      <c r="G3928" t="str">
        <f>"Je10162023"</f>
        <v>Je10162023</v>
      </c>
      <c r="H3928" s="2">
        <f>125</f>
        <v>125</v>
      </c>
      <c r="I3928" t="s">
        <v>15</v>
      </c>
      <c r="J3928" t="s">
        <v>93</v>
      </c>
      <c r="K3928" t="str">
        <f>"60089533"</f>
        <v>60089533</v>
      </c>
    </row>
    <row r="3929" spans="1:11" x14ac:dyDescent="0.25">
      <c r="A3929">
        <v>2023</v>
      </c>
      <c r="B3929" t="s">
        <v>4714</v>
      </c>
      <c r="C3929" t="s">
        <v>4715</v>
      </c>
      <c r="D3929" t="s">
        <v>19</v>
      </c>
      <c r="E3929" t="s">
        <v>20</v>
      </c>
      <c r="F3929" t="str">
        <f>"43611"</f>
        <v>43611</v>
      </c>
      <c r="G3929" t="str">
        <f>"589332"</f>
        <v>589332</v>
      </c>
      <c r="H3929" s="2">
        <f>18.34</f>
        <v>18.34</v>
      </c>
      <c r="I3929" t="s">
        <v>519</v>
      </c>
      <c r="J3929" t="s">
        <v>519</v>
      </c>
      <c r="K3929" t="str">
        <f>"14955"</f>
        <v>14955</v>
      </c>
    </row>
    <row r="3930" spans="1:11" x14ac:dyDescent="0.25">
      <c r="A3930">
        <v>2023</v>
      </c>
      <c r="B3930" t="s">
        <v>4729</v>
      </c>
      <c r="C3930" t="s">
        <v>4728</v>
      </c>
      <c r="D3930" t="s">
        <v>19</v>
      </c>
      <c r="E3930" t="s">
        <v>20</v>
      </c>
      <c r="F3930" t="str">
        <f>"43609"</f>
        <v>43609</v>
      </c>
      <c r="G3930" t="str">
        <f>"Je012023"</f>
        <v>Je012023</v>
      </c>
      <c r="H3930" s="2">
        <f>15</f>
        <v>15</v>
      </c>
      <c r="I3930" t="s">
        <v>15</v>
      </c>
      <c r="J3930" t="s">
        <v>397</v>
      </c>
      <c r="K3930" t="str">
        <f>"60060202"</f>
        <v>60060202</v>
      </c>
    </row>
    <row r="3931" spans="1:11" x14ac:dyDescent="0.25">
      <c r="A3931">
        <v>2023</v>
      </c>
      <c r="B3931" t="s">
        <v>4740</v>
      </c>
      <c r="C3931" t="s">
        <v>4741</v>
      </c>
      <c r="D3931" t="s">
        <v>19</v>
      </c>
      <c r="E3931" t="s">
        <v>20</v>
      </c>
      <c r="F3931" t="str">
        <f>"43608"</f>
        <v>43608</v>
      </c>
      <c r="G3931" t="str">
        <f>"Je06132023"</f>
        <v>Je06132023</v>
      </c>
      <c r="H3931" s="2">
        <f>69.09</f>
        <v>69.09</v>
      </c>
      <c r="I3931" t="s">
        <v>15</v>
      </c>
      <c r="J3931" t="s">
        <v>16</v>
      </c>
      <c r="K3931" t="str">
        <f>"60081115"</f>
        <v>60081115</v>
      </c>
    </row>
    <row r="3932" spans="1:11" x14ac:dyDescent="0.25">
      <c r="A3932">
        <v>2023</v>
      </c>
      <c r="B3932" t="s">
        <v>4747</v>
      </c>
      <c r="C3932" t="s">
        <v>4748</v>
      </c>
      <c r="D3932" t="s">
        <v>58</v>
      </c>
      <c r="E3932" t="s">
        <v>20</v>
      </c>
      <c r="F3932" t="str">
        <f>"43616"</f>
        <v>43616</v>
      </c>
      <c r="G3932" t="str">
        <f>"632482"</f>
        <v>632482</v>
      </c>
      <c r="H3932" s="2">
        <f>87.97</f>
        <v>87.97</v>
      </c>
      <c r="I3932" t="s">
        <v>27</v>
      </c>
      <c r="J3932" t="s">
        <v>157</v>
      </c>
      <c r="K3932" t="str">
        <f>"521170"</f>
        <v>521170</v>
      </c>
    </row>
    <row r="3933" spans="1:11" x14ac:dyDescent="0.25">
      <c r="A3933">
        <v>2023</v>
      </c>
      <c r="B3933" t="s">
        <v>4750</v>
      </c>
      <c r="C3933" t="s">
        <v>4751</v>
      </c>
      <c r="D3933" t="s">
        <v>19</v>
      </c>
      <c r="E3933" t="s">
        <v>20</v>
      </c>
      <c r="F3933" t="str">
        <f>"43613"</f>
        <v>43613</v>
      </c>
      <c r="G3933" t="str">
        <f>"Je12142023"</f>
        <v>Je12142023</v>
      </c>
      <c r="H3933" s="2">
        <f>125.62</f>
        <v>125.62</v>
      </c>
      <c r="I3933" t="s">
        <v>15</v>
      </c>
      <c r="J3933" t="s">
        <v>176</v>
      </c>
      <c r="K3933" t="str">
        <f>"60100451"</f>
        <v>60100451</v>
      </c>
    </row>
    <row r="3934" spans="1:11" x14ac:dyDescent="0.25">
      <c r="A3934">
        <v>2023</v>
      </c>
      <c r="B3934" t="s">
        <v>4752</v>
      </c>
      <c r="C3934" t="s">
        <v>4753</v>
      </c>
      <c r="D3934" t="s">
        <v>19</v>
      </c>
      <c r="E3934" t="s">
        <v>20</v>
      </c>
      <c r="F3934" t="str">
        <f>"43612"</f>
        <v>43612</v>
      </c>
      <c r="G3934" t="str">
        <f>"632482"</f>
        <v>632482</v>
      </c>
      <c r="H3934" s="2">
        <f>100</f>
        <v>100</v>
      </c>
      <c r="I3934" t="s">
        <v>27</v>
      </c>
      <c r="J3934" t="s">
        <v>157</v>
      </c>
      <c r="K3934" t="str">
        <f>"522617"</f>
        <v>522617</v>
      </c>
    </row>
    <row r="3935" spans="1:11" x14ac:dyDescent="0.25">
      <c r="A3935">
        <v>2023</v>
      </c>
      <c r="B3935" t="s">
        <v>4752</v>
      </c>
      <c r="C3935" t="s">
        <v>4753</v>
      </c>
      <c r="D3935" t="s">
        <v>19</v>
      </c>
      <c r="E3935" t="s">
        <v>20</v>
      </c>
      <c r="F3935" t="str">
        <f>"43612"</f>
        <v>43612</v>
      </c>
      <c r="G3935" t="str">
        <f>"632482"</f>
        <v>632482</v>
      </c>
      <c r="H3935" s="2">
        <f>125</f>
        <v>125</v>
      </c>
      <c r="I3935" t="s">
        <v>27</v>
      </c>
      <c r="J3935" t="s">
        <v>157</v>
      </c>
      <c r="K3935" t="str">
        <f>"522693"</f>
        <v>522693</v>
      </c>
    </row>
    <row r="3936" spans="1:11" x14ac:dyDescent="0.25">
      <c r="A3936">
        <v>2023</v>
      </c>
      <c r="B3936" t="s">
        <v>4793</v>
      </c>
      <c r="C3936" t="s">
        <v>4794</v>
      </c>
      <c r="D3936" t="s">
        <v>19</v>
      </c>
      <c r="E3936" t="s">
        <v>20</v>
      </c>
      <c r="F3936" t="str">
        <f>"43623"</f>
        <v>43623</v>
      </c>
      <c r="G3936" t="str">
        <f>"632514"</f>
        <v>632514</v>
      </c>
      <c r="H3936" s="2">
        <f>10</f>
        <v>10</v>
      </c>
      <c r="I3936" t="s">
        <v>27</v>
      </c>
      <c r="J3936" t="s">
        <v>195</v>
      </c>
      <c r="K3936" t="str">
        <f>"11004296"</f>
        <v>11004296</v>
      </c>
    </row>
    <row r="3937" spans="1:11" x14ac:dyDescent="0.25">
      <c r="A3937">
        <v>2023</v>
      </c>
      <c r="B3937" t="s">
        <v>4795</v>
      </c>
      <c r="C3937" t="s">
        <v>4796</v>
      </c>
      <c r="D3937" t="s">
        <v>19</v>
      </c>
      <c r="E3937" t="s">
        <v>20</v>
      </c>
      <c r="F3937" t="str">
        <f>"43606-3613"</f>
        <v>43606-3613</v>
      </c>
      <c r="G3937" t="str">
        <f>"637573"</f>
        <v>637573</v>
      </c>
      <c r="H3937" s="2">
        <f>20</f>
        <v>20</v>
      </c>
      <c r="I3937" t="s">
        <v>27</v>
      </c>
      <c r="J3937" t="s">
        <v>61</v>
      </c>
      <c r="K3937" t="str">
        <f>"120679"</f>
        <v>120679</v>
      </c>
    </row>
    <row r="3938" spans="1:11" x14ac:dyDescent="0.25">
      <c r="A3938">
        <v>2023</v>
      </c>
      <c r="B3938" t="s">
        <v>4808</v>
      </c>
      <c r="C3938" t="s">
        <v>4809</v>
      </c>
      <c r="D3938" t="s">
        <v>19</v>
      </c>
      <c r="E3938" t="s">
        <v>20</v>
      </c>
      <c r="F3938" t="str">
        <f>"43623"</f>
        <v>43623</v>
      </c>
      <c r="G3938" t="str">
        <f>"638581"</f>
        <v>638581</v>
      </c>
      <c r="H3938" s="2">
        <f>58.55</f>
        <v>58.55</v>
      </c>
      <c r="I3938" t="s">
        <v>27</v>
      </c>
      <c r="J3938" t="s">
        <v>61</v>
      </c>
      <c r="K3938" t="str">
        <f>"333879"</f>
        <v>333879</v>
      </c>
    </row>
    <row r="3939" spans="1:11" x14ac:dyDescent="0.25">
      <c r="A3939">
        <v>2023</v>
      </c>
      <c r="B3939" t="s">
        <v>4834</v>
      </c>
      <c r="C3939" t="s">
        <v>4835</v>
      </c>
      <c r="D3939" t="s">
        <v>1074</v>
      </c>
      <c r="E3939" t="s">
        <v>20</v>
      </c>
      <c r="F3939" t="str">
        <f>"43551"</f>
        <v>43551</v>
      </c>
      <c r="G3939" t="str">
        <f>"632482"</f>
        <v>632482</v>
      </c>
      <c r="H3939" s="2">
        <f>25</f>
        <v>25</v>
      </c>
      <c r="I3939" t="s">
        <v>27</v>
      </c>
      <c r="J3939" t="s">
        <v>157</v>
      </c>
      <c r="K3939" t="str">
        <f>"522205"</f>
        <v>522205</v>
      </c>
    </row>
    <row r="3940" spans="1:11" x14ac:dyDescent="0.25">
      <c r="A3940">
        <v>2023</v>
      </c>
      <c r="B3940" t="s">
        <v>4852</v>
      </c>
      <c r="C3940" t="s">
        <v>4853</v>
      </c>
      <c r="D3940" t="s">
        <v>50</v>
      </c>
      <c r="E3940" t="s">
        <v>20</v>
      </c>
      <c r="F3940" t="str">
        <f>"43560"</f>
        <v>43560</v>
      </c>
      <c r="G3940" t="str">
        <f>"632482"</f>
        <v>632482</v>
      </c>
      <c r="H3940" s="2">
        <f>2.5</f>
        <v>2.5</v>
      </c>
      <c r="I3940" t="s">
        <v>27</v>
      </c>
      <c r="J3940" t="s">
        <v>157</v>
      </c>
      <c r="K3940" t="str">
        <f>"522129"</f>
        <v>522129</v>
      </c>
    </row>
    <row r="3941" spans="1:11" x14ac:dyDescent="0.25">
      <c r="A3941">
        <v>2023</v>
      </c>
      <c r="B3941" t="s">
        <v>4852</v>
      </c>
      <c r="C3941" t="s">
        <v>4853</v>
      </c>
      <c r="D3941" t="s">
        <v>50</v>
      </c>
      <c r="E3941" t="s">
        <v>20</v>
      </c>
      <c r="F3941" t="str">
        <f>"43560"</f>
        <v>43560</v>
      </c>
      <c r="G3941" t="str">
        <f>"632482"</f>
        <v>632482</v>
      </c>
      <c r="H3941" s="2">
        <f>5</f>
        <v>5</v>
      </c>
      <c r="I3941" t="s">
        <v>27</v>
      </c>
      <c r="J3941" t="s">
        <v>157</v>
      </c>
      <c r="K3941" t="str">
        <f>"521329"</f>
        <v>521329</v>
      </c>
    </row>
    <row r="3942" spans="1:11" x14ac:dyDescent="0.25">
      <c r="A3942">
        <v>2023</v>
      </c>
      <c r="B3942" t="s">
        <v>4856</v>
      </c>
      <c r="C3942" t="s">
        <v>4857</v>
      </c>
      <c r="D3942" t="s">
        <v>19</v>
      </c>
      <c r="E3942" t="s">
        <v>20</v>
      </c>
      <c r="F3942" t="str">
        <f>"43605"</f>
        <v>43605</v>
      </c>
      <c r="G3942" t="str">
        <f>"Je12142023"</f>
        <v>Je12142023</v>
      </c>
      <c r="H3942" s="2">
        <f>90.48</f>
        <v>90.48</v>
      </c>
      <c r="I3942" t="s">
        <v>15</v>
      </c>
      <c r="J3942" t="s">
        <v>176</v>
      </c>
      <c r="K3942" t="str">
        <f>"60100453"</f>
        <v>60100453</v>
      </c>
    </row>
    <row r="3943" spans="1:11" x14ac:dyDescent="0.25">
      <c r="A3943">
        <v>2023</v>
      </c>
      <c r="B3943" t="s">
        <v>4860</v>
      </c>
      <c r="C3943" t="s">
        <v>4861</v>
      </c>
      <c r="D3943" t="s">
        <v>19</v>
      </c>
      <c r="E3943" t="s">
        <v>20</v>
      </c>
      <c r="F3943" t="str">
        <f>"43604"</f>
        <v>43604</v>
      </c>
      <c r="G3943" t="str">
        <f>"Je012023"</f>
        <v>Je012023</v>
      </c>
      <c r="H3943" s="2">
        <f>150</f>
        <v>150</v>
      </c>
      <c r="I3943" t="s">
        <v>15</v>
      </c>
      <c r="J3943" t="s">
        <v>397</v>
      </c>
      <c r="K3943" t="str">
        <f>"60064699"</f>
        <v>60064699</v>
      </c>
    </row>
    <row r="3944" spans="1:11" x14ac:dyDescent="0.25">
      <c r="A3944">
        <v>2023</v>
      </c>
      <c r="B3944" t="s">
        <v>4876</v>
      </c>
      <c r="C3944" t="s">
        <v>4877</v>
      </c>
      <c r="D3944" t="s">
        <v>19</v>
      </c>
      <c r="E3944" t="s">
        <v>20</v>
      </c>
      <c r="F3944" t="str">
        <f>"43605"</f>
        <v>43605</v>
      </c>
      <c r="G3944" t="str">
        <f>"632514"</f>
        <v>632514</v>
      </c>
      <c r="H3944" s="2">
        <f>4</f>
        <v>4</v>
      </c>
      <c r="I3944" t="s">
        <v>27</v>
      </c>
      <c r="J3944" t="s">
        <v>195</v>
      </c>
      <c r="K3944" t="str">
        <f>"11004131"</f>
        <v>11004131</v>
      </c>
    </row>
    <row r="3945" spans="1:11" x14ac:dyDescent="0.25">
      <c r="A3945">
        <v>2023</v>
      </c>
      <c r="B3945" t="s">
        <v>4878</v>
      </c>
      <c r="C3945" t="s">
        <v>4879</v>
      </c>
      <c r="D3945" t="s">
        <v>19</v>
      </c>
      <c r="E3945" t="s">
        <v>20</v>
      </c>
      <c r="F3945" t="str">
        <f>"43607"</f>
        <v>43607</v>
      </c>
      <c r="G3945" t="str">
        <f>"Je12142023"</f>
        <v>Je12142023</v>
      </c>
      <c r="H3945" s="2">
        <f>41.98</f>
        <v>41.98</v>
      </c>
      <c r="I3945" t="s">
        <v>15</v>
      </c>
      <c r="J3945" t="s">
        <v>176</v>
      </c>
      <c r="K3945" t="str">
        <f>"60100070"</f>
        <v>60100070</v>
      </c>
    </row>
    <row r="3946" spans="1:11" x14ac:dyDescent="0.25">
      <c r="A3946">
        <v>2023</v>
      </c>
      <c r="B3946" t="s">
        <v>4884</v>
      </c>
      <c r="C3946" t="s">
        <v>4885</v>
      </c>
      <c r="D3946" t="s">
        <v>19</v>
      </c>
      <c r="E3946" t="s">
        <v>20</v>
      </c>
      <c r="F3946" t="str">
        <f>"43615"</f>
        <v>43615</v>
      </c>
      <c r="G3946" t="str">
        <f>"632482"</f>
        <v>632482</v>
      </c>
      <c r="H3946" s="2">
        <f>60</f>
        <v>60</v>
      </c>
      <c r="I3946" t="s">
        <v>27</v>
      </c>
      <c r="J3946" t="s">
        <v>157</v>
      </c>
      <c r="K3946" t="str">
        <f>"522473"</f>
        <v>522473</v>
      </c>
    </row>
    <row r="3947" spans="1:11" x14ac:dyDescent="0.25">
      <c r="A3947">
        <v>2023</v>
      </c>
      <c r="B3947" t="s">
        <v>4886</v>
      </c>
      <c r="C3947" t="s">
        <v>4887</v>
      </c>
      <c r="D3947" t="s">
        <v>125</v>
      </c>
      <c r="E3947" t="s">
        <v>20</v>
      </c>
      <c r="F3947" t="str">
        <f>"43537"</f>
        <v>43537</v>
      </c>
      <c r="G3947" t="str">
        <f>"632482"</f>
        <v>632482</v>
      </c>
      <c r="H3947" s="2">
        <f>20</f>
        <v>20</v>
      </c>
      <c r="I3947" t="s">
        <v>27</v>
      </c>
      <c r="J3947" t="s">
        <v>157</v>
      </c>
      <c r="K3947" t="str">
        <f>"521186"</f>
        <v>521186</v>
      </c>
    </row>
    <row r="3948" spans="1:11" x14ac:dyDescent="0.25">
      <c r="A3948">
        <v>2023</v>
      </c>
      <c r="B3948" t="s">
        <v>4886</v>
      </c>
      <c r="C3948" t="s">
        <v>4887</v>
      </c>
      <c r="D3948" t="s">
        <v>125</v>
      </c>
      <c r="E3948" t="s">
        <v>20</v>
      </c>
      <c r="F3948" t="str">
        <f>"43537"</f>
        <v>43537</v>
      </c>
      <c r="G3948" t="str">
        <f>"632482"</f>
        <v>632482</v>
      </c>
      <c r="H3948" s="2">
        <f>20</f>
        <v>20</v>
      </c>
      <c r="I3948" t="s">
        <v>27</v>
      </c>
      <c r="J3948" t="s">
        <v>157</v>
      </c>
      <c r="K3948" t="str">
        <f>"520969"</f>
        <v>520969</v>
      </c>
    </row>
    <row r="3949" spans="1:11" x14ac:dyDescent="0.25">
      <c r="A3949">
        <v>2023</v>
      </c>
      <c r="B3949" t="s">
        <v>4886</v>
      </c>
      <c r="C3949" t="s">
        <v>4887</v>
      </c>
      <c r="D3949" t="s">
        <v>125</v>
      </c>
      <c r="E3949" t="s">
        <v>20</v>
      </c>
      <c r="F3949" t="str">
        <f>"43537"</f>
        <v>43537</v>
      </c>
      <c r="G3949" t="str">
        <f>"632482"</f>
        <v>632482</v>
      </c>
      <c r="H3949" s="2">
        <f>20</f>
        <v>20</v>
      </c>
      <c r="I3949" t="s">
        <v>27</v>
      </c>
      <c r="J3949" t="s">
        <v>157</v>
      </c>
      <c r="K3949" t="str">
        <f>"520693"</f>
        <v>520693</v>
      </c>
    </row>
    <row r="3950" spans="1:11" x14ac:dyDescent="0.25">
      <c r="A3950">
        <v>2023</v>
      </c>
      <c r="B3950" t="s">
        <v>4886</v>
      </c>
      <c r="C3950" t="s">
        <v>4887</v>
      </c>
      <c r="D3950" t="s">
        <v>125</v>
      </c>
      <c r="E3950" t="s">
        <v>20</v>
      </c>
      <c r="F3950" t="str">
        <f>"43537"</f>
        <v>43537</v>
      </c>
      <c r="G3950" t="str">
        <f>"632482"</f>
        <v>632482</v>
      </c>
      <c r="H3950" s="2">
        <f>20</f>
        <v>20</v>
      </c>
      <c r="I3950" t="s">
        <v>27</v>
      </c>
      <c r="J3950" t="s">
        <v>157</v>
      </c>
      <c r="K3950" t="str">
        <f>"520597"</f>
        <v>520597</v>
      </c>
    </row>
    <row r="3951" spans="1:11" x14ac:dyDescent="0.25">
      <c r="A3951">
        <v>2023</v>
      </c>
      <c r="B3951" t="s">
        <v>4890</v>
      </c>
      <c r="C3951" t="s">
        <v>4891</v>
      </c>
      <c r="D3951" t="s">
        <v>19</v>
      </c>
      <c r="E3951" t="s">
        <v>20</v>
      </c>
      <c r="F3951" t="str">
        <f>"43605"</f>
        <v>43605</v>
      </c>
      <c r="G3951" t="str">
        <f>"Je012023"</f>
        <v>Je012023</v>
      </c>
      <c r="H3951" s="2">
        <f>160</f>
        <v>160</v>
      </c>
      <c r="I3951" t="s">
        <v>15</v>
      </c>
      <c r="J3951" t="s">
        <v>397</v>
      </c>
      <c r="K3951" t="str">
        <f>"60064705"</f>
        <v>60064705</v>
      </c>
    </row>
    <row r="3952" spans="1:11" x14ac:dyDescent="0.25">
      <c r="A3952">
        <v>2023</v>
      </c>
      <c r="B3952" t="s">
        <v>4894</v>
      </c>
      <c r="C3952" t="s">
        <v>4895</v>
      </c>
      <c r="D3952" t="s">
        <v>45</v>
      </c>
      <c r="E3952" t="s">
        <v>20</v>
      </c>
      <c r="F3952" t="str">
        <f>"43542"</f>
        <v>43542</v>
      </c>
      <c r="G3952" t="str">
        <f>"632482"</f>
        <v>632482</v>
      </c>
      <c r="H3952" s="2">
        <f>122.75</f>
        <v>122.75</v>
      </c>
      <c r="I3952" t="s">
        <v>27</v>
      </c>
      <c r="J3952" t="s">
        <v>157</v>
      </c>
      <c r="K3952" t="str">
        <f>"521952"</f>
        <v>521952</v>
      </c>
    </row>
    <row r="3953" spans="1:11" x14ac:dyDescent="0.25">
      <c r="A3953">
        <v>2023</v>
      </c>
      <c r="B3953" t="s">
        <v>4901</v>
      </c>
      <c r="C3953" t="s">
        <v>4902</v>
      </c>
      <c r="D3953" t="s">
        <v>19</v>
      </c>
      <c r="E3953" t="s">
        <v>20</v>
      </c>
      <c r="F3953" t="str">
        <f>"43605"</f>
        <v>43605</v>
      </c>
      <c r="G3953" t="str">
        <f>"Je12142023"</f>
        <v>Je12142023</v>
      </c>
      <c r="H3953" s="2">
        <f>21.83</f>
        <v>21.83</v>
      </c>
      <c r="I3953" t="s">
        <v>15</v>
      </c>
      <c r="J3953" t="s">
        <v>176</v>
      </c>
      <c r="K3953" t="str">
        <f>"60097463"</f>
        <v>60097463</v>
      </c>
    </row>
    <row r="3954" spans="1:11" x14ac:dyDescent="0.25">
      <c r="A3954">
        <v>2023</v>
      </c>
      <c r="B3954" t="s">
        <v>4906</v>
      </c>
      <c r="C3954" t="s">
        <v>4907</v>
      </c>
      <c r="D3954" t="s">
        <v>1825</v>
      </c>
      <c r="E3954" t="s">
        <v>20</v>
      </c>
      <c r="F3954" t="str">
        <f>"43430"</f>
        <v>43430</v>
      </c>
      <c r="G3954" t="str">
        <f t="shared" ref="G3954:G3959" si="134">"632482"</f>
        <v>632482</v>
      </c>
      <c r="H3954" s="2">
        <f>72</f>
        <v>72</v>
      </c>
      <c r="I3954" t="s">
        <v>27</v>
      </c>
      <c r="J3954" t="s">
        <v>157</v>
      </c>
      <c r="K3954" t="str">
        <f>"523067"</f>
        <v>523067</v>
      </c>
    </row>
    <row r="3955" spans="1:11" x14ac:dyDescent="0.25">
      <c r="A3955">
        <v>2023</v>
      </c>
      <c r="B3955" t="s">
        <v>4910</v>
      </c>
      <c r="C3955" t="s">
        <v>4911</v>
      </c>
      <c r="D3955" t="s">
        <v>19</v>
      </c>
      <c r="E3955" t="s">
        <v>20</v>
      </c>
      <c r="F3955" t="str">
        <f>"43605"</f>
        <v>43605</v>
      </c>
      <c r="G3955" t="str">
        <f t="shared" si="134"/>
        <v>632482</v>
      </c>
      <c r="H3955" s="2">
        <f>20</f>
        <v>20</v>
      </c>
      <c r="I3955" t="s">
        <v>27</v>
      </c>
      <c r="J3955" t="s">
        <v>157</v>
      </c>
      <c r="K3955" t="str">
        <f>"522695"</f>
        <v>522695</v>
      </c>
    </row>
    <row r="3956" spans="1:11" x14ac:dyDescent="0.25">
      <c r="A3956">
        <v>2023</v>
      </c>
      <c r="B3956" t="s">
        <v>4910</v>
      </c>
      <c r="C3956" t="s">
        <v>4911</v>
      </c>
      <c r="D3956" t="s">
        <v>19</v>
      </c>
      <c r="E3956" t="s">
        <v>20</v>
      </c>
      <c r="F3956" t="str">
        <f>"43605"</f>
        <v>43605</v>
      </c>
      <c r="G3956" t="str">
        <f t="shared" si="134"/>
        <v>632482</v>
      </c>
      <c r="H3956" s="2">
        <f>20</f>
        <v>20</v>
      </c>
      <c r="I3956" t="s">
        <v>27</v>
      </c>
      <c r="J3956" t="s">
        <v>157</v>
      </c>
      <c r="K3956" t="str">
        <f>"524112"</f>
        <v>524112</v>
      </c>
    </row>
    <row r="3957" spans="1:11" x14ac:dyDescent="0.25">
      <c r="A3957">
        <v>2023</v>
      </c>
      <c r="B3957" t="s">
        <v>4910</v>
      </c>
      <c r="C3957" t="s">
        <v>4911</v>
      </c>
      <c r="D3957" t="s">
        <v>19</v>
      </c>
      <c r="E3957" t="s">
        <v>20</v>
      </c>
      <c r="F3957" t="str">
        <f>"43605"</f>
        <v>43605</v>
      </c>
      <c r="G3957" t="str">
        <f t="shared" si="134"/>
        <v>632482</v>
      </c>
      <c r="H3957" s="2">
        <f>100</f>
        <v>100</v>
      </c>
      <c r="I3957" t="s">
        <v>27</v>
      </c>
      <c r="J3957" t="s">
        <v>157</v>
      </c>
      <c r="K3957" t="str">
        <f>"520842"</f>
        <v>520842</v>
      </c>
    </row>
    <row r="3958" spans="1:11" x14ac:dyDescent="0.25">
      <c r="A3958">
        <v>2023</v>
      </c>
      <c r="B3958" t="s">
        <v>4910</v>
      </c>
      <c r="C3958" t="s">
        <v>4911</v>
      </c>
      <c r="D3958" t="s">
        <v>19</v>
      </c>
      <c r="E3958" t="s">
        <v>20</v>
      </c>
      <c r="F3958" t="str">
        <f>"43605"</f>
        <v>43605</v>
      </c>
      <c r="G3958" t="str">
        <f t="shared" si="134"/>
        <v>632482</v>
      </c>
      <c r="H3958" s="2">
        <f>80</f>
        <v>80</v>
      </c>
      <c r="I3958" t="s">
        <v>27</v>
      </c>
      <c r="J3958" t="s">
        <v>157</v>
      </c>
      <c r="K3958" t="str">
        <f>"521102"</f>
        <v>521102</v>
      </c>
    </row>
    <row r="3959" spans="1:11" x14ac:dyDescent="0.25">
      <c r="A3959">
        <v>2023</v>
      </c>
      <c r="B3959" t="s">
        <v>4942</v>
      </c>
      <c r="C3959" t="s">
        <v>4943</v>
      </c>
      <c r="D3959" t="s">
        <v>19</v>
      </c>
      <c r="E3959" t="s">
        <v>20</v>
      </c>
      <c r="F3959" t="str">
        <f>"43605"</f>
        <v>43605</v>
      </c>
      <c r="G3959" t="str">
        <f t="shared" si="134"/>
        <v>632482</v>
      </c>
      <c r="H3959" s="2">
        <f>5</f>
        <v>5</v>
      </c>
      <c r="I3959" t="s">
        <v>27</v>
      </c>
      <c r="J3959" t="s">
        <v>157</v>
      </c>
      <c r="K3959" t="str">
        <f>"523059"</f>
        <v>523059</v>
      </c>
    </row>
    <row r="3960" spans="1:11" x14ac:dyDescent="0.25">
      <c r="A3960">
        <v>2023</v>
      </c>
      <c r="B3960" t="s">
        <v>4944</v>
      </c>
      <c r="C3960" t="s">
        <v>4945</v>
      </c>
      <c r="D3960" t="s">
        <v>19</v>
      </c>
      <c r="E3960" t="s">
        <v>20</v>
      </c>
      <c r="F3960" t="str">
        <f>"43615"</f>
        <v>43615</v>
      </c>
      <c r="G3960" t="str">
        <f>"632514"</f>
        <v>632514</v>
      </c>
      <c r="H3960" s="2">
        <f>3</f>
        <v>3</v>
      </c>
      <c r="I3960" t="s">
        <v>27</v>
      </c>
      <c r="J3960" t="s">
        <v>195</v>
      </c>
      <c r="K3960" t="str">
        <f>"33011214"</f>
        <v>33011214</v>
      </c>
    </row>
    <row r="3961" spans="1:11" x14ac:dyDescent="0.25">
      <c r="A3961">
        <v>2023</v>
      </c>
      <c r="B3961" t="s">
        <v>4946</v>
      </c>
      <c r="C3961" t="s">
        <v>4947</v>
      </c>
      <c r="D3961" t="s">
        <v>19</v>
      </c>
      <c r="E3961" t="s">
        <v>20</v>
      </c>
      <c r="F3961" t="str">
        <f>"43615"</f>
        <v>43615</v>
      </c>
      <c r="G3961" t="str">
        <f t="shared" ref="G3961:G3967" si="135">"632482"</f>
        <v>632482</v>
      </c>
      <c r="H3961" s="2">
        <f>25</f>
        <v>25</v>
      </c>
      <c r="I3961" t="s">
        <v>27</v>
      </c>
      <c r="J3961" t="s">
        <v>157</v>
      </c>
      <c r="K3961" t="str">
        <f>"522216"</f>
        <v>522216</v>
      </c>
    </row>
    <row r="3962" spans="1:11" x14ac:dyDescent="0.25">
      <c r="A3962">
        <v>2023</v>
      </c>
      <c r="B3962" t="s">
        <v>4973</v>
      </c>
      <c r="C3962" t="s">
        <v>4974</v>
      </c>
      <c r="D3962" t="s">
        <v>19</v>
      </c>
      <c r="E3962" t="s">
        <v>20</v>
      </c>
      <c r="F3962" t="str">
        <f t="shared" ref="F3962:F3967" si="136">"43612"</f>
        <v>43612</v>
      </c>
      <c r="G3962" t="str">
        <f t="shared" si="135"/>
        <v>632482</v>
      </c>
      <c r="H3962" s="2">
        <f>12.5</f>
        <v>12.5</v>
      </c>
      <c r="I3962" t="s">
        <v>27</v>
      </c>
      <c r="J3962" t="s">
        <v>157</v>
      </c>
      <c r="K3962" t="str">
        <f>"522118"</f>
        <v>522118</v>
      </c>
    </row>
    <row r="3963" spans="1:11" x14ac:dyDescent="0.25">
      <c r="A3963">
        <v>2023</v>
      </c>
      <c r="B3963" t="s">
        <v>4973</v>
      </c>
      <c r="C3963" t="s">
        <v>4974</v>
      </c>
      <c r="D3963" t="s">
        <v>19</v>
      </c>
      <c r="E3963" t="s">
        <v>20</v>
      </c>
      <c r="F3963" t="str">
        <f t="shared" si="136"/>
        <v>43612</v>
      </c>
      <c r="G3963" t="str">
        <f t="shared" si="135"/>
        <v>632482</v>
      </c>
      <c r="H3963" s="2">
        <f>12.5</f>
        <v>12.5</v>
      </c>
      <c r="I3963" t="s">
        <v>27</v>
      </c>
      <c r="J3963" t="s">
        <v>157</v>
      </c>
      <c r="K3963" t="str">
        <f>"522827"</f>
        <v>522827</v>
      </c>
    </row>
    <row r="3964" spans="1:11" x14ac:dyDescent="0.25">
      <c r="A3964">
        <v>2023</v>
      </c>
      <c r="B3964" t="s">
        <v>4973</v>
      </c>
      <c r="C3964" t="s">
        <v>4974</v>
      </c>
      <c r="D3964" t="s">
        <v>19</v>
      </c>
      <c r="E3964" t="s">
        <v>20</v>
      </c>
      <c r="F3964" t="str">
        <f t="shared" si="136"/>
        <v>43612</v>
      </c>
      <c r="G3964" t="str">
        <f t="shared" si="135"/>
        <v>632482</v>
      </c>
      <c r="H3964" s="2">
        <f>25</f>
        <v>25</v>
      </c>
      <c r="I3964" t="s">
        <v>27</v>
      </c>
      <c r="J3964" t="s">
        <v>157</v>
      </c>
      <c r="K3964" t="str">
        <f>"521164"</f>
        <v>521164</v>
      </c>
    </row>
    <row r="3965" spans="1:11" x14ac:dyDescent="0.25">
      <c r="A3965">
        <v>2023</v>
      </c>
      <c r="B3965" t="s">
        <v>4973</v>
      </c>
      <c r="C3965" t="s">
        <v>4974</v>
      </c>
      <c r="D3965" t="s">
        <v>19</v>
      </c>
      <c r="E3965" t="s">
        <v>20</v>
      </c>
      <c r="F3965" t="str">
        <f t="shared" si="136"/>
        <v>43612</v>
      </c>
      <c r="G3965" t="str">
        <f t="shared" si="135"/>
        <v>632482</v>
      </c>
      <c r="H3965" s="2">
        <f>20</f>
        <v>20</v>
      </c>
      <c r="I3965" t="s">
        <v>27</v>
      </c>
      <c r="J3965" t="s">
        <v>157</v>
      </c>
      <c r="K3965" t="str">
        <f>"521397"</f>
        <v>521397</v>
      </c>
    </row>
    <row r="3966" spans="1:11" x14ac:dyDescent="0.25">
      <c r="A3966">
        <v>2023</v>
      </c>
      <c r="B3966" t="s">
        <v>4973</v>
      </c>
      <c r="C3966" t="s">
        <v>4974</v>
      </c>
      <c r="D3966" t="s">
        <v>19</v>
      </c>
      <c r="E3966" t="s">
        <v>20</v>
      </c>
      <c r="F3966" t="str">
        <f t="shared" si="136"/>
        <v>43612</v>
      </c>
      <c r="G3966" t="str">
        <f t="shared" si="135"/>
        <v>632482</v>
      </c>
      <c r="H3966" s="2">
        <f>25</f>
        <v>25</v>
      </c>
      <c r="I3966" t="s">
        <v>27</v>
      </c>
      <c r="J3966" t="s">
        <v>157</v>
      </c>
      <c r="K3966" t="str">
        <f>"520675"</f>
        <v>520675</v>
      </c>
    </row>
    <row r="3967" spans="1:11" x14ac:dyDescent="0.25">
      <c r="A3967">
        <v>2023</v>
      </c>
      <c r="B3967" t="s">
        <v>4973</v>
      </c>
      <c r="C3967" t="s">
        <v>4974</v>
      </c>
      <c r="D3967" t="s">
        <v>19</v>
      </c>
      <c r="E3967" t="s">
        <v>20</v>
      </c>
      <c r="F3967" t="str">
        <f t="shared" si="136"/>
        <v>43612</v>
      </c>
      <c r="G3967" t="str">
        <f t="shared" si="135"/>
        <v>632482</v>
      </c>
      <c r="H3967" s="2">
        <f>12.5</f>
        <v>12.5</v>
      </c>
      <c r="I3967" t="s">
        <v>27</v>
      </c>
      <c r="J3967" t="s">
        <v>157</v>
      </c>
      <c r="K3967" t="str">
        <f>"521733"</f>
        <v>521733</v>
      </c>
    </row>
    <row r="3968" spans="1:11" x14ac:dyDescent="0.25">
      <c r="A3968">
        <v>2023</v>
      </c>
      <c r="B3968" t="s">
        <v>4995</v>
      </c>
      <c r="C3968" t="s">
        <v>4996</v>
      </c>
      <c r="D3968" t="s">
        <v>19</v>
      </c>
      <c r="E3968" t="s">
        <v>20</v>
      </c>
      <c r="F3968" t="str">
        <f>"43609"</f>
        <v>43609</v>
      </c>
      <c r="G3968" t="str">
        <f>"Je12142023"</f>
        <v>Je12142023</v>
      </c>
      <c r="H3968" s="2">
        <f>35</f>
        <v>35</v>
      </c>
      <c r="I3968" t="s">
        <v>15</v>
      </c>
      <c r="J3968" t="s">
        <v>176</v>
      </c>
      <c r="K3968" t="str">
        <f>"60103871"</f>
        <v>60103871</v>
      </c>
    </row>
    <row r="3969" spans="1:11" x14ac:dyDescent="0.25">
      <c r="A3969">
        <v>2023</v>
      </c>
      <c r="B3969" t="s">
        <v>5000</v>
      </c>
      <c r="C3969" t="s">
        <v>5001</v>
      </c>
      <c r="D3969" t="s">
        <v>5002</v>
      </c>
      <c r="E3969" t="s">
        <v>20</v>
      </c>
      <c r="F3969" t="str">
        <f>"43106"</f>
        <v>43106</v>
      </c>
      <c r="G3969" t="str">
        <f>"632482"</f>
        <v>632482</v>
      </c>
      <c r="H3969" s="2">
        <f>17.19</f>
        <v>17.190000000000001</v>
      </c>
      <c r="I3969" t="s">
        <v>27</v>
      </c>
      <c r="J3969" t="s">
        <v>157</v>
      </c>
      <c r="K3969" t="str">
        <f>"522011"</f>
        <v>522011</v>
      </c>
    </row>
    <row r="3970" spans="1:11" x14ac:dyDescent="0.25">
      <c r="A3970">
        <v>2023</v>
      </c>
      <c r="B3970" t="s">
        <v>5007</v>
      </c>
      <c r="C3970" t="s">
        <v>2886</v>
      </c>
      <c r="D3970" t="s">
        <v>19</v>
      </c>
      <c r="E3970" t="s">
        <v>20</v>
      </c>
      <c r="F3970" t="str">
        <f>"43607"</f>
        <v>43607</v>
      </c>
      <c r="G3970" t="str">
        <f>"Je012023"</f>
        <v>Je012023</v>
      </c>
      <c r="H3970" s="2">
        <f>15</f>
        <v>15</v>
      </c>
      <c r="I3970" t="s">
        <v>15</v>
      </c>
      <c r="J3970" t="s">
        <v>397</v>
      </c>
      <c r="K3970" t="str">
        <f>"60064126"</f>
        <v>60064126</v>
      </c>
    </row>
    <row r="3971" spans="1:11" x14ac:dyDescent="0.25">
      <c r="A3971">
        <v>2023</v>
      </c>
      <c r="B3971" t="s">
        <v>5008</v>
      </c>
      <c r="C3971" t="s">
        <v>5009</v>
      </c>
      <c r="D3971" t="s">
        <v>19</v>
      </c>
      <c r="E3971" t="s">
        <v>20</v>
      </c>
      <c r="F3971" t="str">
        <f>"43608"</f>
        <v>43608</v>
      </c>
      <c r="G3971" t="str">
        <f>"Je012023"</f>
        <v>Je012023</v>
      </c>
      <c r="H3971" s="2">
        <f>150</f>
        <v>150</v>
      </c>
      <c r="I3971" t="s">
        <v>15</v>
      </c>
      <c r="J3971" t="s">
        <v>397</v>
      </c>
      <c r="K3971" t="str">
        <f>"60064723"</f>
        <v>60064723</v>
      </c>
    </row>
    <row r="3972" spans="1:11" x14ac:dyDescent="0.25">
      <c r="A3972">
        <v>2023</v>
      </c>
      <c r="B3972" t="s">
        <v>5010</v>
      </c>
      <c r="C3972" t="s">
        <v>5011</v>
      </c>
      <c r="D3972" t="s">
        <v>19</v>
      </c>
      <c r="E3972" t="s">
        <v>20</v>
      </c>
      <c r="F3972" t="str">
        <f>"43604"</f>
        <v>43604</v>
      </c>
      <c r="G3972" t="str">
        <f>"632483"</f>
        <v>632483</v>
      </c>
      <c r="H3972" s="2">
        <f>125</f>
        <v>125</v>
      </c>
      <c r="I3972" t="s">
        <v>27</v>
      </c>
      <c r="J3972" t="s">
        <v>108</v>
      </c>
      <c r="K3972" t="str">
        <f>"39294"</f>
        <v>39294</v>
      </c>
    </row>
    <row r="3973" spans="1:11" x14ac:dyDescent="0.25">
      <c r="A3973">
        <v>2023</v>
      </c>
      <c r="B3973" t="s">
        <v>5016</v>
      </c>
      <c r="C3973" t="s">
        <v>5017</v>
      </c>
      <c r="D3973" t="s">
        <v>19</v>
      </c>
      <c r="E3973" t="s">
        <v>20</v>
      </c>
      <c r="F3973" t="str">
        <f>"43615"</f>
        <v>43615</v>
      </c>
      <c r="G3973" t="str">
        <f>"632482"</f>
        <v>632482</v>
      </c>
      <c r="H3973" s="2">
        <f>25</f>
        <v>25</v>
      </c>
      <c r="I3973" t="s">
        <v>27</v>
      </c>
      <c r="J3973" t="s">
        <v>157</v>
      </c>
      <c r="K3973" t="str">
        <f>"522213"</f>
        <v>522213</v>
      </c>
    </row>
    <row r="3974" spans="1:11" x14ac:dyDescent="0.25">
      <c r="A3974">
        <v>2023</v>
      </c>
      <c r="B3974" t="s">
        <v>5018</v>
      </c>
      <c r="C3974" t="s">
        <v>5019</v>
      </c>
      <c r="D3974" t="s">
        <v>125</v>
      </c>
      <c r="E3974" t="s">
        <v>20</v>
      </c>
      <c r="F3974" t="str">
        <f>"43537-2981"</f>
        <v>43537-2981</v>
      </c>
      <c r="G3974" t="str">
        <f>"637573"</f>
        <v>637573</v>
      </c>
      <c r="H3974" s="2">
        <f>10</f>
        <v>10</v>
      </c>
      <c r="I3974" t="s">
        <v>27</v>
      </c>
      <c r="J3974" t="s">
        <v>61</v>
      </c>
      <c r="K3974" t="str">
        <f>"118918"</f>
        <v>118918</v>
      </c>
    </row>
    <row r="3975" spans="1:11" x14ac:dyDescent="0.25">
      <c r="A3975">
        <v>2023</v>
      </c>
      <c r="B3975" t="s">
        <v>5036</v>
      </c>
      <c r="C3975" t="s">
        <v>5037</v>
      </c>
      <c r="D3975" t="s">
        <v>19</v>
      </c>
      <c r="E3975" t="s">
        <v>20</v>
      </c>
      <c r="F3975" t="str">
        <f>"43607"</f>
        <v>43607</v>
      </c>
      <c r="G3975" t="str">
        <f>"Je12142023"</f>
        <v>Je12142023</v>
      </c>
      <c r="H3975" s="2">
        <f>35</f>
        <v>35</v>
      </c>
      <c r="I3975" t="s">
        <v>15</v>
      </c>
      <c r="J3975" t="s">
        <v>176</v>
      </c>
      <c r="K3975" t="str">
        <f>"60103884"</f>
        <v>60103884</v>
      </c>
    </row>
    <row r="3976" spans="1:11" x14ac:dyDescent="0.25">
      <c r="A3976">
        <v>2023</v>
      </c>
      <c r="B3976" t="s">
        <v>5038</v>
      </c>
      <c r="C3976" t="s">
        <v>5039</v>
      </c>
      <c r="D3976" t="s">
        <v>19</v>
      </c>
      <c r="E3976" t="s">
        <v>20</v>
      </c>
      <c r="F3976" t="str">
        <f>"43604"</f>
        <v>43604</v>
      </c>
      <c r="G3976" t="str">
        <f>"632482"</f>
        <v>632482</v>
      </c>
      <c r="H3976" s="2">
        <f>17.19</f>
        <v>17.190000000000001</v>
      </c>
      <c r="I3976" t="s">
        <v>27</v>
      </c>
      <c r="J3976" t="s">
        <v>157</v>
      </c>
      <c r="K3976" t="str">
        <f>"522017"</f>
        <v>522017</v>
      </c>
    </row>
    <row r="3977" spans="1:11" x14ac:dyDescent="0.25">
      <c r="A3977">
        <v>2023</v>
      </c>
      <c r="B3977" t="s">
        <v>5045</v>
      </c>
      <c r="C3977" t="s">
        <v>5046</v>
      </c>
      <c r="D3977" t="s">
        <v>5047</v>
      </c>
      <c r="E3977" t="s">
        <v>923</v>
      </c>
      <c r="F3977" t="str">
        <f>"92612"</f>
        <v>92612</v>
      </c>
      <c r="G3977" t="str">
        <f>"632514"</f>
        <v>632514</v>
      </c>
      <c r="H3977" s="2">
        <f>35.21</f>
        <v>35.21</v>
      </c>
      <c r="I3977" t="s">
        <v>27</v>
      </c>
      <c r="J3977" t="s">
        <v>195</v>
      </c>
      <c r="K3977" t="str">
        <f>"33011867"</f>
        <v>33011867</v>
      </c>
    </row>
    <row r="3978" spans="1:11" x14ac:dyDescent="0.25">
      <c r="A3978">
        <v>2023</v>
      </c>
      <c r="B3978" t="s">
        <v>5084</v>
      </c>
      <c r="C3978" t="s">
        <v>5085</v>
      </c>
      <c r="D3978" t="s">
        <v>19</v>
      </c>
      <c r="E3978" t="s">
        <v>20</v>
      </c>
      <c r="F3978" t="str">
        <f>"43613"</f>
        <v>43613</v>
      </c>
      <c r="G3978" t="str">
        <f>"632482"</f>
        <v>632482</v>
      </c>
      <c r="H3978" s="2">
        <f>100</f>
        <v>100</v>
      </c>
      <c r="I3978" t="s">
        <v>27</v>
      </c>
      <c r="J3978" t="s">
        <v>157</v>
      </c>
      <c r="K3978" t="str">
        <f>"523054"</f>
        <v>523054</v>
      </c>
    </row>
    <row r="3979" spans="1:11" x14ac:dyDescent="0.25">
      <c r="A3979">
        <v>2023</v>
      </c>
      <c r="B3979" t="s">
        <v>5099</v>
      </c>
      <c r="C3979" t="s">
        <v>5100</v>
      </c>
      <c r="D3979" t="s">
        <v>50</v>
      </c>
      <c r="E3979" t="s">
        <v>20</v>
      </c>
      <c r="F3979" t="str">
        <f>"43560"</f>
        <v>43560</v>
      </c>
      <c r="G3979" t="str">
        <f>"Je12142023"</f>
        <v>Je12142023</v>
      </c>
      <c r="H3979" s="2">
        <f>200</f>
        <v>200</v>
      </c>
      <c r="I3979" t="s">
        <v>15</v>
      </c>
      <c r="J3979" t="s">
        <v>176</v>
      </c>
      <c r="K3979" t="str">
        <f>"60101370"</f>
        <v>60101370</v>
      </c>
    </row>
    <row r="3980" spans="1:11" x14ac:dyDescent="0.25">
      <c r="A3980">
        <v>2023</v>
      </c>
      <c r="B3980" t="s">
        <v>5115</v>
      </c>
      <c r="C3980" t="s">
        <v>5116</v>
      </c>
      <c r="D3980" t="s">
        <v>19</v>
      </c>
      <c r="E3980" t="s">
        <v>20</v>
      </c>
      <c r="F3980" t="str">
        <f>"43607"</f>
        <v>43607</v>
      </c>
      <c r="G3980" t="str">
        <f>"Je12142023"</f>
        <v>Je12142023</v>
      </c>
      <c r="H3980" s="2">
        <f>50.14</f>
        <v>50.14</v>
      </c>
      <c r="I3980" t="s">
        <v>15</v>
      </c>
      <c r="J3980" t="s">
        <v>176</v>
      </c>
      <c r="K3980" t="str">
        <f>"60097188"</f>
        <v>60097188</v>
      </c>
    </row>
    <row r="3981" spans="1:11" x14ac:dyDescent="0.25">
      <c r="A3981">
        <v>2023</v>
      </c>
      <c r="B3981" t="s">
        <v>5122</v>
      </c>
      <c r="C3981" t="s">
        <v>5123</v>
      </c>
      <c r="D3981" t="s">
        <v>19</v>
      </c>
      <c r="E3981" t="s">
        <v>20</v>
      </c>
      <c r="F3981" t="str">
        <f>"43606-2741"</f>
        <v>43606-2741</v>
      </c>
      <c r="G3981" t="str">
        <f>"637573"</f>
        <v>637573</v>
      </c>
      <c r="H3981" s="2">
        <f>10</f>
        <v>10</v>
      </c>
      <c r="I3981" t="s">
        <v>27</v>
      </c>
      <c r="J3981" t="s">
        <v>61</v>
      </c>
      <c r="K3981" t="str">
        <f>"118758"</f>
        <v>118758</v>
      </c>
    </row>
    <row r="3982" spans="1:11" x14ac:dyDescent="0.25">
      <c r="A3982">
        <v>2023</v>
      </c>
      <c r="B3982" t="s">
        <v>5131</v>
      </c>
      <c r="C3982" t="s">
        <v>5132</v>
      </c>
      <c r="D3982" t="s">
        <v>19</v>
      </c>
      <c r="E3982" t="s">
        <v>20</v>
      </c>
      <c r="F3982" t="str">
        <f>"43605"</f>
        <v>43605</v>
      </c>
      <c r="G3982" t="str">
        <f>"632482"</f>
        <v>632482</v>
      </c>
      <c r="H3982" s="2">
        <f>12.5</f>
        <v>12.5</v>
      </c>
      <c r="I3982" t="s">
        <v>27</v>
      </c>
      <c r="J3982" t="s">
        <v>157</v>
      </c>
      <c r="K3982" t="str">
        <f>"521750"</f>
        <v>521750</v>
      </c>
    </row>
    <row r="3983" spans="1:11" x14ac:dyDescent="0.25">
      <c r="A3983">
        <v>2023</v>
      </c>
      <c r="B3983" t="s">
        <v>5131</v>
      </c>
      <c r="C3983" t="s">
        <v>5132</v>
      </c>
      <c r="D3983" t="s">
        <v>19</v>
      </c>
      <c r="E3983" t="s">
        <v>20</v>
      </c>
      <c r="F3983" t="str">
        <f>"43605"</f>
        <v>43605</v>
      </c>
      <c r="G3983" t="str">
        <f>"632482"</f>
        <v>632482</v>
      </c>
      <c r="H3983" s="2">
        <f>20</f>
        <v>20</v>
      </c>
      <c r="I3983" t="s">
        <v>27</v>
      </c>
      <c r="J3983" t="s">
        <v>157</v>
      </c>
      <c r="K3983" t="str">
        <f>"521642"</f>
        <v>521642</v>
      </c>
    </row>
    <row r="3984" spans="1:11" x14ac:dyDescent="0.25">
      <c r="A3984">
        <v>2023</v>
      </c>
      <c r="B3984" t="s">
        <v>5131</v>
      </c>
      <c r="C3984" t="s">
        <v>5132</v>
      </c>
      <c r="D3984" t="s">
        <v>19</v>
      </c>
      <c r="E3984" t="s">
        <v>20</v>
      </c>
      <c r="F3984" t="str">
        <f>"43605"</f>
        <v>43605</v>
      </c>
      <c r="G3984" t="str">
        <f>"632482"</f>
        <v>632482</v>
      </c>
      <c r="H3984" s="2">
        <f>20</f>
        <v>20</v>
      </c>
      <c r="I3984" t="s">
        <v>27</v>
      </c>
      <c r="J3984" t="s">
        <v>157</v>
      </c>
      <c r="K3984" t="str">
        <f>"521533"</f>
        <v>521533</v>
      </c>
    </row>
    <row r="3985" spans="1:11" x14ac:dyDescent="0.25">
      <c r="A3985">
        <v>2023</v>
      </c>
      <c r="B3985" t="s">
        <v>5131</v>
      </c>
      <c r="C3985" t="s">
        <v>5132</v>
      </c>
      <c r="D3985" t="s">
        <v>19</v>
      </c>
      <c r="E3985" t="s">
        <v>20</v>
      </c>
      <c r="F3985" t="str">
        <f>"43605"</f>
        <v>43605</v>
      </c>
      <c r="G3985" t="str">
        <f>"632482"</f>
        <v>632482</v>
      </c>
      <c r="H3985" s="2">
        <f>25</f>
        <v>25</v>
      </c>
      <c r="I3985" t="s">
        <v>27</v>
      </c>
      <c r="J3985" t="s">
        <v>157</v>
      </c>
      <c r="K3985" t="str">
        <f>"521410"</f>
        <v>521410</v>
      </c>
    </row>
    <row r="3986" spans="1:11" x14ac:dyDescent="0.25">
      <c r="A3986">
        <v>2023</v>
      </c>
      <c r="B3986" t="s">
        <v>5131</v>
      </c>
      <c r="C3986" t="s">
        <v>5132</v>
      </c>
      <c r="D3986" t="s">
        <v>19</v>
      </c>
      <c r="E3986" t="s">
        <v>20</v>
      </c>
      <c r="F3986" t="str">
        <f>"43605"</f>
        <v>43605</v>
      </c>
      <c r="G3986" t="str">
        <f>"632482"</f>
        <v>632482</v>
      </c>
      <c r="H3986" s="2">
        <f>25</f>
        <v>25</v>
      </c>
      <c r="I3986" t="s">
        <v>27</v>
      </c>
      <c r="J3986" t="s">
        <v>157</v>
      </c>
      <c r="K3986" t="str">
        <f>"522470"</f>
        <v>522470</v>
      </c>
    </row>
    <row r="3987" spans="1:11" x14ac:dyDescent="0.25">
      <c r="A3987">
        <v>2023</v>
      </c>
      <c r="B3987" t="s">
        <v>5137</v>
      </c>
      <c r="C3987" t="s">
        <v>5138</v>
      </c>
      <c r="D3987" t="s">
        <v>19</v>
      </c>
      <c r="E3987" t="s">
        <v>20</v>
      </c>
      <c r="F3987" t="str">
        <f>"43611"</f>
        <v>43611</v>
      </c>
      <c r="G3987" t="str">
        <f>"637573"</f>
        <v>637573</v>
      </c>
      <c r="H3987" s="2">
        <f>40</f>
        <v>40</v>
      </c>
      <c r="I3987" t="s">
        <v>27</v>
      </c>
      <c r="J3987" t="s">
        <v>61</v>
      </c>
      <c r="K3987" t="str">
        <f>"119270"</f>
        <v>119270</v>
      </c>
    </row>
    <row r="3988" spans="1:11" x14ac:dyDescent="0.25">
      <c r="A3988">
        <v>2023</v>
      </c>
      <c r="B3988" t="s">
        <v>5149</v>
      </c>
      <c r="C3988" t="s">
        <v>5150</v>
      </c>
      <c r="D3988" t="s">
        <v>19</v>
      </c>
      <c r="E3988" t="s">
        <v>20</v>
      </c>
      <c r="F3988" t="str">
        <f>"43615"</f>
        <v>43615</v>
      </c>
      <c r="G3988" t="str">
        <f>"632514"</f>
        <v>632514</v>
      </c>
      <c r="H3988" s="2">
        <f>5</f>
        <v>5</v>
      </c>
      <c r="I3988" t="s">
        <v>27</v>
      </c>
      <c r="J3988" t="s">
        <v>195</v>
      </c>
      <c r="K3988" t="str">
        <f>"33012134"</f>
        <v>33012134</v>
      </c>
    </row>
    <row r="3989" spans="1:11" x14ac:dyDescent="0.25">
      <c r="A3989">
        <v>2023</v>
      </c>
      <c r="B3989" t="s">
        <v>5159</v>
      </c>
      <c r="C3989" t="s">
        <v>5160</v>
      </c>
      <c r="D3989" t="s">
        <v>19</v>
      </c>
      <c r="E3989" t="s">
        <v>20</v>
      </c>
      <c r="F3989" t="str">
        <f>"43623-3752"</f>
        <v>43623-3752</v>
      </c>
      <c r="G3989" t="str">
        <f>"637573"</f>
        <v>637573</v>
      </c>
      <c r="H3989" s="2">
        <f>10</f>
        <v>10</v>
      </c>
      <c r="I3989" t="s">
        <v>27</v>
      </c>
      <c r="J3989" t="s">
        <v>61</v>
      </c>
      <c r="K3989" t="str">
        <f>"118632"</f>
        <v>118632</v>
      </c>
    </row>
    <row r="3990" spans="1:11" x14ac:dyDescent="0.25">
      <c r="A3990">
        <v>2023</v>
      </c>
      <c r="B3990" t="s">
        <v>5177</v>
      </c>
      <c r="C3990" t="s">
        <v>5178</v>
      </c>
      <c r="D3990" t="s">
        <v>19</v>
      </c>
      <c r="E3990" t="s">
        <v>20</v>
      </c>
      <c r="F3990" t="str">
        <f>"43613"</f>
        <v>43613</v>
      </c>
      <c r="G3990" t="str">
        <f>"632482"</f>
        <v>632482</v>
      </c>
      <c r="H3990" s="2">
        <f>25</f>
        <v>25</v>
      </c>
      <c r="I3990" t="s">
        <v>27</v>
      </c>
      <c r="J3990" t="s">
        <v>157</v>
      </c>
      <c r="K3990" t="str">
        <f>"522683"</f>
        <v>522683</v>
      </c>
    </row>
    <row r="3991" spans="1:11" x14ac:dyDescent="0.25">
      <c r="A3991">
        <v>2023</v>
      </c>
      <c r="B3991" t="s">
        <v>5177</v>
      </c>
      <c r="C3991" t="s">
        <v>5178</v>
      </c>
      <c r="D3991" t="s">
        <v>19</v>
      </c>
      <c r="E3991" t="s">
        <v>20</v>
      </c>
      <c r="F3991" t="str">
        <f>"43613"</f>
        <v>43613</v>
      </c>
      <c r="G3991" t="str">
        <f>"632482"</f>
        <v>632482</v>
      </c>
      <c r="H3991" s="2">
        <f>25</f>
        <v>25</v>
      </c>
      <c r="I3991" t="s">
        <v>27</v>
      </c>
      <c r="J3991" t="s">
        <v>157</v>
      </c>
      <c r="K3991" t="str">
        <f>"523065"</f>
        <v>523065</v>
      </c>
    </row>
    <row r="3992" spans="1:11" x14ac:dyDescent="0.25">
      <c r="A3992">
        <v>2023</v>
      </c>
      <c r="B3992" t="s">
        <v>5177</v>
      </c>
      <c r="C3992" t="s">
        <v>5178</v>
      </c>
      <c r="D3992" t="s">
        <v>19</v>
      </c>
      <c r="E3992" t="s">
        <v>20</v>
      </c>
      <c r="F3992" t="str">
        <f>"43613"</f>
        <v>43613</v>
      </c>
      <c r="G3992" t="str">
        <f>"632482"</f>
        <v>632482</v>
      </c>
      <c r="H3992" s="2">
        <f>25</f>
        <v>25</v>
      </c>
      <c r="I3992" t="s">
        <v>27</v>
      </c>
      <c r="J3992" t="s">
        <v>157</v>
      </c>
      <c r="K3992" t="str">
        <f>"522909"</f>
        <v>522909</v>
      </c>
    </row>
    <row r="3993" spans="1:11" x14ac:dyDescent="0.25">
      <c r="A3993">
        <v>2023</v>
      </c>
      <c r="B3993" t="s">
        <v>5193</v>
      </c>
      <c r="C3993" t="s">
        <v>5194</v>
      </c>
      <c r="D3993" t="s">
        <v>19</v>
      </c>
      <c r="E3993" t="s">
        <v>20</v>
      </c>
      <c r="F3993" t="str">
        <f>"43605-3149"</f>
        <v>43605-3149</v>
      </c>
      <c r="G3993" t="str">
        <f>"637573"</f>
        <v>637573</v>
      </c>
      <c r="H3993" s="2">
        <f>10</f>
        <v>10</v>
      </c>
      <c r="I3993" t="s">
        <v>27</v>
      </c>
      <c r="J3993" t="s">
        <v>61</v>
      </c>
      <c r="K3993" t="str">
        <f>"118643"</f>
        <v>118643</v>
      </c>
    </row>
    <row r="3994" spans="1:11" x14ac:dyDescent="0.25">
      <c r="A3994">
        <v>2023</v>
      </c>
      <c r="B3994" t="s">
        <v>5195</v>
      </c>
      <c r="C3994" t="s">
        <v>5196</v>
      </c>
      <c r="D3994" t="s">
        <v>50</v>
      </c>
      <c r="E3994" t="s">
        <v>20</v>
      </c>
      <c r="F3994" t="str">
        <f>"43560-3644"</f>
        <v>43560-3644</v>
      </c>
      <c r="G3994" t="str">
        <f>"637573"</f>
        <v>637573</v>
      </c>
      <c r="H3994" s="2">
        <f>30</f>
        <v>30</v>
      </c>
      <c r="I3994" t="s">
        <v>27</v>
      </c>
      <c r="J3994" t="s">
        <v>61</v>
      </c>
      <c r="K3994" t="str">
        <f>"120853"</f>
        <v>120853</v>
      </c>
    </row>
    <row r="3995" spans="1:11" x14ac:dyDescent="0.25">
      <c r="A3995">
        <v>2023</v>
      </c>
      <c r="B3995" t="s">
        <v>5195</v>
      </c>
      <c r="C3995" t="s">
        <v>5196</v>
      </c>
      <c r="D3995" t="s">
        <v>50</v>
      </c>
      <c r="E3995" t="s">
        <v>20</v>
      </c>
      <c r="F3995" t="str">
        <f>"43560-3644"</f>
        <v>43560-3644</v>
      </c>
      <c r="G3995" t="str">
        <f>"637573"</f>
        <v>637573</v>
      </c>
      <c r="H3995" s="2">
        <f>30</f>
        <v>30</v>
      </c>
      <c r="I3995" t="s">
        <v>27</v>
      </c>
      <c r="J3995" t="s">
        <v>61</v>
      </c>
      <c r="K3995" t="str">
        <f>"120790"</f>
        <v>120790</v>
      </c>
    </row>
    <row r="3996" spans="1:11" x14ac:dyDescent="0.25">
      <c r="A3996">
        <v>2023</v>
      </c>
      <c r="B3996" t="s">
        <v>5203</v>
      </c>
      <c r="C3996" t="s">
        <v>5204</v>
      </c>
      <c r="D3996" t="s">
        <v>19</v>
      </c>
      <c r="E3996" t="s">
        <v>20</v>
      </c>
      <c r="F3996" t="str">
        <f>"43613"</f>
        <v>43613</v>
      </c>
      <c r="G3996" t="str">
        <f>"Je12142023"</f>
        <v>Je12142023</v>
      </c>
      <c r="H3996" s="2">
        <f>32</f>
        <v>32</v>
      </c>
      <c r="I3996" t="s">
        <v>15</v>
      </c>
      <c r="J3996" t="s">
        <v>176</v>
      </c>
      <c r="K3996" t="str">
        <f>"60095808"</f>
        <v>60095808</v>
      </c>
    </row>
    <row r="3997" spans="1:11" x14ac:dyDescent="0.25">
      <c r="A3997">
        <v>2023</v>
      </c>
      <c r="B3997" t="s">
        <v>5221</v>
      </c>
      <c r="C3997" t="s">
        <v>5222</v>
      </c>
      <c r="D3997" t="s">
        <v>58</v>
      </c>
      <c r="E3997" t="s">
        <v>20</v>
      </c>
      <c r="F3997" t="str">
        <f>"43616-5893"</f>
        <v>43616-5893</v>
      </c>
      <c r="G3997" t="str">
        <f>"637573"</f>
        <v>637573</v>
      </c>
      <c r="H3997" s="2">
        <f>10</f>
        <v>10</v>
      </c>
      <c r="I3997" t="s">
        <v>27</v>
      </c>
      <c r="J3997" t="s">
        <v>61</v>
      </c>
      <c r="K3997" t="str">
        <f>"120749"</f>
        <v>120749</v>
      </c>
    </row>
    <row r="3998" spans="1:11" x14ac:dyDescent="0.25">
      <c r="A3998">
        <v>2023</v>
      </c>
      <c r="B3998" t="s">
        <v>5239</v>
      </c>
      <c r="C3998" t="s">
        <v>5240</v>
      </c>
      <c r="D3998" t="s">
        <v>19</v>
      </c>
      <c r="E3998" t="s">
        <v>20</v>
      </c>
      <c r="F3998" t="str">
        <f>"43606-1823"</f>
        <v>43606-1823</v>
      </c>
      <c r="G3998" t="str">
        <f>"637573"</f>
        <v>637573</v>
      </c>
      <c r="H3998" s="2">
        <f>10</f>
        <v>10</v>
      </c>
      <c r="I3998" t="s">
        <v>27</v>
      </c>
      <c r="J3998" t="s">
        <v>61</v>
      </c>
      <c r="K3998" t="str">
        <f>"119766"</f>
        <v>119766</v>
      </c>
    </row>
    <row r="3999" spans="1:11" x14ac:dyDescent="0.25">
      <c r="A3999">
        <v>2023</v>
      </c>
      <c r="B3999" t="s">
        <v>5276</v>
      </c>
      <c r="C3999" t="s">
        <v>5277</v>
      </c>
      <c r="D3999" t="s">
        <v>19</v>
      </c>
      <c r="E3999" t="s">
        <v>20</v>
      </c>
      <c r="F3999" t="str">
        <f>"43605"</f>
        <v>43605</v>
      </c>
      <c r="G3999" t="str">
        <f>"589332"</f>
        <v>589332</v>
      </c>
      <c r="H3999" s="2">
        <f>70</f>
        <v>70</v>
      </c>
      <c r="I3999" t="s">
        <v>519</v>
      </c>
      <c r="J3999" t="s">
        <v>519</v>
      </c>
      <c r="K3999" t="str">
        <f>"15928"</f>
        <v>15928</v>
      </c>
    </row>
    <row r="4000" spans="1:11" x14ac:dyDescent="0.25">
      <c r="A4000">
        <v>2023</v>
      </c>
      <c r="B4000" t="s">
        <v>5280</v>
      </c>
      <c r="C4000" t="s">
        <v>5281</v>
      </c>
      <c r="D4000" t="s">
        <v>105</v>
      </c>
      <c r="E4000" t="s">
        <v>20</v>
      </c>
      <c r="F4000" t="str">
        <f>"43528-8305"</f>
        <v>43528-8305</v>
      </c>
      <c r="G4000" t="str">
        <f>"637573"</f>
        <v>637573</v>
      </c>
      <c r="H4000" s="2">
        <f>60</f>
        <v>60</v>
      </c>
      <c r="I4000" t="s">
        <v>27</v>
      </c>
      <c r="J4000" t="s">
        <v>61</v>
      </c>
      <c r="K4000" t="str">
        <f>"120550"</f>
        <v>120550</v>
      </c>
    </row>
    <row r="4001" spans="1:11" x14ac:dyDescent="0.25">
      <c r="A4001">
        <v>2023</v>
      </c>
      <c r="B4001" t="s">
        <v>5282</v>
      </c>
      <c r="C4001" t="s">
        <v>5121</v>
      </c>
      <c r="D4001" t="s">
        <v>19</v>
      </c>
      <c r="E4001" t="s">
        <v>20</v>
      </c>
      <c r="F4001" t="str">
        <f>"43604"</f>
        <v>43604</v>
      </c>
      <c r="G4001" t="str">
        <f>"632483"</f>
        <v>632483</v>
      </c>
      <c r="H4001" s="2">
        <f>4.1</f>
        <v>4.0999999999999996</v>
      </c>
      <c r="I4001" t="s">
        <v>27</v>
      </c>
      <c r="J4001" t="s">
        <v>108</v>
      </c>
      <c r="K4001" t="str">
        <f>"39112"</f>
        <v>39112</v>
      </c>
    </row>
    <row r="4002" spans="1:11" x14ac:dyDescent="0.25">
      <c r="A4002">
        <v>2023</v>
      </c>
      <c r="B4002" t="s">
        <v>5292</v>
      </c>
      <c r="C4002" t="s">
        <v>5293</v>
      </c>
      <c r="D4002" t="s">
        <v>164</v>
      </c>
      <c r="E4002" t="s">
        <v>20</v>
      </c>
      <c r="F4002" t="str">
        <f>"43558-9405"</f>
        <v>43558-9405</v>
      </c>
      <c r="G4002" t="str">
        <f>"637573"</f>
        <v>637573</v>
      </c>
      <c r="H4002" s="2">
        <f>40</f>
        <v>40</v>
      </c>
      <c r="I4002" t="s">
        <v>27</v>
      </c>
      <c r="J4002" t="s">
        <v>61</v>
      </c>
      <c r="K4002" t="str">
        <f>"119842"</f>
        <v>119842</v>
      </c>
    </row>
    <row r="4003" spans="1:11" x14ac:dyDescent="0.25">
      <c r="A4003">
        <v>2023</v>
      </c>
      <c r="B4003" t="s">
        <v>5292</v>
      </c>
      <c r="C4003" t="s">
        <v>5293</v>
      </c>
      <c r="D4003" t="s">
        <v>164</v>
      </c>
      <c r="E4003" t="s">
        <v>20</v>
      </c>
      <c r="F4003" t="str">
        <f>"43558-9405"</f>
        <v>43558-9405</v>
      </c>
      <c r="G4003" t="str">
        <f>"637573"</f>
        <v>637573</v>
      </c>
      <c r="H4003" s="2">
        <f>30</f>
        <v>30</v>
      </c>
      <c r="I4003" t="s">
        <v>27</v>
      </c>
      <c r="J4003" t="s">
        <v>61</v>
      </c>
      <c r="K4003" t="str">
        <f>"119684"</f>
        <v>119684</v>
      </c>
    </row>
    <row r="4004" spans="1:11" x14ac:dyDescent="0.25">
      <c r="A4004">
        <v>2023</v>
      </c>
      <c r="B4004" t="s">
        <v>5314</v>
      </c>
      <c r="C4004" t="s">
        <v>5315</v>
      </c>
      <c r="D4004" t="s">
        <v>5316</v>
      </c>
      <c r="E4004" t="s">
        <v>14</v>
      </c>
      <c r="F4004" t="str">
        <f>"48823"</f>
        <v>48823</v>
      </c>
      <c r="G4004" t="str">
        <f>"Je04112023"</f>
        <v>Je04112023</v>
      </c>
      <c r="H4004" s="2">
        <f>61.18</f>
        <v>61.18</v>
      </c>
      <c r="I4004" t="s">
        <v>15</v>
      </c>
      <c r="J4004" t="s">
        <v>412</v>
      </c>
      <c r="K4004" t="str">
        <f>"60071719"</f>
        <v>60071719</v>
      </c>
    </row>
    <row r="4005" spans="1:11" x14ac:dyDescent="0.25">
      <c r="A4005">
        <v>2023</v>
      </c>
      <c r="B4005" t="s">
        <v>5325</v>
      </c>
      <c r="C4005" t="s">
        <v>5326</v>
      </c>
      <c r="D4005" t="s">
        <v>19</v>
      </c>
      <c r="E4005" t="s">
        <v>20</v>
      </c>
      <c r="F4005" t="str">
        <f>"43611-1924"</f>
        <v>43611-1924</v>
      </c>
      <c r="G4005" t="str">
        <f>"637573"</f>
        <v>637573</v>
      </c>
      <c r="H4005" s="2">
        <f>20</f>
        <v>20</v>
      </c>
      <c r="I4005" t="s">
        <v>27</v>
      </c>
      <c r="J4005" t="s">
        <v>61</v>
      </c>
      <c r="K4005" t="str">
        <f>"119193"</f>
        <v>119193</v>
      </c>
    </row>
    <row r="4006" spans="1:11" x14ac:dyDescent="0.25">
      <c r="A4006">
        <v>2023</v>
      </c>
      <c r="B4006" t="s">
        <v>5353</v>
      </c>
      <c r="C4006" t="s">
        <v>5354</v>
      </c>
      <c r="D4006" t="s">
        <v>50</v>
      </c>
      <c r="E4006" t="s">
        <v>20</v>
      </c>
      <c r="F4006" t="str">
        <f>"43560-0853"</f>
        <v>43560-0853</v>
      </c>
      <c r="G4006" t="str">
        <f>"637573"</f>
        <v>637573</v>
      </c>
      <c r="H4006" s="2">
        <f>20</f>
        <v>20</v>
      </c>
      <c r="I4006" t="s">
        <v>27</v>
      </c>
      <c r="J4006" t="s">
        <v>61</v>
      </c>
      <c r="K4006" t="str">
        <f>"119924"</f>
        <v>119924</v>
      </c>
    </row>
    <row r="4007" spans="1:11" x14ac:dyDescent="0.25">
      <c r="A4007">
        <v>2023</v>
      </c>
      <c r="B4007" t="s">
        <v>5361</v>
      </c>
      <c r="C4007" t="s">
        <v>5362</v>
      </c>
      <c r="D4007" t="s">
        <v>58</v>
      </c>
      <c r="E4007" t="s">
        <v>20</v>
      </c>
      <c r="F4007" t="str">
        <f>"43616-2717"</f>
        <v>43616-2717</v>
      </c>
      <c r="G4007" t="str">
        <f>"637573"</f>
        <v>637573</v>
      </c>
      <c r="H4007" s="2">
        <f>20</f>
        <v>20</v>
      </c>
      <c r="I4007" t="s">
        <v>27</v>
      </c>
      <c r="J4007" t="s">
        <v>61</v>
      </c>
      <c r="K4007" t="str">
        <f>"119843"</f>
        <v>119843</v>
      </c>
    </row>
    <row r="4008" spans="1:11" x14ac:dyDescent="0.25">
      <c r="A4008">
        <v>2023</v>
      </c>
      <c r="B4008" t="s">
        <v>5369</v>
      </c>
      <c r="C4008" t="s">
        <v>5370</v>
      </c>
      <c r="D4008" t="s">
        <v>125</v>
      </c>
      <c r="E4008" t="s">
        <v>20</v>
      </c>
      <c r="F4008" t="str">
        <f>"43537-9426"</f>
        <v>43537-9426</v>
      </c>
      <c r="G4008" t="str">
        <f>"637573"</f>
        <v>637573</v>
      </c>
      <c r="H4008" s="2">
        <f>20</f>
        <v>20</v>
      </c>
      <c r="I4008" t="s">
        <v>27</v>
      </c>
      <c r="J4008" t="s">
        <v>61</v>
      </c>
      <c r="K4008" t="str">
        <f>"120680"</f>
        <v>120680</v>
      </c>
    </row>
    <row r="4009" spans="1:11" x14ac:dyDescent="0.25">
      <c r="A4009">
        <v>2023</v>
      </c>
      <c r="B4009" t="s">
        <v>5371</v>
      </c>
      <c r="C4009" t="s">
        <v>5372</v>
      </c>
      <c r="D4009" t="s">
        <v>19</v>
      </c>
      <c r="E4009" t="s">
        <v>20</v>
      </c>
      <c r="F4009" t="str">
        <f>"43612"</f>
        <v>43612</v>
      </c>
      <c r="G4009" t="str">
        <f>"Je12142023"</f>
        <v>Je12142023</v>
      </c>
      <c r="H4009" s="2">
        <f>197.4</f>
        <v>197.4</v>
      </c>
      <c r="I4009" t="s">
        <v>15</v>
      </c>
      <c r="J4009" t="s">
        <v>176</v>
      </c>
      <c r="K4009" t="str">
        <f>"60100077"</f>
        <v>60100077</v>
      </c>
    </row>
    <row r="4010" spans="1:11" x14ac:dyDescent="0.25">
      <c r="A4010">
        <v>2023</v>
      </c>
      <c r="B4010" t="s">
        <v>5373</v>
      </c>
      <c r="C4010" t="s">
        <v>5374</v>
      </c>
      <c r="D4010" t="s">
        <v>19</v>
      </c>
      <c r="E4010" t="s">
        <v>20</v>
      </c>
      <c r="F4010" t="str">
        <f>"43617-1373"</f>
        <v>43617-1373</v>
      </c>
      <c r="G4010" t="str">
        <f>"637573"</f>
        <v>637573</v>
      </c>
      <c r="H4010" s="2">
        <f>40</f>
        <v>40</v>
      </c>
      <c r="I4010" t="s">
        <v>27</v>
      </c>
      <c r="J4010" t="s">
        <v>61</v>
      </c>
      <c r="K4010" t="str">
        <f>"120299"</f>
        <v>120299</v>
      </c>
    </row>
    <row r="4011" spans="1:11" x14ac:dyDescent="0.25">
      <c r="A4011">
        <v>2023</v>
      </c>
      <c r="B4011" t="s">
        <v>5373</v>
      </c>
      <c r="C4011" t="s">
        <v>5374</v>
      </c>
      <c r="D4011" t="s">
        <v>19</v>
      </c>
      <c r="E4011" t="s">
        <v>20</v>
      </c>
      <c r="F4011" t="str">
        <f>"43617-1373"</f>
        <v>43617-1373</v>
      </c>
      <c r="G4011" t="str">
        <f>"637573"</f>
        <v>637573</v>
      </c>
      <c r="H4011" s="2">
        <f>40</f>
        <v>40</v>
      </c>
      <c r="I4011" t="s">
        <v>27</v>
      </c>
      <c r="J4011" t="s">
        <v>61</v>
      </c>
      <c r="K4011" t="str">
        <f>"120379"</f>
        <v>120379</v>
      </c>
    </row>
    <row r="4012" spans="1:11" x14ac:dyDescent="0.25">
      <c r="A4012">
        <v>2023</v>
      </c>
      <c r="B4012" t="s">
        <v>5377</v>
      </c>
      <c r="C4012" t="s">
        <v>5378</v>
      </c>
      <c r="D4012" t="s">
        <v>19</v>
      </c>
      <c r="E4012" t="s">
        <v>20</v>
      </c>
      <c r="F4012" t="str">
        <f>"43609-1527"</f>
        <v>43609-1527</v>
      </c>
      <c r="G4012" t="str">
        <f>"637573"</f>
        <v>637573</v>
      </c>
      <c r="H4012" s="2">
        <f>10</f>
        <v>10</v>
      </c>
      <c r="I4012" t="s">
        <v>27</v>
      </c>
      <c r="J4012" t="s">
        <v>61</v>
      </c>
      <c r="K4012" t="str">
        <f>"118827"</f>
        <v>118827</v>
      </c>
    </row>
    <row r="4013" spans="1:11" x14ac:dyDescent="0.25">
      <c r="A4013">
        <v>2023</v>
      </c>
      <c r="B4013" t="s">
        <v>5389</v>
      </c>
      <c r="C4013" t="s">
        <v>5390</v>
      </c>
      <c r="D4013" t="s">
        <v>105</v>
      </c>
      <c r="E4013" t="s">
        <v>20</v>
      </c>
      <c r="F4013" t="str">
        <f>"43528"</f>
        <v>43528</v>
      </c>
      <c r="G4013" t="str">
        <f>"Je012023"</f>
        <v>Je012023</v>
      </c>
      <c r="H4013" s="2">
        <f>150</f>
        <v>150</v>
      </c>
      <c r="I4013" t="s">
        <v>15</v>
      </c>
      <c r="J4013" t="s">
        <v>397</v>
      </c>
      <c r="K4013" t="str">
        <f>"60064748"</f>
        <v>60064748</v>
      </c>
    </row>
    <row r="4014" spans="1:11" x14ac:dyDescent="0.25">
      <c r="A4014">
        <v>2023</v>
      </c>
      <c r="B4014" t="s">
        <v>5395</v>
      </c>
      <c r="C4014" t="s">
        <v>5396</v>
      </c>
      <c r="D4014" t="s">
        <v>19</v>
      </c>
      <c r="E4014" t="s">
        <v>20</v>
      </c>
      <c r="F4014" t="str">
        <f>"43613-2712"</f>
        <v>43613-2712</v>
      </c>
      <c r="G4014" t="str">
        <f t="shared" ref="G4014:G4019" si="137">"637573"</f>
        <v>637573</v>
      </c>
      <c r="H4014" s="2">
        <f>10</f>
        <v>10</v>
      </c>
      <c r="I4014" t="s">
        <v>27</v>
      </c>
      <c r="J4014" t="s">
        <v>61</v>
      </c>
      <c r="K4014" t="str">
        <f>"119686"</f>
        <v>119686</v>
      </c>
    </row>
    <row r="4015" spans="1:11" x14ac:dyDescent="0.25">
      <c r="A4015">
        <v>2023</v>
      </c>
      <c r="B4015" t="s">
        <v>5397</v>
      </c>
      <c r="C4015" t="s">
        <v>5398</v>
      </c>
      <c r="D4015" t="s">
        <v>19</v>
      </c>
      <c r="E4015" t="s">
        <v>20</v>
      </c>
      <c r="F4015" t="str">
        <f>"43613-1232"</f>
        <v>43613-1232</v>
      </c>
      <c r="G4015" t="str">
        <f t="shared" si="137"/>
        <v>637573</v>
      </c>
      <c r="H4015" s="2">
        <f>10</f>
        <v>10</v>
      </c>
      <c r="I4015" t="s">
        <v>27</v>
      </c>
      <c r="J4015" t="s">
        <v>61</v>
      </c>
      <c r="K4015" t="str">
        <f>"118890"</f>
        <v>118890</v>
      </c>
    </row>
    <row r="4016" spans="1:11" x14ac:dyDescent="0.25">
      <c r="A4016">
        <v>2023</v>
      </c>
      <c r="B4016" t="s">
        <v>5399</v>
      </c>
      <c r="C4016" t="s">
        <v>5400</v>
      </c>
      <c r="D4016" t="s">
        <v>125</v>
      </c>
      <c r="E4016" t="s">
        <v>20</v>
      </c>
      <c r="F4016" t="str">
        <f>"43537-2611"</f>
        <v>43537-2611</v>
      </c>
      <c r="G4016" t="str">
        <f t="shared" si="137"/>
        <v>637573</v>
      </c>
      <c r="H4016" s="2">
        <f>10</f>
        <v>10</v>
      </c>
      <c r="I4016" t="s">
        <v>27</v>
      </c>
      <c r="J4016" t="s">
        <v>61</v>
      </c>
      <c r="K4016" t="str">
        <f>"120238"</f>
        <v>120238</v>
      </c>
    </row>
    <row r="4017" spans="1:11" x14ac:dyDescent="0.25">
      <c r="A4017">
        <v>2023</v>
      </c>
      <c r="B4017" t="s">
        <v>5425</v>
      </c>
      <c r="C4017" t="s">
        <v>5426</v>
      </c>
      <c r="D4017" t="s">
        <v>19</v>
      </c>
      <c r="E4017" t="s">
        <v>20</v>
      </c>
      <c r="F4017" t="str">
        <f>"43605-3751"</f>
        <v>43605-3751</v>
      </c>
      <c r="G4017" t="str">
        <f t="shared" si="137"/>
        <v>637573</v>
      </c>
      <c r="H4017" s="2">
        <f>10</f>
        <v>10</v>
      </c>
      <c r="I4017" t="s">
        <v>27</v>
      </c>
      <c r="J4017" t="s">
        <v>61</v>
      </c>
      <c r="K4017" t="str">
        <f>"120286"</f>
        <v>120286</v>
      </c>
    </row>
    <row r="4018" spans="1:11" x14ac:dyDescent="0.25">
      <c r="A4018">
        <v>2023</v>
      </c>
      <c r="B4018" t="s">
        <v>5427</v>
      </c>
      <c r="C4018" t="s">
        <v>5428</v>
      </c>
      <c r="D4018" t="s">
        <v>64</v>
      </c>
      <c r="E4018" t="s">
        <v>20</v>
      </c>
      <c r="F4018" t="str">
        <f>"43566-1126"</f>
        <v>43566-1126</v>
      </c>
      <c r="G4018" t="str">
        <f t="shared" si="137"/>
        <v>637573</v>
      </c>
      <c r="H4018" s="2">
        <f>10</f>
        <v>10</v>
      </c>
      <c r="I4018" t="s">
        <v>27</v>
      </c>
      <c r="J4018" t="s">
        <v>61</v>
      </c>
      <c r="K4018" t="str">
        <f>"119145"</f>
        <v>119145</v>
      </c>
    </row>
    <row r="4019" spans="1:11" x14ac:dyDescent="0.25">
      <c r="A4019">
        <v>2023</v>
      </c>
      <c r="B4019" t="s">
        <v>5429</v>
      </c>
      <c r="C4019" t="s">
        <v>5430</v>
      </c>
      <c r="D4019" t="s">
        <v>19</v>
      </c>
      <c r="E4019" t="s">
        <v>20</v>
      </c>
      <c r="F4019" t="str">
        <f>"43613-3301"</f>
        <v>43613-3301</v>
      </c>
      <c r="G4019" t="str">
        <f t="shared" si="137"/>
        <v>637573</v>
      </c>
      <c r="H4019" s="2">
        <f>60</f>
        <v>60</v>
      </c>
      <c r="I4019" t="s">
        <v>27</v>
      </c>
      <c r="J4019" t="s">
        <v>61</v>
      </c>
      <c r="K4019" t="str">
        <f>"120551"</f>
        <v>120551</v>
      </c>
    </row>
    <row r="4020" spans="1:11" x14ac:dyDescent="0.25">
      <c r="A4020">
        <v>2023</v>
      </c>
      <c r="B4020" t="s">
        <v>5439</v>
      </c>
      <c r="C4020" t="s">
        <v>5440</v>
      </c>
      <c r="D4020" t="s">
        <v>5441</v>
      </c>
      <c r="E4020" t="s">
        <v>20</v>
      </c>
      <c r="F4020" t="str">
        <f>"44001"</f>
        <v>44001</v>
      </c>
      <c r="G4020" t="str">
        <f>"632514"</f>
        <v>632514</v>
      </c>
      <c r="H4020" s="2">
        <f>4</f>
        <v>4</v>
      </c>
      <c r="I4020" t="s">
        <v>27</v>
      </c>
      <c r="J4020" t="s">
        <v>195</v>
      </c>
      <c r="K4020" t="str">
        <f>"11004124"</f>
        <v>11004124</v>
      </c>
    </row>
    <row r="4021" spans="1:11" x14ac:dyDescent="0.25">
      <c r="A4021">
        <v>2023</v>
      </c>
      <c r="B4021" t="s">
        <v>5456</v>
      </c>
      <c r="C4021" t="s">
        <v>5457</v>
      </c>
      <c r="D4021" t="s">
        <v>19</v>
      </c>
      <c r="E4021" t="s">
        <v>20</v>
      </c>
      <c r="F4021" t="str">
        <f>"43623-4149"</f>
        <v>43623-4149</v>
      </c>
      <c r="G4021" t="str">
        <f>"637573"</f>
        <v>637573</v>
      </c>
      <c r="H4021" s="2">
        <f>20</f>
        <v>20</v>
      </c>
      <c r="I4021" t="s">
        <v>27</v>
      </c>
      <c r="J4021" t="s">
        <v>61</v>
      </c>
      <c r="K4021" t="str">
        <f>"120092"</f>
        <v>120092</v>
      </c>
    </row>
    <row r="4022" spans="1:11" x14ac:dyDescent="0.25">
      <c r="A4022">
        <v>2023</v>
      </c>
      <c r="B4022" t="s">
        <v>5463</v>
      </c>
      <c r="C4022" t="s">
        <v>5464</v>
      </c>
      <c r="D4022" t="s">
        <v>5465</v>
      </c>
      <c r="E4022" t="s">
        <v>1341</v>
      </c>
      <c r="F4022" t="str">
        <f>"75024"</f>
        <v>75024</v>
      </c>
      <c r="G4022" t="str">
        <f>"632482"</f>
        <v>632482</v>
      </c>
      <c r="H4022" s="2">
        <f>75</f>
        <v>75</v>
      </c>
      <c r="I4022" t="s">
        <v>27</v>
      </c>
      <c r="J4022" t="s">
        <v>157</v>
      </c>
      <c r="K4022" t="str">
        <f>"522148"</f>
        <v>522148</v>
      </c>
    </row>
    <row r="4023" spans="1:11" x14ac:dyDescent="0.25">
      <c r="A4023">
        <v>2023</v>
      </c>
      <c r="B4023" t="s">
        <v>5463</v>
      </c>
      <c r="C4023" t="s">
        <v>5464</v>
      </c>
      <c r="D4023" t="s">
        <v>5465</v>
      </c>
      <c r="E4023" t="s">
        <v>1341</v>
      </c>
      <c r="F4023" t="str">
        <f>"75024"</f>
        <v>75024</v>
      </c>
      <c r="G4023" t="str">
        <f>"632482"</f>
        <v>632482</v>
      </c>
      <c r="H4023" s="2">
        <f>115</f>
        <v>115</v>
      </c>
      <c r="I4023" t="s">
        <v>27</v>
      </c>
      <c r="J4023" t="s">
        <v>157</v>
      </c>
      <c r="K4023" t="str">
        <f>"522405"</f>
        <v>522405</v>
      </c>
    </row>
    <row r="4024" spans="1:11" x14ac:dyDescent="0.25">
      <c r="A4024">
        <v>2023</v>
      </c>
      <c r="B4024" t="s">
        <v>5463</v>
      </c>
      <c r="C4024" t="s">
        <v>5464</v>
      </c>
      <c r="D4024" t="s">
        <v>5465</v>
      </c>
      <c r="E4024" t="s">
        <v>1341</v>
      </c>
      <c r="F4024" t="str">
        <f>"75024"</f>
        <v>75024</v>
      </c>
      <c r="G4024" t="str">
        <f>"632482"</f>
        <v>632482</v>
      </c>
      <c r="H4024" s="2">
        <f>50</f>
        <v>50</v>
      </c>
      <c r="I4024" t="s">
        <v>27</v>
      </c>
      <c r="J4024" t="s">
        <v>157</v>
      </c>
      <c r="K4024" t="str">
        <f>"520987"</f>
        <v>520987</v>
      </c>
    </row>
    <row r="4025" spans="1:11" x14ac:dyDescent="0.25">
      <c r="A4025">
        <v>2023</v>
      </c>
      <c r="B4025" t="s">
        <v>5463</v>
      </c>
      <c r="C4025" t="s">
        <v>5464</v>
      </c>
      <c r="D4025" t="s">
        <v>5465</v>
      </c>
      <c r="E4025" t="s">
        <v>1341</v>
      </c>
      <c r="F4025" t="str">
        <f>"75024"</f>
        <v>75024</v>
      </c>
      <c r="G4025" t="str">
        <f>"632482"</f>
        <v>632482</v>
      </c>
      <c r="H4025" s="2">
        <f>125</f>
        <v>125</v>
      </c>
      <c r="I4025" t="s">
        <v>27</v>
      </c>
      <c r="J4025" t="s">
        <v>157</v>
      </c>
      <c r="K4025" t="str">
        <f>"521872"</f>
        <v>521872</v>
      </c>
    </row>
    <row r="4026" spans="1:11" x14ac:dyDescent="0.25">
      <c r="A4026">
        <v>2023</v>
      </c>
      <c r="B4026" t="s">
        <v>5475</v>
      </c>
      <c r="C4026" t="s">
        <v>5476</v>
      </c>
      <c r="D4026" t="s">
        <v>19</v>
      </c>
      <c r="E4026" t="s">
        <v>20</v>
      </c>
      <c r="F4026" t="str">
        <f>"43609-1737"</f>
        <v>43609-1737</v>
      </c>
      <c r="G4026" t="str">
        <f>"637573"</f>
        <v>637573</v>
      </c>
      <c r="H4026" s="2">
        <f>40</f>
        <v>40</v>
      </c>
      <c r="I4026" t="s">
        <v>27</v>
      </c>
      <c r="J4026" t="s">
        <v>61</v>
      </c>
      <c r="K4026" t="str">
        <f>"119922"</f>
        <v>119922</v>
      </c>
    </row>
    <row r="4027" spans="1:11" x14ac:dyDescent="0.25">
      <c r="A4027">
        <v>2023</v>
      </c>
      <c r="B4027" t="s">
        <v>5479</v>
      </c>
      <c r="C4027" t="s">
        <v>5480</v>
      </c>
      <c r="D4027" t="s">
        <v>19</v>
      </c>
      <c r="E4027" t="s">
        <v>20</v>
      </c>
      <c r="F4027" t="str">
        <f>"43613"</f>
        <v>43613</v>
      </c>
      <c r="G4027" t="str">
        <f>"589300"</f>
        <v>589300</v>
      </c>
      <c r="H4027" s="2">
        <f>21.5</f>
        <v>21.5</v>
      </c>
      <c r="I4027" t="s">
        <v>148</v>
      </c>
      <c r="J4027" t="s">
        <v>5481</v>
      </c>
      <c r="K4027" t="str">
        <f>"26023"</f>
        <v>26023</v>
      </c>
    </row>
    <row r="4028" spans="1:11" x14ac:dyDescent="0.25">
      <c r="A4028">
        <v>2023</v>
      </c>
      <c r="B4028" t="s">
        <v>5505</v>
      </c>
      <c r="C4028" t="s">
        <v>5506</v>
      </c>
      <c r="D4028" t="s">
        <v>19</v>
      </c>
      <c r="E4028" t="s">
        <v>20</v>
      </c>
      <c r="F4028" t="str">
        <f>"43612-2534"</f>
        <v>43612-2534</v>
      </c>
      <c r="G4028" t="str">
        <f>"637573"</f>
        <v>637573</v>
      </c>
      <c r="H4028" s="2">
        <f>10</f>
        <v>10</v>
      </c>
      <c r="I4028" t="s">
        <v>27</v>
      </c>
      <c r="J4028" t="s">
        <v>61</v>
      </c>
      <c r="K4028" t="str">
        <f>"119507"</f>
        <v>119507</v>
      </c>
    </row>
    <row r="4029" spans="1:11" x14ac:dyDescent="0.25">
      <c r="A4029">
        <v>2023</v>
      </c>
      <c r="B4029" t="s">
        <v>5509</v>
      </c>
      <c r="C4029" t="s">
        <v>5510</v>
      </c>
      <c r="D4029" t="s">
        <v>19</v>
      </c>
      <c r="E4029" t="s">
        <v>20</v>
      </c>
      <c r="F4029" t="str">
        <f>"43613-1908"</f>
        <v>43613-1908</v>
      </c>
      <c r="G4029" t="str">
        <f>"637573"</f>
        <v>637573</v>
      </c>
      <c r="H4029" s="2">
        <f>10</f>
        <v>10</v>
      </c>
      <c r="I4029" t="s">
        <v>27</v>
      </c>
      <c r="J4029" t="s">
        <v>61</v>
      </c>
      <c r="K4029" t="str">
        <f>"120553"</f>
        <v>120553</v>
      </c>
    </row>
    <row r="4030" spans="1:11" x14ac:dyDescent="0.25">
      <c r="A4030">
        <v>2023</v>
      </c>
      <c r="B4030" t="s">
        <v>5517</v>
      </c>
      <c r="C4030" t="s">
        <v>5518</v>
      </c>
      <c r="D4030" t="s">
        <v>105</v>
      </c>
      <c r="E4030" t="s">
        <v>20</v>
      </c>
      <c r="F4030" t="str">
        <f>"43528-8669"</f>
        <v>43528-8669</v>
      </c>
      <c r="G4030" t="str">
        <f>"637573"</f>
        <v>637573</v>
      </c>
      <c r="H4030" s="2">
        <f>10</f>
        <v>10</v>
      </c>
      <c r="I4030" t="s">
        <v>27</v>
      </c>
      <c r="J4030" t="s">
        <v>61</v>
      </c>
      <c r="K4030" t="str">
        <f>"120992"</f>
        <v>120992</v>
      </c>
    </row>
    <row r="4031" spans="1:11" x14ac:dyDescent="0.25">
      <c r="A4031">
        <v>2023</v>
      </c>
      <c r="B4031" t="s">
        <v>5525</v>
      </c>
      <c r="C4031" t="s">
        <v>5526</v>
      </c>
      <c r="D4031" t="s">
        <v>19</v>
      </c>
      <c r="E4031" t="s">
        <v>20</v>
      </c>
      <c r="F4031" t="str">
        <f>"43614"</f>
        <v>43614</v>
      </c>
      <c r="G4031" t="str">
        <f>"Je10162023"</f>
        <v>Je10162023</v>
      </c>
      <c r="H4031" s="2">
        <f>83.06</f>
        <v>83.06</v>
      </c>
      <c r="I4031" t="s">
        <v>15</v>
      </c>
      <c r="J4031" t="s">
        <v>93</v>
      </c>
      <c r="K4031" t="str">
        <f>"60086824"</f>
        <v>60086824</v>
      </c>
    </row>
    <row r="4032" spans="1:11" x14ac:dyDescent="0.25">
      <c r="A4032">
        <v>2023</v>
      </c>
      <c r="B4032" t="s">
        <v>5545</v>
      </c>
      <c r="C4032" t="s">
        <v>5546</v>
      </c>
      <c r="D4032" t="s">
        <v>19</v>
      </c>
      <c r="E4032" t="s">
        <v>20</v>
      </c>
      <c r="F4032" t="str">
        <f>"43615-7022"</f>
        <v>43615-7022</v>
      </c>
      <c r="G4032" t="str">
        <f>"637573"</f>
        <v>637573</v>
      </c>
      <c r="H4032" s="2">
        <f>40</f>
        <v>40</v>
      </c>
      <c r="I4032" t="s">
        <v>27</v>
      </c>
      <c r="J4032" t="s">
        <v>61</v>
      </c>
      <c r="K4032" t="str">
        <f>"119116"</f>
        <v>119116</v>
      </c>
    </row>
    <row r="4033" spans="1:11" x14ac:dyDescent="0.25">
      <c r="A4033">
        <v>2023</v>
      </c>
      <c r="B4033" t="s">
        <v>5549</v>
      </c>
      <c r="C4033" t="s">
        <v>5550</v>
      </c>
      <c r="D4033" t="s">
        <v>19</v>
      </c>
      <c r="E4033" t="s">
        <v>20</v>
      </c>
      <c r="F4033" t="str">
        <f>"43615"</f>
        <v>43615</v>
      </c>
      <c r="G4033" t="str">
        <f>"632514"</f>
        <v>632514</v>
      </c>
      <c r="H4033" s="2">
        <f>4</f>
        <v>4</v>
      </c>
      <c r="I4033" t="s">
        <v>27</v>
      </c>
      <c r="J4033" t="s">
        <v>195</v>
      </c>
      <c r="K4033" t="str">
        <f>"22023678"</f>
        <v>22023678</v>
      </c>
    </row>
    <row r="4034" spans="1:11" x14ac:dyDescent="0.25">
      <c r="A4034">
        <v>2023</v>
      </c>
      <c r="B4034" t="s">
        <v>5555</v>
      </c>
      <c r="C4034" t="s">
        <v>5556</v>
      </c>
      <c r="D4034" t="s">
        <v>50</v>
      </c>
      <c r="E4034" t="s">
        <v>20</v>
      </c>
      <c r="F4034" t="str">
        <f>"43560-8997"</f>
        <v>43560-8997</v>
      </c>
      <c r="G4034" t="str">
        <f>"637573"</f>
        <v>637573</v>
      </c>
      <c r="H4034" s="2">
        <f>60</f>
        <v>60</v>
      </c>
      <c r="I4034" t="s">
        <v>27</v>
      </c>
      <c r="J4034" t="s">
        <v>61</v>
      </c>
      <c r="K4034" t="str">
        <f>"119508"</f>
        <v>119508</v>
      </c>
    </row>
    <row r="4035" spans="1:11" x14ac:dyDescent="0.25">
      <c r="A4035">
        <v>2023</v>
      </c>
      <c r="B4035" t="s">
        <v>5563</v>
      </c>
      <c r="C4035" t="s">
        <v>5564</v>
      </c>
      <c r="D4035" t="s">
        <v>19</v>
      </c>
      <c r="E4035" t="s">
        <v>20</v>
      </c>
      <c r="F4035" t="str">
        <f>"43609"</f>
        <v>43609</v>
      </c>
      <c r="G4035" t="str">
        <f>"Je12142023"</f>
        <v>Je12142023</v>
      </c>
      <c r="H4035" s="2">
        <f>199.4</f>
        <v>199.4</v>
      </c>
      <c r="I4035" t="s">
        <v>15</v>
      </c>
      <c r="J4035" t="s">
        <v>176</v>
      </c>
      <c r="K4035" t="str">
        <f>"60100460"</f>
        <v>60100460</v>
      </c>
    </row>
    <row r="4036" spans="1:11" x14ac:dyDescent="0.25">
      <c r="A4036">
        <v>2023</v>
      </c>
      <c r="B4036" t="s">
        <v>5617</v>
      </c>
      <c r="C4036" t="s">
        <v>5618</v>
      </c>
      <c r="D4036" t="s">
        <v>19</v>
      </c>
      <c r="E4036" t="s">
        <v>20</v>
      </c>
      <c r="F4036" t="str">
        <f>"43613-2403"</f>
        <v>43613-2403</v>
      </c>
      <c r="G4036" t="str">
        <f>"637573"</f>
        <v>637573</v>
      </c>
      <c r="H4036" s="2">
        <f>80</f>
        <v>80</v>
      </c>
      <c r="I4036" t="s">
        <v>27</v>
      </c>
      <c r="J4036" t="s">
        <v>61</v>
      </c>
      <c r="K4036" t="str">
        <f>"120986"</f>
        <v>120986</v>
      </c>
    </row>
    <row r="4037" spans="1:11" x14ac:dyDescent="0.25">
      <c r="A4037">
        <v>2023</v>
      </c>
      <c r="B4037" t="s">
        <v>5621</v>
      </c>
      <c r="C4037" t="s">
        <v>5622</v>
      </c>
      <c r="D4037" t="s">
        <v>19</v>
      </c>
      <c r="E4037" t="s">
        <v>20</v>
      </c>
      <c r="F4037" t="str">
        <f>"43617"</f>
        <v>43617</v>
      </c>
      <c r="G4037" t="str">
        <f>"637573"</f>
        <v>637573</v>
      </c>
      <c r="H4037" s="2">
        <f>10</f>
        <v>10</v>
      </c>
      <c r="I4037" t="s">
        <v>27</v>
      </c>
      <c r="J4037" t="s">
        <v>61</v>
      </c>
      <c r="K4037" t="str">
        <f>"119688"</f>
        <v>119688</v>
      </c>
    </row>
    <row r="4038" spans="1:11" x14ac:dyDescent="0.25">
      <c r="A4038">
        <v>2023</v>
      </c>
      <c r="B4038" t="s">
        <v>5629</v>
      </c>
      <c r="C4038" t="s">
        <v>5630</v>
      </c>
      <c r="D4038" t="s">
        <v>19</v>
      </c>
      <c r="E4038" t="s">
        <v>20</v>
      </c>
      <c r="F4038" t="str">
        <f>"43613-4940"</f>
        <v>43613-4940</v>
      </c>
      <c r="G4038" t="str">
        <f>"637573"</f>
        <v>637573</v>
      </c>
      <c r="H4038" s="2">
        <f>10</f>
        <v>10</v>
      </c>
      <c r="I4038" t="s">
        <v>27</v>
      </c>
      <c r="J4038" t="s">
        <v>61</v>
      </c>
      <c r="K4038" t="str">
        <f>"120029"</f>
        <v>120029</v>
      </c>
    </row>
    <row r="4039" spans="1:11" x14ac:dyDescent="0.25">
      <c r="A4039">
        <v>2023</v>
      </c>
      <c r="B4039" t="s">
        <v>5639</v>
      </c>
      <c r="C4039" t="s">
        <v>5640</v>
      </c>
      <c r="D4039" t="s">
        <v>19</v>
      </c>
      <c r="E4039" t="s">
        <v>20</v>
      </c>
      <c r="F4039" t="str">
        <f>"43613-4730"</f>
        <v>43613-4730</v>
      </c>
      <c r="G4039" t="str">
        <f>"637573"</f>
        <v>637573</v>
      </c>
      <c r="H4039" s="2">
        <f>10</f>
        <v>10</v>
      </c>
      <c r="I4039" t="s">
        <v>27</v>
      </c>
      <c r="J4039" t="s">
        <v>61</v>
      </c>
      <c r="K4039" t="str">
        <f>"120227"</f>
        <v>120227</v>
      </c>
    </row>
    <row r="4040" spans="1:11" x14ac:dyDescent="0.25">
      <c r="A4040">
        <v>2023</v>
      </c>
      <c r="B4040" t="s">
        <v>5663</v>
      </c>
      <c r="C4040" t="s">
        <v>5664</v>
      </c>
      <c r="D4040" t="s">
        <v>5665</v>
      </c>
      <c r="E4040" t="s">
        <v>20</v>
      </c>
      <c r="F4040" t="str">
        <f>"45419"</f>
        <v>45419</v>
      </c>
      <c r="G4040" t="str">
        <f>"Je04112023"</f>
        <v>Je04112023</v>
      </c>
      <c r="H4040" s="2">
        <f>14.85</f>
        <v>14.85</v>
      </c>
      <c r="I4040" t="s">
        <v>15</v>
      </c>
      <c r="J4040" t="s">
        <v>412</v>
      </c>
      <c r="K4040" t="str">
        <f>"60071745"</f>
        <v>60071745</v>
      </c>
    </row>
    <row r="4041" spans="1:11" x14ac:dyDescent="0.25">
      <c r="A4041">
        <v>2023</v>
      </c>
      <c r="B4041" t="s">
        <v>5663</v>
      </c>
      <c r="C4041" t="s">
        <v>5664</v>
      </c>
      <c r="D4041" t="s">
        <v>5665</v>
      </c>
      <c r="E4041" t="s">
        <v>20</v>
      </c>
      <c r="F4041" t="str">
        <f>"45419"</f>
        <v>45419</v>
      </c>
      <c r="G4041" t="str">
        <f>"Je04112023"</f>
        <v>Je04112023</v>
      </c>
      <c r="H4041" s="2">
        <f>14.85</f>
        <v>14.85</v>
      </c>
      <c r="I4041" t="s">
        <v>15</v>
      </c>
      <c r="J4041" t="s">
        <v>412</v>
      </c>
      <c r="K4041" t="str">
        <f>"60073895"</f>
        <v>60073895</v>
      </c>
    </row>
    <row r="4042" spans="1:11" x14ac:dyDescent="0.25">
      <c r="A4042">
        <v>2023</v>
      </c>
      <c r="B4042" t="s">
        <v>5676</v>
      </c>
      <c r="C4042" t="s">
        <v>5677</v>
      </c>
      <c r="D4042" t="s">
        <v>19</v>
      </c>
      <c r="E4042" t="s">
        <v>20</v>
      </c>
      <c r="F4042" t="str">
        <f>"43611"</f>
        <v>43611</v>
      </c>
      <c r="G4042" t="str">
        <f>"589332"</f>
        <v>589332</v>
      </c>
      <c r="H4042" s="2">
        <f>5</f>
        <v>5</v>
      </c>
      <c r="I4042" t="s">
        <v>519</v>
      </c>
      <c r="J4042" t="s">
        <v>519</v>
      </c>
      <c r="K4042" t="str">
        <f>"15148"</f>
        <v>15148</v>
      </c>
    </row>
    <row r="4043" spans="1:11" x14ac:dyDescent="0.25">
      <c r="A4043">
        <v>2023</v>
      </c>
      <c r="B4043" t="s">
        <v>5676</v>
      </c>
      <c r="C4043" t="s">
        <v>5677</v>
      </c>
      <c r="D4043" t="s">
        <v>19</v>
      </c>
      <c r="E4043" t="s">
        <v>20</v>
      </c>
      <c r="F4043" t="str">
        <f>"43611"</f>
        <v>43611</v>
      </c>
      <c r="G4043" t="str">
        <f>"589332"</f>
        <v>589332</v>
      </c>
      <c r="H4043" s="2">
        <f>5</f>
        <v>5</v>
      </c>
      <c r="I4043" t="s">
        <v>519</v>
      </c>
      <c r="J4043" t="s">
        <v>519</v>
      </c>
      <c r="K4043" t="str">
        <f>"15167"</f>
        <v>15167</v>
      </c>
    </row>
    <row r="4044" spans="1:11" x14ac:dyDescent="0.25">
      <c r="A4044">
        <v>2023</v>
      </c>
      <c r="B4044" t="s">
        <v>5698</v>
      </c>
      <c r="C4044" t="s">
        <v>5699</v>
      </c>
      <c r="D4044" t="s">
        <v>3853</v>
      </c>
      <c r="E4044" t="s">
        <v>20</v>
      </c>
      <c r="F4044" t="str">
        <f>"43447"</f>
        <v>43447</v>
      </c>
      <c r="G4044" t="str">
        <f>"632482"</f>
        <v>632482</v>
      </c>
      <c r="H4044" s="2">
        <f>32.75</f>
        <v>32.75</v>
      </c>
      <c r="I4044" t="s">
        <v>27</v>
      </c>
      <c r="J4044" t="s">
        <v>157</v>
      </c>
      <c r="K4044" t="str">
        <f>"521605"</f>
        <v>521605</v>
      </c>
    </row>
    <row r="4045" spans="1:11" x14ac:dyDescent="0.25">
      <c r="A4045">
        <v>2023</v>
      </c>
      <c r="B4045" t="s">
        <v>5708</v>
      </c>
      <c r="C4045" t="s">
        <v>5709</v>
      </c>
      <c r="D4045" t="s">
        <v>50</v>
      </c>
      <c r="E4045" t="s">
        <v>20</v>
      </c>
      <c r="F4045" t="str">
        <f>"43560-9280"</f>
        <v>43560-9280</v>
      </c>
      <c r="G4045" t="str">
        <f>"637573"</f>
        <v>637573</v>
      </c>
      <c r="H4045" s="2">
        <f>30</f>
        <v>30</v>
      </c>
      <c r="I4045" t="s">
        <v>27</v>
      </c>
      <c r="J4045" t="s">
        <v>61</v>
      </c>
      <c r="K4045" t="str">
        <f>"120219"</f>
        <v>120219</v>
      </c>
    </row>
    <row r="4046" spans="1:11" x14ac:dyDescent="0.25">
      <c r="A4046">
        <v>2023</v>
      </c>
      <c r="B4046" t="s">
        <v>5718</v>
      </c>
      <c r="C4046" t="s">
        <v>5719</v>
      </c>
      <c r="D4046" t="s">
        <v>19</v>
      </c>
      <c r="E4046" t="s">
        <v>20</v>
      </c>
      <c r="F4046" t="str">
        <f>"43623"</f>
        <v>43623</v>
      </c>
      <c r="G4046" t="str">
        <f>"Je12142023"</f>
        <v>Je12142023</v>
      </c>
      <c r="H4046" s="2">
        <f>213.38</f>
        <v>213.38</v>
      </c>
      <c r="I4046" t="s">
        <v>15</v>
      </c>
      <c r="J4046" t="s">
        <v>176</v>
      </c>
      <c r="K4046" t="str">
        <f>"60098014"</f>
        <v>60098014</v>
      </c>
    </row>
    <row r="4047" spans="1:11" x14ac:dyDescent="0.25">
      <c r="A4047">
        <v>2023</v>
      </c>
      <c r="B4047" t="s">
        <v>5726</v>
      </c>
      <c r="C4047" t="s">
        <v>5727</v>
      </c>
      <c r="D4047" t="s">
        <v>19</v>
      </c>
      <c r="E4047" t="s">
        <v>20</v>
      </c>
      <c r="F4047" t="str">
        <f>"43609-1620"</f>
        <v>43609-1620</v>
      </c>
      <c r="G4047" t="str">
        <f>"637573"</f>
        <v>637573</v>
      </c>
      <c r="H4047" s="2">
        <f>10</f>
        <v>10</v>
      </c>
      <c r="I4047" t="s">
        <v>27</v>
      </c>
      <c r="J4047" t="s">
        <v>61</v>
      </c>
      <c r="K4047" t="str">
        <f>"120557"</f>
        <v>120557</v>
      </c>
    </row>
    <row r="4048" spans="1:11" x14ac:dyDescent="0.25">
      <c r="A4048">
        <v>2023</v>
      </c>
      <c r="B4048" t="s">
        <v>5785</v>
      </c>
      <c r="C4048" t="s">
        <v>5786</v>
      </c>
      <c r="D4048" t="s">
        <v>5787</v>
      </c>
      <c r="E4048" t="s">
        <v>1341</v>
      </c>
      <c r="F4048" t="str">
        <f>"76513"</f>
        <v>76513</v>
      </c>
      <c r="G4048" t="str">
        <f>"Je04112023"</f>
        <v>Je04112023</v>
      </c>
      <c r="H4048" s="2">
        <f>29.7</f>
        <v>29.7</v>
      </c>
      <c r="I4048" t="s">
        <v>15</v>
      </c>
      <c r="J4048" t="s">
        <v>412</v>
      </c>
      <c r="K4048" t="str">
        <f>"60071756"</f>
        <v>60071756</v>
      </c>
    </row>
    <row r="4049" spans="1:11" x14ac:dyDescent="0.25">
      <c r="A4049">
        <v>2023</v>
      </c>
      <c r="B4049" t="s">
        <v>5793</v>
      </c>
      <c r="C4049" t="s">
        <v>5794</v>
      </c>
      <c r="D4049" t="s">
        <v>1074</v>
      </c>
      <c r="E4049" t="s">
        <v>20</v>
      </c>
      <c r="F4049" t="str">
        <f>"43551"</f>
        <v>43551</v>
      </c>
      <c r="G4049" t="str">
        <f>"632482"</f>
        <v>632482</v>
      </c>
      <c r="H4049" s="2">
        <f>17.19</f>
        <v>17.190000000000001</v>
      </c>
      <c r="I4049" t="s">
        <v>27</v>
      </c>
      <c r="J4049" t="s">
        <v>157</v>
      </c>
      <c r="K4049" t="str">
        <f>"522019"</f>
        <v>522019</v>
      </c>
    </row>
    <row r="4050" spans="1:11" x14ac:dyDescent="0.25">
      <c r="A4050">
        <v>2023</v>
      </c>
      <c r="B4050" t="s">
        <v>5795</v>
      </c>
      <c r="C4050" t="s">
        <v>5796</v>
      </c>
      <c r="D4050" t="s">
        <v>19</v>
      </c>
      <c r="E4050" t="s">
        <v>20</v>
      </c>
      <c r="F4050" t="str">
        <f>"43614"</f>
        <v>43614</v>
      </c>
      <c r="G4050" t="str">
        <f>"Je12142023"</f>
        <v>Je12142023</v>
      </c>
      <c r="H4050" s="2">
        <f>35</f>
        <v>35</v>
      </c>
      <c r="I4050" t="s">
        <v>15</v>
      </c>
      <c r="J4050" t="s">
        <v>176</v>
      </c>
      <c r="K4050" t="str">
        <f>"60103905"</f>
        <v>60103905</v>
      </c>
    </row>
    <row r="4051" spans="1:11" x14ac:dyDescent="0.25">
      <c r="A4051">
        <v>2023</v>
      </c>
      <c r="B4051" t="s">
        <v>5811</v>
      </c>
      <c r="C4051" t="s">
        <v>5812</v>
      </c>
      <c r="D4051" t="s">
        <v>19</v>
      </c>
      <c r="E4051" t="s">
        <v>20</v>
      </c>
      <c r="F4051" t="str">
        <f>"43612-3342"</f>
        <v>43612-3342</v>
      </c>
      <c r="G4051" t="str">
        <f>"637573"</f>
        <v>637573</v>
      </c>
      <c r="H4051" s="2">
        <f>10</f>
        <v>10</v>
      </c>
      <c r="I4051" t="s">
        <v>27</v>
      </c>
      <c r="J4051" t="s">
        <v>61</v>
      </c>
      <c r="K4051" t="str">
        <f>"119689"</f>
        <v>119689</v>
      </c>
    </row>
    <row r="4052" spans="1:11" x14ac:dyDescent="0.25">
      <c r="A4052">
        <v>2023</v>
      </c>
      <c r="B4052" t="s">
        <v>5839</v>
      </c>
      <c r="C4052" t="s">
        <v>2634</v>
      </c>
      <c r="D4052" t="s">
        <v>19</v>
      </c>
      <c r="E4052" t="s">
        <v>20</v>
      </c>
      <c r="F4052" t="str">
        <f>"43615"</f>
        <v>43615</v>
      </c>
      <c r="G4052" t="str">
        <f>"632482"</f>
        <v>632482</v>
      </c>
      <c r="H4052" s="2">
        <f>17.19</f>
        <v>17.190000000000001</v>
      </c>
      <c r="I4052" t="s">
        <v>27</v>
      </c>
      <c r="J4052" t="s">
        <v>157</v>
      </c>
      <c r="K4052" t="str">
        <f>"522020"</f>
        <v>522020</v>
      </c>
    </row>
    <row r="4053" spans="1:11" x14ac:dyDescent="0.25">
      <c r="A4053">
        <v>2023</v>
      </c>
      <c r="B4053" t="s">
        <v>5846</v>
      </c>
      <c r="C4053" t="s">
        <v>5847</v>
      </c>
      <c r="D4053" t="s">
        <v>19</v>
      </c>
      <c r="E4053" t="s">
        <v>20</v>
      </c>
      <c r="F4053" t="str">
        <f>"43623"</f>
        <v>43623</v>
      </c>
      <c r="G4053" t="str">
        <f>"637573"</f>
        <v>637573</v>
      </c>
      <c r="H4053" s="2">
        <f>20</f>
        <v>20</v>
      </c>
      <c r="I4053" t="s">
        <v>27</v>
      </c>
      <c r="J4053" t="s">
        <v>61</v>
      </c>
      <c r="K4053" t="str">
        <f>"119041"</f>
        <v>119041</v>
      </c>
    </row>
    <row r="4054" spans="1:11" x14ac:dyDescent="0.25">
      <c r="A4054">
        <v>2023</v>
      </c>
      <c r="B4054" t="s">
        <v>5854</v>
      </c>
      <c r="C4054" t="s">
        <v>5855</v>
      </c>
      <c r="D4054" t="s">
        <v>19</v>
      </c>
      <c r="E4054" t="s">
        <v>20</v>
      </c>
      <c r="F4054" t="str">
        <f>"43609-3011"</f>
        <v>43609-3011</v>
      </c>
      <c r="G4054" t="str">
        <f>"637573"</f>
        <v>637573</v>
      </c>
      <c r="H4054" s="2">
        <f>10</f>
        <v>10</v>
      </c>
      <c r="I4054" t="s">
        <v>27</v>
      </c>
      <c r="J4054" t="s">
        <v>61</v>
      </c>
      <c r="K4054" t="str">
        <f>"119949"</f>
        <v>119949</v>
      </c>
    </row>
    <row r="4055" spans="1:11" x14ac:dyDescent="0.25">
      <c r="A4055">
        <v>2023</v>
      </c>
      <c r="B4055" t="s">
        <v>5863</v>
      </c>
      <c r="C4055" t="s">
        <v>5864</v>
      </c>
      <c r="D4055" t="s">
        <v>19</v>
      </c>
      <c r="E4055" t="s">
        <v>20</v>
      </c>
      <c r="F4055" t="str">
        <f>"43609-1458"</f>
        <v>43609-1458</v>
      </c>
      <c r="G4055" t="str">
        <f>"637573"</f>
        <v>637573</v>
      </c>
      <c r="H4055" s="2">
        <f>10</f>
        <v>10</v>
      </c>
      <c r="I4055" t="s">
        <v>27</v>
      </c>
      <c r="J4055" t="s">
        <v>61</v>
      </c>
      <c r="K4055" t="str">
        <f>"119690"</f>
        <v>119690</v>
      </c>
    </row>
    <row r="4056" spans="1:11" x14ac:dyDescent="0.25">
      <c r="A4056">
        <v>2023</v>
      </c>
      <c r="B4056" t="s">
        <v>5865</v>
      </c>
      <c r="C4056" t="s">
        <v>5866</v>
      </c>
      <c r="D4056" t="s">
        <v>58</v>
      </c>
      <c r="E4056" t="s">
        <v>20</v>
      </c>
      <c r="F4056" t="str">
        <f>"43616-2107"</f>
        <v>43616-2107</v>
      </c>
      <c r="G4056" t="str">
        <f>"637573"</f>
        <v>637573</v>
      </c>
      <c r="H4056" s="2">
        <f>10</f>
        <v>10</v>
      </c>
      <c r="I4056" t="s">
        <v>27</v>
      </c>
      <c r="J4056" t="s">
        <v>61</v>
      </c>
      <c r="K4056" t="str">
        <f>"119617"</f>
        <v>119617</v>
      </c>
    </row>
    <row r="4057" spans="1:11" x14ac:dyDescent="0.25">
      <c r="A4057">
        <v>2023</v>
      </c>
      <c r="B4057" t="s">
        <v>5873</v>
      </c>
      <c r="C4057" t="s">
        <v>5874</v>
      </c>
      <c r="D4057" t="s">
        <v>19</v>
      </c>
      <c r="E4057" t="s">
        <v>20</v>
      </c>
      <c r="F4057" t="str">
        <f>"43615"</f>
        <v>43615</v>
      </c>
      <c r="G4057" t="str">
        <f>"632514"</f>
        <v>632514</v>
      </c>
      <c r="H4057" s="2">
        <f>15</f>
        <v>15</v>
      </c>
      <c r="I4057" t="s">
        <v>27</v>
      </c>
      <c r="J4057" t="s">
        <v>195</v>
      </c>
      <c r="K4057" t="str">
        <f>"33011860"</f>
        <v>33011860</v>
      </c>
    </row>
    <row r="4058" spans="1:11" x14ac:dyDescent="0.25">
      <c r="A4058">
        <v>2023</v>
      </c>
      <c r="B4058" t="s">
        <v>5901</v>
      </c>
      <c r="C4058" t="s">
        <v>5902</v>
      </c>
      <c r="D4058" t="s">
        <v>1754</v>
      </c>
      <c r="E4058" t="s">
        <v>20</v>
      </c>
      <c r="F4058" t="str">
        <f>"45040"</f>
        <v>45040</v>
      </c>
      <c r="G4058" t="str">
        <f>"632483"</f>
        <v>632483</v>
      </c>
      <c r="H4058" s="2">
        <f>20</f>
        <v>20</v>
      </c>
      <c r="I4058" t="s">
        <v>27</v>
      </c>
      <c r="J4058" t="s">
        <v>108</v>
      </c>
      <c r="K4058" t="str">
        <f>"39292"</f>
        <v>39292</v>
      </c>
    </row>
    <row r="4059" spans="1:11" x14ac:dyDescent="0.25">
      <c r="A4059">
        <v>2023</v>
      </c>
      <c r="B4059" t="s">
        <v>5966</v>
      </c>
      <c r="C4059" t="s">
        <v>5967</v>
      </c>
      <c r="D4059" t="s">
        <v>5968</v>
      </c>
      <c r="E4059" t="s">
        <v>20</v>
      </c>
      <c r="F4059" t="str">
        <f>"44143"</f>
        <v>44143</v>
      </c>
      <c r="G4059" t="str">
        <f>"Je04112023"</f>
        <v>Je04112023</v>
      </c>
      <c r="H4059" s="2">
        <f>74.84</f>
        <v>74.84</v>
      </c>
      <c r="I4059" t="s">
        <v>15</v>
      </c>
      <c r="J4059" t="s">
        <v>412</v>
      </c>
      <c r="K4059" t="str">
        <f>"60071769"</f>
        <v>60071769</v>
      </c>
    </row>
    <row r="4060" spans="1:11" x14ac:dyDescent="0.25">
      <c r="A4060">
        <v>2023</v>
      </c>
      <c r="B4060" t="s">
        <v>5970</v>
      </c>
      <c r="C4060" t="s">
        <v>5971</v>
      </c>
      <c r="D4060" t="s">
        <v>105</v>
      </c>
      <c r="E4060" t="s">
        <v>20</v>
      </c>
      <c r="F4060" t="str">
        <f>"43528"</f>
        <v>43528</v>
      </c>
      <c r="G4060" t="str">
        <f>"589300"</f>
        <v>589300</v>
      </c>
      <c r="H4060" s="2">
        <f>10</f>
        <v>10</v>
      </c>
      <c r="I4060" t="s">
        <v>148</v>
      </c>
      <c r="J4060" t="s">
        <v>5972</v>
      </c>
      <c r="K4060" t="str">
        <f>"26023"</f>
        <v>26023</v>
      </c>
    </row>
    <row r="4061" spans="1:11" x14ac:dyDescent="0.25">
      <c r="A4061">
        <v>2023</v>
      </c>
      <c r="B4061" t="s">
        <v>5987</v>
      </c>
      <c r="C4061" t="s">
        <v>5988</v>
      </c>
      <c r="D4061" t="s">
        <v>19</v>
      </c>
      <c r="E4061" t="s">
        <v>20</v>
      </c>
      <c r="F4061" t="str">
        <f t="shared" ref="F4061:F4071" si="138">"43613"</f>
        <v>43613</v>
      </c>
      <c r="G4061" t="str">
        <f t="shared" ref="G4061:G4072" si="139">"632482"</f>
        <v>632482</v>
      </c>
      <c r="H4061" s="2">
        <f>200</f>
        <v>200</v>
      </c>
      <c r="I4061" t="s">
        <v>27</v>
      </c>
      <c r="J4061" t="s">
        <v>157</v>
      </c>
      <c r="K4061" t="str">
        <f>"521502"</f>
        <v>521502</v>
      </c>
    </row>
    <row r="4062" spans="1:11" x14ac:dyDescent="0.25">
      <c r="A4062">
        <v>2023</v>
      </c>
      <c r="B4062" t="s">
        <v>5987</v>
      </c>
      <c r="C4062" t="s">
        <v>5988</v>
      </c>
      <c r="D4062" t="s">
        <v>19</v>
      </c>
      <c r="E4062" t="s">
        <v>20</v>
      </c>
      <c r="F4062" t="str">
        <f t="shared" si="138"/>
        <v>43613</v>
      </c>
      <c r="G4062" t="str">
        <f t="shared" si="139"/>
        <v>632482</v>
      </c>
      <c r="H4062" s="2">
        <f>200</f>
        <v>200</v>
      </c>
      <c r="I4062" t="s">
        <v>27</v>
      </c>
      <c r="J4062" t="s">
        <v>157</v>
      </c>
      <c r="K4062" t="str">
        <f>"521931"</f>
        <v>521931</v>
      </c>
    </row>
    <row r="4063" spans="1:11" x14ac:dyDescent="0.25">
      <c r="A4063">
        <v>2023</v>
      </c>
      <c r="B4063" t="s">
        <v>5987</v>
      </c>
      <c r="C4063" t="s">
        <v>5988</v>
      </c>
      <c r="D4063" t="s">
        <v>19</v>
      </c>
      <c r="E4063" t="s">
        <v>20</v>
      </c>
      <c r="F4063" t="str">
        <f t="shared" si="138"/>
        <v>43613</v>
      </c>
      <c r="G4063" t="str">
        <f t="shared" si="139"/>
        <v>632482</v>
      </c>
      <c r="H4063" s="2">
        <f>200</f>
        <v>200</v>
      </c>
      <c r="I4063" t="s">
        <v>27</v>
      </c>
      <c r="J4063" t="s">
        <v>157</v>
      </c>
      <c r="K4063" t="str">
        <f>"521718"</f>
        <v>521718</v>
      </c>
    </row>
    <row r="4064" spans="1:11" x14ac:dyDescent="0.25">
      <c r="A4064">
        <v>2023</v>
      </c>
      <c r="B4064" t="s">
        <v>5987</v>
      </c>
      <c r="C4064" t="s">
        <v>5988</v>
      </c>
      <c r="D4064" t="s">
        <v>19</v>
      </c>
      <c r="E4064" t="s">
        <v>20</v>
      </c>
      <c r="F4064" t="str">
        <f t="shared" si="138"/>
        <v>43613</v>
      </c>
      <c r="G4064" t="str">
        <f t="shared" si="139"/>
        <v>632482</v>
      </c>
      <c r="H4064" s="2">
        <f>200</f>
        <v>200</v>
      </c>
      <c r="I4064" t="s">
        <v>27</v>
      </c>
      <c r="J4064" t="s">
        <v>157</v>
      </c>
      <c r="K4064" t="str">
        <f>"521040"</f>
        <v>521040</v>
      </c>
    </row>
    <row r="4065" spans="1:11" x14ac:dyDescent="0.25">
      <c r="A4065">
        <v>2023</v>
      </c>
      <c r="B4065" t="s">
        <v>5987</v>
      </c>
      <c r="C4065" t="s">
        <v>5988</v>
      </c>
      <c r="D4065" t="s">
        <v>19</v>
      </c>
      <c r="E4065" t="s">
        <v>20</v>
      </c>
      <c r="F4065" t="str">
        <f t="shared" si="138"/>
        <v>43613</v>
      </c>
      <c r="G4065" t="str">
        <f t="shared" si="139"/>
        <v>632482</v>
      </c>
      <c r="H4065" s="2">
        <f>200</f>
        <v>200</v>
      </c>
      <c r="I4065" t="s">
        <v>27</v>
      </c>
      <c r="J4065" t="s">
        <v>157</v>
      </c>
      <c r="K4065" t="str">
        <f>"521302"</f>
        <v>521302</v>
      </c>
    </row>
    <row r="4066" spans="1:11" x14ac:dyDescent="0.25">
      <c r="A4066">
        <v>2023</v>
      </c>
      <c r="B4066" t="s">
        <v>5987</v>
      </c>
      <c r="C4066" t="s">
        <v>5988</v>
      </c>
      <c r="D4066" t="s">
        <v>19</v>
      </c>
      <c r="E4066" t="s">
        <v>20</v>
      </c>
      <c r="F4066" t="str">
        <f t="shared" si="138"/>
        <v>43613</v>
      </c>
      <c r="G4066" t="str">
        <f t="shared" si="139"/>
        <v>632482</v>
      </c>
      <c r="H4066" s="2">
        <f>195</f>
        <v>195</v>
      </c>
      <c r="I4066" t="s">
        <v>27</v>
      </c>
      <c r="J4066" t="s">
        <v>157</v>
      </c>
      <c r="K4066" t="str">
        <f>"520948"</f>
        <v>520948</v>
      </c>
    </row>
    <row r="4067" spans="1:11" x14ac:dyDescent="0.25">
      <c r="A4067">
        <v>2023</v>
      </c>
      <c r="B4067" t="s">
        <v>5987</v>
      </c>
      <c r="C4067" t="s">
        <v>5988</v>
      </c>
      <c r="D4067" t="s">
        <v>19</v>
      </c>
      <c r="E4067" t="s">
        <v>20</v>
      </c>
      <c r="F4067" t="str">
        <f t="shared" si="138"/>
        <v>43613</v>
      </c>
      <c r="G4067" t="str">
        <f t="shared" si="139"/>
        <v>632482</v>
      </c>
      <c r="H4067" s="2">
        <f>200</f>
        <v>200</v>
      </c>
      <c r="I4067" t="s">
        <v>27</v>
      </c>
      <c r="J4067" t="s">
        <v>157</v>
      </c>
      <c r="K4067" t="str">
        <f>"522371"</f>
        <v>522371</v>
      </c>
    </row>
    <row r="4068" spans="1:11" x14ac:dyDescent="0.25">
      <c r="A4068">
        <v>2023</v>
      </c>
      <c r="B4068" t="s">
        <v>5987</v>
      </c>
      <c r="C4068" t="s">
        <v>5988</v>
      </c>
      <c r="D4068" t="s">
        <v>19</v>
      </c>
      <c r="E4068" t="s">
        <v>20</v>
      </c>
      <c r="F4068" t="str">
        <f t="shared" si="138"/>
        <v>43613</v>
      </c>
      <c r="G4068" t="str">
        <f t="shared" si="139"/>
        <v>632482</v>
      </c>
      <c r="H4068" s="2">
        <f>200</f>
        <v>200</v>
      </c>
      <c r="I4068" t="s">
        <v>27</v>
      </c>
      <c r="J4068" t="s">
        <v>157</v>
      </c>
      <c r="K4068" t="str">
        <f>"522575"</f>
        <v>522575</v>
      </c>
    </row>
    <row r="4069" spans="1:11" x14ac:dyDescent="0.25">
      <c r="A4069">
        <v>2023</v>
      </c>
      <c r="B4069" t="s">
        <v>5987</v>
      </c>
      <c r="C4069" t="s">
        <v>5988</v>
      </c>
      <c r="D4069" t="s">
        <v>19</v>
      </c>
      <c r="E4069" t="s">
        <v>20</v>
      </c>
      <c r="F4069" t="str">
        <f t="shared" si="138"/>
        <v>43613</v>
      </c>
      <c r="G4069" t="str">
        <f t="shared" si="139"/>
        <v>632482</v>
      </c>
      <c r="H4069" s="2">
        <f>200</f>
        <v>200</v>
      </c>
      <c r="I4069" t="s">
        <v>27</v>
      </c>
      <c r="J4069" t="s">
        <v>157</v>
      </c>
      <c r="K4069" t="str">
        <f>"522962"</f>
        <v>522962</v>
      </c>
    </row>
    <row r="4070" spans="1:11" x14ac:dyDescent="0.25">
      <c r="A4070">
        <v>2023</v>
      </c>
      <c r="B4070" t="s">
        <v>5987</v>
      </c>
      <c r="C4070" t="s">
        <v>5988</v>
      </c>
      <c r="D4070" t="s">
        <v>19</v>
      </c>
      <c r="E4070" t="s">
        <v>20</v>
      </c>
      <c r="F4070" t="str">
        <f t="shared" si="138"/>
        <v>43613</v>
      </c>
      <c r="G4070" t="str">
        <f t="shared" si="139"/>
        <v>632482</v>
      </c>
      <c r="H4070" s="2">
        <f>200</f>
        <v>200</v>
      </c>
      <c r="I4070" t="s">
        <v>27</v>
      </c>
      <c r="J4070" t="s">
        <v>157</v>
      </c>
      <c r="K4070" t="str">
        <f>"522814"</f>
        <v>522814</v>
      </c>
    </row>
    <row r="4071" spans="1:11" x14ac:dyDescent="0.25">
      <c r="A4071">
        <v>2023</v>
      </c>
      <c r="B4071" t="s">
        <v>5987</v>
      </c>
      <c r="C4071" t="s">
        <v>5988</v>
      </c>
      <c r="D4071" t="s">
        <v>19</v>
      </c>
      <c r="E4071" t="s">
        <v>20</v>
      </c>
      <c r="F4071" t="str">
        <f t="shared" si="138"/>
        <v>43613</v>
      </c>
      <c r="G4071" t="str">
        <f t="shared" si="139"/>
        <v>632482</v>
      </c>
      <c r="H4071" s="2">
        <f>200</f>
        <v>200</v>
      </c>
      <c r="I4071" t="s">
        <v>27</v>
      </c>
      <c r="J4071" t="s">
        <v>157</v>
      </c>
      <c r="K4071" t="str">
        <f>"523153"</f>
        <v>523153</v>
      </c>
    </row>
    <row r="4072" spans="1:11" x14ac:dyDescent="0.25">
      <c r="A4072">
        <v>2023</v>
      </c>
      <c r="B4072" t="s">
        <v>5998</v>
      </c>
      <c r="C4072" t="s">
        <v>5999</v>
      </c>
      <c r="D4072" t="s">
        <v>4044</v>
      </c>
      <c r="E4072" t="s">
        <v>20</v>
      </c>
      <c r="F4072" t="str">
        <f>"44883"</f>
        <v>44883</v>
      </c>
      <c r="G4072" t="str">
        <f t="shared" si="139"/>
        <v>632482</v>
      </c>
      <c r="H4072" s="2">
        <f>400</f>
        <v>400</v>
      </c>
      <c r="I4072" t="s">
        <v>27</v>
      </c>
      <c r="J4072" t="s">
        <v>157</v>
      </c>
      <c r="K4072" t="str">
        <f>"523066"</f>
        <v>523066</v>
      </c>
    </row>
    <row r="4073" spans="1:11" x14ac:dyDescent="0.25">
      <c r="A4073">
        <v>2023</v>
      </c>
      <c r="B4073" t="s">
        <v>6018</v>
      </c>
      <c r="C4073" t="s">
        <v>6019</v>
      </c>
      <c r="D4073" t="s">
        <v>19</v>
      </c>
      <c r="E4073" t="s">
        <v>20</v>
      </c>
      <c r="F4073" t="str">
        <f>"43604"</f>
        <v>43604</v>
      </c>
      <c r="G4073" t="str">
        <f>"Je12142023"</f>
        <v>Je12142023</v>
      </c>
      <c r="H4073" s="2">
        <f>20</f>
        <v>20</v>
      </c>
      <c r="I4073" t="s">
        <v>15</v>
      </c>
      <c r="J4073" t="s">
        <v>176</v>
      </c>
      <c r="K4073" t="str">
        <f>"60101408"</f>
        <v>60101408</v>
      </c>
    </row>
    <row r="4074" spans="1:11" x14ac:dyDescent="0.25">
      <c r="A4074">
        <v>2023</v>
      </c>
      <c r="B4074" t="s">
        <v>6020</v>
      </c>
      <c r="C4074" t="s">
        <v>6021</v>
      </c>
      <c r="D4074" t="s">
        <v>19</v>
      </c>
      <c r="E4074" t="s">
        <v>20</v>
      </c>
      <c r="F4074" t="str">
        <f>"43537"</f>
        <v>43537</v>
      </c>
      <c r="G4074" t="str">
        <f>"632482"</f>
        <v>632482</v>
      </c>
      <c r="H4074" s="2">
        <f>17.19</f>
        <v>17.190000000000001</v>
      </c>
      <c r="I4074" t="s">
        <v>27</v>
      </c>
      <c r="J4074" t="s">
        <v>157</v>
      </c>
      <c r="K4074" t="str">
        <f>"522022"</f>
        <v>522022</v>
      </c>
    </row>
    <row r="4075" spans="1:11" x14ac:dyDescent="0.25">
      <c r="A4075">
        <v>2023</v>
      </c>
      <c r="B4075" t="s">
        <v>6022</v>
      </c>
      <c r="C4075" t="s">
        <v>68</v>
      </c>
      <c r="D4075" t="s">
        <v>68</v>
      </c>
      <c r="E4075" t="s">
        <v>4982</v>
      </c>
      <c r="F4075" t="str">
        <f>"99999"</f>
        <v>99999</v>
      </c>
      <c r="G4075" t="str">
        <f>"638581"</f>
        <v>638581</v>
      </c>
      <c r="H4075" s="2">
        <f>18.69</f>
        <v>18.690000000000001</v>
      </c>
      <c r="I4075" t="s">
        <v>27</v>
      </c>
      <c r="J4075" t="s">
        <v>61</v>
      </c>
      <c r="K4075" t="str">
        <f>"334213"</f>
        <v>334213</v>
      </c>
    </row>
    <row r="4076" spans="1:11" x14ac:dyDescent="0.25">
      <c r="A4076">
        <v>2023</v>
      </c>
      <c r="B4076" t="s">
        <v>6031</v>
      </c>
      <c r="C4076" t="s">
        <v>6032</v>
      </c>
      <c r="D4076" t="s">
        <v>19</v>
      </c>
      <c r="E4076" t="s">
        <v>20</v>
      </c>
      <c r="F4076" t="str">
        <f>"43612-1005"</f>
        <v>43612-1005</v>
      </c>
      <c r="G4076" t="str">
        <f>"637573"</f>
        <v>637573</v>
      </c>
      <c r="H4076" s="2">
        <f>10</f>
        <v>10</v>
      </c>
      <c r="I4076" t="s">
        <v>27</v>
      </c>
      <c r="J4076" t="s">
        <v>61</v>
      </c>
      <c r="K4076" t="str">
        <f>"120856"</f>
        <v>120856</v>
      </c>
    </row>
    <row r="4077" spans="1:11" x14ac:dyDescent="0.25">
      <c r="A4077">
        <v>2023</v>
      </c>
      <c r="B4077" t="s">
        <v>6041</v>
      </c>
      <c r="C4077" t="s">
        <v>6042</v>
      </c>
      <c r="D4077" t="s">
        <v>19</v>
      </c>
      <c r="E4077" t="s">
        <v>20</v>
      </c>
      <c r="F4077" t="str">
        <f>"43614-5312"</f>
        <v>43614-5312</v>
      </c>
      <c r="G4077" t="str">
        <f>"637573"</f>
        <v>637573</v>
      </c>
      <c r="H4077" s="2">
        <f>10</f>
        <v>10</v>
      </c>
      <c r="I4077" t="s">
        <v>27</v>
      </c>
      <c r="J4077" t="s">
        <v>61</v>
      </c>
      <c r="K4077" t="str">
        <f>"120925"</f>
        <v>120925</v>
      </c>
    </row>
    <row r="4078" spans="1:11" x14ac:dyDescent="0.25">
      <c r="A4078">
        <v>2023</v>
      </c>
      <c r="B4078" t="s">
        <v>6045</v>
      </c>
      <c r="C4078" t="s">
        <v>6046</v>
      </c>
      <c r="D4078" t="s">
        <v>105</v>
      </c>
      <c r="E4078" t="s">
        <v>20</v>
      </c>
      <c r="F4078" t="str">
        <f>"43528-7941"</f>
        <v>43528-7941</v>
      </c>
      <c r="G4078" t="str">
        <f>"637573"</f>
        <v>637573</v>
      </c>
      <c r="H4078" s="2">
        <f>20</f>
        <v>20</v>
      </c>
      <c r="I4078" t="s">
        <v>27</v>
      </c>
      <c r="J4078" t="s">
        <v>61</v>
      </c>
      <c r="K4078" t="str">
        <f>"120610"</f>
        <v>120610</v>
      </c>
    </row>
    <row r="4079" spans="1:11" x14ac:dyDescent="0.25">
      <c r="A4079">
        <v>2023</v>
      </c>
      <c r="B4079" t="s">
        <v>6060</v>
      </c>
      <c r="C4079" t="s">
        <v>6061</v>
      </c>
      <c r="D4079" t="s">
        <v>64</v>
      </c>
      <c r="E4079" t="s">
        <v>20</v>
      </c>
      <c r="F4079" t="str">
        <f>"43566-9555"</f>
        <v>43566-9555</v>
      </c>
      <c r="G4079" t="str">
        <f>"637573"</f>
        <v>637573</v>
      </c>
      <c r="H4079" s="2">
        <f>10</f>
        <v>10</v>
      </c>
      <c r="I4079" t="s">
        <v>27</v>
      </c>
      <c r="J4079" t="s">
        <v>61</v>
      </c>
      <c r="K4079" t="str">
        <f>"120023"</f>
        <v>120023</v>
      </c>
    </row>
    <row r="4080" spans="1:11" x14ac:dyDescent="0.25">
      <c r="A4080">
        <v>2023</v>
      </c>
      <c r="B4080" t="s">
        <v>6064</v>
      </c>
      <c r="C4080" t="s">
        <v>6065</v>
      </c>
      <c r="D4080" t="s">
        <v>19</v>
      </c>
      <c r="E4080" t="s">
        <v>20</v>
      </c>
      <c r="F4080" t="str">
        <f>"43604"</f>
        <v>43604</v>
      </c>
      <c r="G4080" t="str">
        <f>"632483"</f>
        <v>632483</v>
      </c>
      <c r="H4080" s="2">
        <f>6.95</f>
        <v>6.95</v>
      </c>
      <c r="I4080" t="s">
        <v>27</v>
      </c>
      <c r="J4080" t="s">
        <v>108</v>
      </c>
      <c r="K4080" t="str">
        <f>"39483"</f>
        <v>39483</v>
      </c>
    </row>
    <row r="4081" spans="1:11" x14ac:dyDescent="0.25">
      <c r="A4081">
        <v>2023</v>
      </c>
      <c r="B4081" t="s">
        <v>6068</v>
      </c>
      <c r="C4081" t="s">
        <v>6069</v>
      </c>
      <c r="D4081" t="s">
        <v>19</v>
      </c>
      <c r="E4081" t="s">
        <v>20</v>
      </c>
      <c r="F4081" t="str">
        <f t="shared" ref="F4081:F4087" si="140">"43608"</f>
        <v>43608</v>
      </c>
      <c r="G4081" t="str">
        <f t="shared" ref="G4081:G4093" si="141">"632482"</f>
        <v>632482</v>
      </c>
      <c r="H4081" s="2">
        <f>1.82</f>
        <v>1.82</v>
      </c>
      <c r="I4081" t="s">
        <v>27</v>
      </c>
      <c r="J4081" t="s">
        <v>157</v>
      </c>
      <c r="K4081" t="str">
        <f>"521851"</f>
        <v>521851</v>
      </c>
    </row>
    <row r="4082" spans="1:11" x14ac:dyDescent="0.25">
      <c r="A4082">
        <v>2023</v>
      </c>
      <c r="B4082" t="s">
        <v>6068</v>
      </c>
      <c r="C4082" t="s">
        <v>6069</v>
      </c>
      <c r="D4082" t="s">
        <v>19</v>
      </c>
      <c r="E4082" t="s">
        <v>20</v>
      </c>
      <c r="F4082" t="str">
        <f t="shared" si="140"/>
        <v>43608</v>
      </c>
      <c r="G4082" t="str">
        <f t="shared" si="141"/>
        <v>632482</v>
      </c>
      <c r="H4082" s="2">
        <f>4.55</f>
        <v>4.55</v>
      </c>
      <c r="I4082" t="s">
        <v>27</v>
      </c>
      <c r="J4082" t="s">
        <v>157</v>
      </c>
      <c r="K4082" t="str">
        <f>"521414"</f>
        <v>521414</v>
      </c>
    </row>
    <row r="4083" spans="1:11" x14ac:dyDescent="0.25">
      <c r="A4083">
        <v>2023</v>
      </c>
      <c r="B4083" t="s">
        <v>6068</v>
      </c>
      <c r="C4083" t="s">
        <v>6069</v>
      </c>
      <c r="D4083" t="s">
        <v>19</v>
      </c>
      <c r="E4083" t="s">
        <v>20</v>
      </c>
      <c r="F4083" t="str">
        <f t="shared" si="140"/>
        <v>43608</v>
      </c>
      <c r="G4083" t="str">
        <f t="shared" si="141"/>
        <v>632482</v>
      </c>
      <c r="H4083" s="2">
        <f>4.55</f>
        <v>4.55</v>
      </c>
      <c r="I4083" t="s">
        <v>27</v>
      </c>
      <c r="J4083" t="s">
        <v>157</v>
      </c>
      <c r="K4083" t="str">
        <f>"521538"</f>
        <v>521538</v>
      </c>
    </row>
    <row r="4084" spans="1:11" x14ac:dyDescent="0.25">
      <c r="A4084">
        <v>2023</v>
      </c>
      <c r="B4084" t="s">
        <v>6068</v>
      </c>
      <c r="C4084" t="s">
        <v>6069</v>
      </c>
      <c r="D4084" t="s">
        <v>19</v>
      </c>
      <c r="E4084" t="s">
        <v>20</v>
      </c>
      <c r="F4084" t="str">
        <f t="shared" si="140"/>
        <v>43608</v>
      </c>
      <c r="G4084" t="str">
        <f t="shared" si="141"/>
        <v>632482</v>
      </c>
      <c r="H4084" s="2">
        <f>2.28</f>
        <v>2.2799999999999998</v>
      </c>
      <c r="I4084" t="s">
        <v>27</v>
      </c>
      <c r="J4084" t="s">
        <v>157</v>
      </c>
      <c r="K4084" t="str">
        <f>"521074"</f>
        <v>521074</v>
      </c>
    </row>
    <row r="4085" spans="1:11" x14ac:dyDescent="0.25">
      <c r="A4085">
        <v>2023</v>
      </c>
      <c r="B4085" t="s">
        <v>6068</v>
      </c>
      <c r="C4085" t="s">
        <v>6069</v>
      </c>
      <c r="D4085" t="s">
        <v>19</v>
      </c>
      <c r="E4085" t="s">
        <v>20</v>
      </c>
      <c r="F4085" t="str">
        <f t="shared" si="140"/>
        <v>43608</v>
      </c>
      <c r="G4085" t="str">
        <f t="shared" si="141"/>
        <v>632482</v>
      </c>
      <c r="H4085" s="2">
        <f>4.55</f>
        <v>4.55</v>
      </c>
      <c r="I4085" t="s">
        <v>27</v>
      </c>
      <c r="J4085" t="s">
        <v>157</v>
      </c>
      <c r="K4085" t="str">
        <f>"520600"</f>
        <v>520600</v>
      </c>
    </row>
    <row r="4086" spans="1:11" x14ac:dyDescent="0.25">
      <c r="A4086">
        <v>2023</v>
      </c>
      <c r="B4086" t="s">
        <v>6068</v>
      </c>
      <c r="C4086" t="s">
        <v>6069</v>
      </c>
      <c r="D4086" t="s">
        <v>19</v>
      </c>
      <c r="E4086" t="s">
        <v>20</v>
      </c>
      <c r="F4086" t="str">
        <f t="shared" si="140"/>
        <v>43608</v>
      </c>
      <c r="G4086" t="str">
        <f t="shared" si="141"/>
        <v>632482</v>
      </c>
      <c r="H4086" s="2">
        <f>2.28</f>
        <v>2.2799999999999998</v>
      </c>
      <c r="I4086" t="s">
        <v>27</v>
      </c>
      <c r="J4086" t="s">
        <v>157</v>
      </c>
      <c r="K4086" t="str">
        <f>"522256"</f>
        <v>522256</v>
      </c>
    </row>
    <row r="4087" spans="1:11" x14ac:dyDescent="0.25">
      <c r="A4087">
        <v>2023</v>
      </c>
      <c r="B4087" t="s">
        <v>6068</v>
      </c>
      <c r="C4087" t="s">
        <v>6069</v>
      </c>
      <c r="D4087" t="s">
        <v>19</v>
      </c>
      <c r="E4087" t="s">
        <v>20</v>
      </c>
      <c r="F4087" t="str">
        <f t="shared" si="140"/>
        <v>43608</v>
      </c>
      <c r="G4087" t="str">
        <f t="shared" si="141"/>
        <v>632482</v>
      </c>
      <c r="H4087" s="2">
        <f>4.55</f>
        <v>4.55</v>
      </c>
      <c r="I4087" t="s">
        <v>27</v>
      </c>
      <c r="J4087" t="s">
        <v>157</v>
      </c>
      <c r="K4087" t="str">
        <f>"520821"</f>
        <v>520821</v>
      </c>
    </row>
    <row r="4088" spans="1:11" x14ac:dyDescent="0.25">
      <c r="A4088">
        <v>2023</v>
      </c>
      <c r="B4088" t="s">
        <v>6070</v>
      </c>
      <c r="C4088" t="s">
        <v>6071</v>
      </c>
      <c r="D4088" t="s">
        <v>19</v>
      </c>
      <c r="E4088" t="s">
        <v>20</v>
      </c>
      <c r="F4088" t="str">
        <f t="shared" ref="F4088:F4093" si="142">"43604"</f>
        <v>43604</v>
      </c>
      <c r="G4088" t="str">
        <f t="shared" si="141"/>
        <v>632482</v>
      </c>
      <c r="H4088" s="2">
        <f>25</f>
        <v>25</v>
      </c>
      <c r="I4088" t="s">
        <v>27</v>
      </c>
      <c r="J4088" t="s">
        <v>157</v>
      </c>
      <c r="K4088" t="str">
        <f>"522469"</f>
        <v>522469</v>
      </c>
    </row>
    <row r="4089" spans="1:11" x14ac:dyDescent="0.25">
      <c r="A4089">
        <v>2023</v>
      </c>
      <c r="B4089" t="s">
        <v>6070</v>
      </c>
      <c r="C4089" t="s">
        <v>6071</v>
      </c>
      <c r="D4089" t="s">
        <v>19</v>
      </c>
      <c r="E4089" t="s">
        <v>20</v>
      </c>
      <c r="F4089" t="str">
        <f t="shared" si="142"/>
        <v>43604</v>
      </c>
      <c r="G4089" t="str">
        <f t="shared" si="141"/>
        <v>632482</v>
      </c>
      <c r="H4089" s="2">
        <f>25</f>
        <v>25</v>
      </c>
      <c r="I4089" t="s">
        <v>27</v>
      </c>
      <c r="J4089" t="s">
        <v>157</v>
      </c>
      <c r="K4089" t="str">
        <f>"521409"</f>
        <v>521409</v>
      </c>
    </row>
    <row r="4090" spans="1:11" x14ac:dyDescent="0.25">
      <c r="A4090">
        <v>2023</v>
      </c>
      <c r="B4090" t="s">
        <v>6070</v>
      </c>
      <c r="C4090" t="s">
        <v>6071</v>
      </c>
      <c r="D4090" t="s">
        <v>19</v>
      </c>
      <c r="E4090" t="s">
        <v>20</v>
      </c>
      <c r="F4090" t="str">
        <f t="shared" si="142"/>
        <v>43604</v>
      </c>
      <c r="G4090" t="str">
        <f t="shared" si="141"/>
        <v>632482</v>
      </c>
      <c r="H4090" s="2">
        <f>20</f>
        <v>20</v>
      </c>
      <c r="I4090" t="s">
        <v>27</v>
      </c>
      <c r="J4090" t="s">
        <v>157</v>
      </c>
      <c r="K4090" t="str">
        <f>"521532"</f>
        <v>521532</v>
      </c>
    </row>
    <row r="4091" spans="1:11" x14ac:dyDescent="0.25">
      <c r="A4091">
        <v>2023</v>
      </c>
      <c r="B4091" t="s">
        <v>6070</v>
      </c>
      <c r="C4091" t="s">
        <v>6071</v>
      </c>
      <c r="D4091" t="s">
        <v>19</v>
      </c>
      <c r="E4091" t="s">
        <v>20</v>
      </c>
      <c r="F4091" t="str">
        <f t="shared" si="142"/>
        <v>43604</v>
      </c>
      <c r="G4091" t="str">
        <f t="shared" si="141"/>
        <v>632482</v>
      </c>
      <c r="H4091" s="2">
        <f>12.5</f>
        <v>12.5</v>
      </c>
      <c r="I4091" t="s">
        <v>27</v>
      </c>
      <c r="J4091" t="s">
        <v>157</v>
      </c>
      <c r="K4091" t="str">
        <f>"521749"</f>
        <v>521749</v>
      </c>
    </row>
    <row r="4092" spans="1:11" x14ac:dyDescent="0.25">
      <c r="A4092">
        <v>2023</v>
      </c>
      <c r="B4092" t="s">
        <v>6070</v>
      </c>
      <c r="C4092" t="s">
        <v>6071</v>
      </c>
      <c r="D4092" t="s">
        <v>19</v>
      </c>
      <c r="E4092" t="s">
        <v>20</v>
      </c>
      <c r="F4092" t="str">
        <f t="shared" si="142"/>
        <v>43604</v>
      </c>
      <c r="G4092" t="str">
        <f t="shared" si="141"/>
        <v>632482</v>
      </c>
      <c r="H4092" s="2">
        <f>20</f>
        <v>20</v>
      </c>
      <c r="I4092" t="s">
        <v>27</v>
      </c>
      <c r="J4092" t="s">
        <v>157</v>
      </c>
      <c r="K4092" t="str">
        <f>"521641"</f>
        <v>521641</v>
      </c>
    </row>
    <row r="4093" spans="1:11" x14ac:dyDescent="0.25">
      <c r="A4093">
        <v>2023</v>
      </c>
      <c r="B4093" t="s">
        <v>6078</v>
      </c>
      <c r="C4093" t="s">
        <v>1731</v>
      </c>
      <c r="D4093" t="s">
        <v>19</v>
      </c>
      <c r="E4093" t="s">
        <v>20</v>
      </c>
      <c r="F4093" t="str">
        <f t="shared" si="142"/>
        <v>43604</v>
      </c>
      <c r="G4093" t="str">
        <f t="shared" si="141"/>
        <v>632482</v>
      </c>
      <c r="H4093" s="2">
        <f>17.19</f>
        <v>17.190000000000001</v>
      </c>
      <c r="I4093" t="s">
        <v>27</v>
      </c>
      <c r="J4093" t="s">
        <v>157</v>
      </c>
      <c r="K4093" t="str">
        <f>"522024"</f>
        <v>522024</v>
      </c>
    </row>
    <row r="4094" spans="1:11" x14ac:dyDescent="0.25">
      <c r="A4094">
        <v>2023</v>
      </c>
      <c r="B4094" t="s">
        <v>6091</v>
      </c>
      <c r="C4094" t="s">
        <v>6092</v>
      </c>
      <c r="D4094" t="s">
        <v>19</v>
      </c>
      <c r="E4094" t="s">
        <v>20</v>
      </c>
      <c r="F4094" t="str">
        <f>"43609"</f>
        <v>43609</v>
      </c>
      <c r="G4094" t="str">
        <f>"Je10162023"</f>
        <v>Je10162023</v>
      </c>
      <c r="H4094" s="2">
        <f>59.25</f>
        <v>59.25</v>
      </c>
      <c r="I4094" t="s">
        <v>15</v>
      </c>
      <c r="J4094" t="s">
        <v>93</v>
      </c>
      <c r="K4094" t="str">
        <f>"60089155"</f>
        <v>60089155</v>
      </c>
    </row>
    <row r="4095" spans="1:11" x14ac:dyDescent="0.25">
      <c r="A4095">
        <v>2023</v>
      </c>
      <c r="B4095" t="s">
        <v>6110</v>
      </c>
      <c r="C4095" t="s">
        <v>6111</v>
      </c>
      <c r="D4095" t="s">
        <v>128</v>
      </c>
      <c r="E4095" t="s">
        <v>20</v>
      </c>
      <c r="F4095" t="str">
        <f>"43619"</f>
        <v>43619</v>
      </c>
      <c r="G4095" t="str">
        <f>"632514"</f>
        <v>632514</v>
      </c>
      <c r="H4095" s="2">
        <f>5</f>
        <v>5</v>
      </c>
      <c r="I4095" t="s">
        <v>27</v>
      </c>
      <c r="J4095" t="s">
        <v>195</v>
      </c>
      <c r="K4095" t="str">
        <f>"44009783"</f>
        <v>44009783</v>
      </c>
    </row>
    <row r="4096" spans="1:11" x14ac:dyDescent="0.25">
      <c r="A4096">
        <v>2023</v>
      </c>
      <c r="B4096" t="s">
        <v>6112</v>
      </c>
      <c r="C4096" t="s">
        <v>6113</v>
      </c>
      <c r="D4096" t="s">
        <v>19</v>
      </c>
      <c r="E4096" t="s">
        <v>20</v>
      </c>
      <c r="F4096" t="str">
        <f>"43614-5140"</f>
        <v>43614-5140</v>
      </c>
      <c r="G4096" t="str">
        <f>"637573"</f>
        <v>637573</v>
      </c>
      <c r="H4096" s="2">
        <f>10</f>
        <v>10</v>
      </c>
      <c r="I4096" t="s">
        <v>27</v>
      </c>
      <c r="J4096" t="s">
        <v>61</v>
      </c>
      <c r="K4096" t="str">
        <f>"118582"</f>
        <v>118582</v>
      </c>
    </row>
    <row r="4097" spans="1:11" x14ac:dyDescent="0.25">
      <c r="A4097">
        <v>2023</v>
      </c>
      <c r="B4097" t="s">
        <v>6130</v>
      </c>
      <c r="C4097" t="s">
        <v>6131</v>
      </c>
      <c r="D4097" t="s">
        <v>19</v>
      </c>
      <c r="E4097" t="s">
        <v>20</v>
      </c>
      <c r="F4097" t="str">
        <f>"43604"</f>
        <v>43604</v>
      </c>
      <c r="G4097" t="str">
        <f>"638581"</f>
        <v>638581</v>
      </c>
      <c r="H4097" s="2">
        <f>4.3</f>
        <v>4.3</v>
      </c>
      <c r="I4097" t="s">
        <v>27</v>
      </c>
      <c r="J4097" t="s">
        <v>61</v>
      </c>
      <c r="K4097" t="str">
        <f>"333824"</f>
        <v>333824</v>
      </c>
    </row>
    <row r="4098" spans="1:11" x14ac:dyDescent="0.25">
      <c r="A4098">
        <v>2023</v>
      </c>
      <c r="B4098" t="s">
        <v>6130</v>
      </c>
      <c r="C4098" t="s">
        <v>6132</v>
      </c>
      <c r="D4098" t="s">
        <v>19</v>
      </c>
      <c r="E4098" t="s">
        <v>20</v>
      </c>
      <c r="F4098" t="str">
        <f>"43604"</f>
        <v>43604</v>
      </c>
      <c r="G4098" t="str">
        <f>"638581"</f>
        <v>638581</v>
      </c>
      <c r="H4098" s="2">
        <f>2.3</f>
        <v>2.2999999999999998</v>
      </c>
      <c r="I4098" t="s">
        <v>27</v>
      </c>
      <c r="J4098" t="s">
        <v>61</v>
      </c>
      <c r="K4098" t="str">
        <f>"333954"</f>
        <v>333954</v>
      </c>
    </row>
    <row r="4099" spans="1:11" x14ac:dyDescent="0.25">
      <c r="A4099">
        <v>2023</v>
      </c>
      <c r="B4099" t="s">
        <v>6141</v>
      </c>
      <c r="C4099" t="s">
        <v>6142</v>
      </c>
      <c r="D4099" t="s">
        <v>19</v>
      </c>
      <c r="E4099" t="s">
        <v>20</v>
      </c>
      <c r="F4099" t="str">
        <f>"43604"</f>
        <v>43604</v>
      </c>
      <c r="G4099" t="str">
        <f>"632483"</f>
        <v>632483</v>
      </c>
      <c r="H4099" s="2">
        <f>5.64</f>
        <v>5.64</v>
      </c>
      <c r="I4099" t="s">
        <v>27</v>
      </c>
      <c r="J4099" t="s">
        <v>108</v>
      </c>
      <c r="K4099" t="str">
        <f>"40810"</f>
        <v>40810</v>
      </c>
    </row>
    <row r="4100" spans="1:11" x14ac:dyDescent="0.25">
      <c r="A4100">
        <v>2023</v>
      </c>
      <c r="B4100" t="s">
        <v>6151</v>
      </c>
      <c r="C4100" t="s">
        <v>6152</v>
      </c>
      <c r="D4100" t="s">
        <v>19</v>
      </c>
      <c r="E4100" t="s">
        <v>20</v>
      </c>
      <c r="F4100" t="str">
        <f>"43609-2267"</f>
        <v>43609-2267</v>
      </c>
      <c r="G4100" t="str">
        <f>"637573"</f>
        <v>637573</v>
      </c>
      <c r="H4100" s="2">
        <f>80</f>
        <v>80</v>
      </c>
      <c r="I4100" t="s">
        <v>27</v>
      </c>
      <c r="J4100" t="s">
        <v>61</v>
      </c>
      <c r="K4100" t="str">
        <f>"120961"</f>
        <v>120961</v>
      </c>
    </row>
    <row r="4101" spans="1:11" x14ac:dyDescent="0.25">
      <c r="A4101">
        <v>2023</v>
      </c>
      <c r="B4101" t="s">
        <v>6157</v>
      </c>
      <c r="C4101" t="s">
        <v>6158</v>
      </c>
      <c r="D4101" t="s">
        <v>19</v>
      </c>
      <c r="E4101" t="s">
        <v>20</v>
      </c>
      <c r="F4101" t="str">
        <f>"43604"</f>
        <v>43604</v>
      </c>
      <c r="G4101" t="str">
        <f>"632483"</f>
        <v>632483</v>
      </c>
      <c r="H4101" s="2">
        <f>6.55</f>
        <v>6.55</v>
      </c>
      <c r="I4101" t="s">
        <v>27</v>
      </c>
      <c r="J4101" t="s">
        <v>108</v>
      </c>
      <c r="K4101" t="str">
        <f>"38659"</f>
        <v>38659</v>
      </c>
    </row>
    <row r="4102" spans="1:11" x14ac:dyDescent="0.25">
      <c r="A4102">
        <v>2023</v>
      </c>
      <c r="B4102" t="s">
        <v>6173</v>
      </c>
      <c r="C4102" t="s">
        <v>6174</v>
      </c>
      <c r="D4102" t="s">
        <v>50</v>
      </c>
      <c r="E4102" t="s">
        <v>20</v>
      </c>
      <c r="F4102" t="str">
        <f>"43560-3299"</f>
        <v>43560-3299</v>
      </c>
      <c r="G4102" t="str">
        <f>"637573"</f>
        <v>637573</v>
      </c>
      <c r="H4102" s="2">
        <f>10</f>
        <v>10</v>
      </c>
      <c r="I4102" t="s">
        <v>27</v>
      </c>
      <c r="J4102" t="s">
        <v>61</v>
      </c>
      <c r="K4102" t="str">
        <f>"120794"</f>
        <v>120794</v>
      </c>
    </row>
    <row r="4103" spans="1:11" x14ac:dyDescent="0.25">
      <c r="A4103">
        <v>2023</v>
      </c>
      <c r="B4103" t="s">
        <v>6195</v>
      </c>
      <c r="C4103" t="s">
        <v>6196</v>
      </c>
      <c r="D4103" t="s">
        <v>19</v>
      </c>
      <c r="E4103" t="s">
        <v>20</v>
      </c>
      <c r="F4103" t="str">
        <f>"43607"</f>
        <v>43607</v>
      </c>
      <c r="G4103" t="str">
        <f>"Je06132023"</f>
        <v>Je06132023</v>
      </c>
      <c r="H4103" s="2">
        <f>125</f>
        <v>125</v>
      </c>
      <c r="I4103" t="s">
        <v>15</v>
      </c>
      <c r="J4103" t="s">
        <v>16</v>
      </c>
      <c r="K4103" t="str">
        <f>"60080429"</f>
        <v>60080429</v>
      </c>
    </row>
    <row r="4104" spans="1:11" x14ac:dyDescent="0.25">
      <c r="A4104">
        <v>2023</v>
      </c>
      <c r="B4104" t="s">
        <v>6195</v>
      </c>
      <c r="C4104" t="s">
        <v>6196</v>
      </c>
      <c r="D4104" t="s">
        <v>19</v>
      </c>
      <c r="E4104" t="s">
        <v>20</v>
      </c>
      <c r="F4104" t="str">
        <f>"43607"</f>
        <v>43607</v>
      </c>
      <c r="G4104" t="str">
        <f>"Je06132023"</f>
        <v>Je06132023</v>
      </c>
      <c r="H4104" s="2">
        <f>95</f>
        <v>95</v>
      </c>
      <c r="I4104" t="s">
        <v>15</v>
      </c>
      <c r="J4104" t="s">
        <v>16</v>
      </c>
      <c r="K4104" t="str">
        <f>"60081540"</f>
        <v>60081540</v>
      </c>
    </row>
    <row r="4105" spans="1:11" x14ac:dyDescent="0.25">
      <c r="A4105">
        <v>2023</v>
      </c>
      <c r="B4105" t="s">
        <v>6207</v>
      </c>
      <c r="C4105" t="s">
        <v>6208</v>
      </c>
      <c r="D4105" t="s">
        <v>19</v>
      </c>
      <c r="E4105" t="s">
        <v>20</v>
      </c>
      <c r="F4105" t="str">
        <f>"43611"</f>
        <v>43611</v>
      </c>
      <c r="G4105" t="str">
        <f>"632514"</f>
        <v>632514</v>
      </c>
      <c r="H4105" s="2">
        <f>1</f>
        <v>1</v>
      </c>
      <c r="I4105" t="s">
        <v>27</v>
      </c>
      <c r="J4105" t="s">
        <v>195</v>
      </c>
      <c r="K4105" t="str">
        <f>"44009213"</f>
        <v>44009213</v>
      </c>
    </row>
    <row r="4106" spans="1:11" x14ac:dyDescent="0.25">
      <c r="A4106">
        <v>2023</v>
      </c>
      <c r="B4106" t="s">
        <v>6228</v>
      </c>
      <c r="C4106" t="s">
        <v>6230</v>
      </c>
      <c r="D4106" t="s">
        <v>1729</v>
      </c>
      <c r="E4106" t="s">
        <v>20</v>
      </c>
      <c r="F4106" t="str">
        <f>"45469"</f>
        <v>45469</v>
      </c>
      <c r="G4106" t="str">
        <f>"632483"</f>
        <v>632483</v>
      </c>
      <c r="H4106" s="2">
        <f>216.5</f>
        <v>216.5</v>
      </c>
      <c r="I4106" t="s">
        <v>27</v>
      </c>
      <c r="J4106" t="s">
        <v>108</v>
      </c>
      <c r="K4106" t="str">
        <f>"38666"</f>
        <v>38666</v>
      </c>
    </row>
    <row r="4107" spans="1:11" x14ac:dyDescent="0.25">
      <c r="A4107">
        <v>2023</v>
      </c>
      <c r="B4107" t="s">
        <v>6232</v>
      </c>
      <c r="C4107" t="s">
        <v>6233</v>
      </c>
      <c r="D4107" t="s">
        <v>125</v>
      </c>
      <c r="E4107" t="s">
        <v>20</v>
      </c>
      <c r="F4107" t="str">
        <f>"43537"</f>
        <v>43537</v>
      </c>
      <c r="G4107" t="str">
        <f>"Je04112023"</f>
        <v>Je04112023</v>
      </c>
      <c r="H4107" s="2">
        <f>103.95</f>
        <v>103.95</v>
      </c>
      <c r="I4107" t="s">
        <v>15</v>
      </c>
      <c r="J4107" t="s">
        <v>412</v>
      </c>
      <c r="K4107" t="str">
        <f>"60073926"</f>
        <v>60073926</v>
      </c>
    </row>
    <row r="4108" spans="1:11" x14ac:dyDescent="0.25">
      <c r="A4108">
        <v>2023</v>
      </c>
      <c r="B4108" t="s">
        <v>6240</v>
      </c>
      <c r="C4108" t="s">
        <v>6241</v>
      </c>
      <c r="D4108" t="s">
        <v>19</v>
      </c>
      <c r="E4108" t="s">
        <v>20</v>
      </c>
      <c r="F4108" t="str">
        <f>"43605-1774"</f>
        <v>43605-1774</v>
      </c>
      <c r="G4108" t="str">
        <f>"637573"</f>
        <v>637573</v>
      </c>
      <c r="H4108" s="2">
        <f>20</f>
        <v>20</v>
      </c>
      <c r="I4108" t="s">
        <v>27</v>
      </c>
      <c r="J4108" t="s">
        <v>61</v>
      </c>
      <c r="K4108" t="str">
        <f>"119045"</f>
        <v>119045</v>
      </c>
    </row>
    <row r="4109" spans="1:11" x14ac:dyDescent="0.25">
      <c r="A4109">
        <v>2023</v>
      </c>
      <c r="B4109" t="s">
        <v>6242</v>
      </c>
      <c r="C4109" t="s">
        <v>6243</v>
      </c>
      <c r="D4109" t="s">
        <v>19</v>
      </c>
      <c r="E4109" t="s">
        <v>20</v>
      </c>
      <c r="F4109" t="str">
        <f>"43611-1152"</f>
        <v>43611-1152</v>
      </c>
      <c r="G4109" t="str">
        <f>"637573"</f>
        <v>637573</v>
      </c>
      <c r="H4109" s="2">
        <f>10</f>
        <v>10</v>
      </c>
      <c r="I4109" t="s">
        <v>27</v>
      </c>
      <c r="J4109" t="s">
        <v>61</v>
      </c>
      <c r="K4109" t="str">
        <f>"118834"</f>
        <v>118834</v>
      </c>
    </row>
    <row r="4110" spans="1:11" x14ac:dyDescent="0.25">
      <c r="A4110">
        <v>2023</v>
      </c>
      <c r="B4110" t="s">
        <v>6246</v>
      </c>
      <c r="C4110" t="s">
        <v>6248</v>
      </c>
      <c r="D4110" t="s">
        <v>19</v>
      </c>
      <c r="E4110" t="s">
        <v>20</v>
      </c>
      <c r="F4110" t="str">
        <f>"43615-6707"</f>
        <v>43615-6707</v>
      </c>
      <c r="G4110" t="str">
        <f>"637573"</f>
        <v>637573</v>
      </c>
      <c r="H4110" s="2">
        <f>30</f>
        <v>30</v>
      </c>
      <c r="I4110" t="s">
        <v>27</v>
      </c>
      <c r="J4110" t="s">
        <v>61</v>
      </c>
      <c r="K4110" t="str">
        <f>"118389"</f>
        <v>118389</v>
      </c>
    </row>
    <row r="4111" spans="1:11" x14ac:dyDescent="0.25">
      <c r="A4111">
        <v>2023</v>
      </c>
      <c r="B4111" t="s">
        <v>6246</v>
      </c>
      <c r="C4111" t="s">
        <v>6248</v>
      </c>
      <c r="D4111" t="s">
        <v>19</v>
      </c>
      <c r="E4111" t="s">
        <v>20</v>
      </c>
      <c r="F4111" t="str">
        <f>"43615-6707"</f>
        <v>43615-6707</v>
      </c>
      <c r="G4111" t="str">
        <f>"637573"</f>
        <v>637573</v>
      </c>
      <c r="H4111" s="2">
        <f>30</f>
        <v>30</v>
      </c>
      <c r="I4111" t="s">
        <v>27</v>
      </c>
      <c r="J4111" t="s">
        <v>61</v>
      </c>
      <c r="K4111" t="str">
        <f>"118401"</f>
        <v>118401</v>
      </c>
    </row>
    <row r="4112" spans="1:11" x14ac:dyDescent="0.25">
      <c r="A4112">
        <v>2023</v>
      </c>
      <c r="B4112" t="s">
        <v>6249</v>
      </c>
      <c r="C4112" t="s">
        <v>6250</v>
      </c>
      <c r="D4112" t="s">
        <v>19</v>
      </c>
      <c r="E4112" t="s">
        <v>20</v>
      </c>
      <c r="F4112" t="str">
        <f>"43611"</f>
        <v>43611</v>
      </c>
      <c r="G4112" t="str">
        <f>"637573"</f>
        <v>637573</v>
      </c>
      <c r="H4112" s="2">
        <f>10</f>
        <v>10</v>
      </c>
      <c r="I4112" t="s">
        <v>27</v>
      </c>
      <c r="J4112" t="s">
        <v>61</v>
      </c>
      <c r="K4112" t="str">
        <f>"119335"</f>
        <v>119335</v>
      </c>
    </row>
    <row r="4113" spans="1:11" x14ac:dyDescent="0.25">
      <c r="A4113">
        <v>2023</v>
      </c>
      <c r="B4113" t="s">
        <v>6253</v>
      </c>
      <c r="C4113" t="s">
        <v>6254</v>
      </c>
      <c r="D4113" t="s">
        <v>19</v>
      </c>
      <c r="E4113" t="s">
        <v>20</v>
      </c>
      <c r="F4113" t="str">
        <f>"43611"</f>
        <v>43611</v>
      </c>
      <c r="G4113" t="str">
        <f>"Je12142023"</f>
        <v>Je12142023</v>
      </c>
      <c r="H4113" s="2">
        <f>20</f>
        <v>20</v>
      </c>
      <c r="I4113" t="s">
        <v>15</v>
      </c>
      <c r="J4113" t="s">
        <v>176</v>
      </c>
      <c r="K4113" t="str">
        <f>"60101431"</f>
        <v>60101431</v>
      </c>
    </row>
    <row r="4114" spans="1:11" x14ac:dyDescent="0.25">
      <c r="A4114">
        <v>2023</v>
      </c>
      <c r="B4114" t="s">
        <v>6267</v>
      </c>
      <c r="C4114" t="s">
        <v>6268</v>
      </c>
      <c r="D4114" t="s">
        <v>19</v>
      </c>
      <c r="E4114" t="s">
        <v>20</v>
      </c>
      <c r="F4114" t="str">
        <f>"43607-2740"</f>
        <v>43607-2740</v>
      </c>
      <c r="G4114" t="str">
        <f>"637573"</f>
        <v>637573</v>
      </c>
      <c r="H4114" s="2">
        <f>20</f>
        <v>20</v>
      </c>
      <c r="I4114" t="s">
        <v>27</v>
      </c>
      <c r="J4114" t="s">
        <v>61</v>
      </c>
      <c r="K4114" t="str">
        <f>"119196"</f>
        <v>119196</v>
      </c>
    </row>
    <row r="4115" spans="1:11" x14ac:dyDescent="0.25">
      <c r="A4115">
        <v>2023</v>
      </c>
      <c r="B4115" t="s">
        <v>6289</v>
      </c>
      <c r="C4115" t="s">
        <v>6290</v>
      </c>
      <c r="D4115" t="s">
        <v>19</v>
      </c>
      <c r="E4115" t="s">
        <v>20</v>
      </c>
      <c r="F4115" t="str">
        <f>"43615"</f>
        <v>43615</v>
      </c>
      <c r="G4115" t="str">
        <f>"Je12142023"</f>
        <v>Je12142023</v>
      </c>
      <c r="H4115" s="2">
        <f>534.34</f>
        <v>534.34</v>
      </c>
      <c r="I4115" t="s">
        <v>15</v>
      </c>
      <c r="J4115" t="s">
        <v>176</v>
      </c>
      <c r="K4115" t="str">
        <f>"60096215"</f>
        <v>60096215</v>
      </c>
    </row>
    <row r="4116" spans="1:11" x14ac:dyDescent="0.25">
      <c r="A4116">
        <v>2023</v>
      </c>
      <c r="B4116" t="s">
        <v>6303</v>
      </c>
      <c r="C4116" t="s">
        <v>6304</v>
      </c>
      <c r="D4116" t="s">
        <v>19</v>
      </c>
      <c r="E4116" t="s">
        <v>20</v>
      </c>
      <c r="F4116" t="str">
        <f>"43607-1059"</f>
        <v>43607-1059</v>
      </c>
      <c r="G4116" t="str">
        <f>"637573"</f>
        <v>637573</v>
      </c>
      <c r="H4116" s="2">
        <f>20</f>
        <v>20</v>
      </c>
      <c r="I4116" t="s">
        <v>27</v>
      </c>
      <c r="J4116" t="s">
        <v>61</v>
      </c>
      <c r="K4116" t="str">
        <f>"119849"</f>
        <v>119849</v>
      </c>
    </row>
    <row r="4117" spans="1:11" x14ac:dyDescent="0.25">
      <c r="A4117">
        <v>2023</v>
      </c>
      <c r="B4117" t="s">
        <v>6305</v>
      </c>
      <c r="C4117" t="s">
        <v>6306</v>
      </c>
      <c r="D4117" t="s">
        <v>19</v>
      </c>
      <c r="E4117" t="s">
        <v>20</v>
      </c>
      <c r="F4117" t="str">
        <f>"43617-1280"</f>
        <v>43617-1280</v>
      </c>
      <c r="G4117" t="str">
        <f>"637573"</f>
        <v>637573</v>
      </c>
      <c r="H4117" s="2">
        <f>10</f>
        <v>10</v>
      </c>
      <c r="I4117" t="s">
        <v>27</v>
      </c>
      <c r="J4117" t="s">
        <v>61</v>
      </c>
      <c r="K4117" t="str">
        <f>"119692"</f>
        <v>119692</v>
      </c>
    </row>
    <row r="4118" spans="1:11" x14ac:dyDescent="0.25">
      <c r="A4118">
        <v>2023</v>
      </c>
      <c r="B4118" t="s">
        <v>6326</v>
      </c>
      <c r="C4118" t="s">
        <v>6327</v>
      </c>
      <c r="D4118" t="s">
        <v>19</v>
      </c>
      <c r="E4118" t="s">
        <v>20</v>
      </c>
      <c r="F4118" t="str">
        <f>"43607-2151"</f>
        <v>43607-2151</v>
      </c>
      <c r="G4118" t="str">
        <f>"637573"</f>
        <v>637573</v>
      </c>
      <c r="H4118" s="2">
        <f>20</f>
        <v>20</v>
      </c>
      <c r="I4118" t="s">
        <v>27</v>
      </c>
      <c r="J4118" t="s">
        <v>61</v>
      </c>
      <c r="K4118" t="str">
        <f>"119784"</f>
        <v>119784</v>
      </c>
    </row>
    <row r="4119" spans="1:11" x14ac:dyDescent="0.25">
      <c r="A4119">
        <v>2023</v>
      </c>
      <c r="B4119" t="s">
        <v>6338</v>
      </c>
      <c r="C4119" t="s">
        <v>6339</v>
      </c>
      <c r="D4119" t="s">
        <v>50</v>
      </c>
      <c r="E4119" t="s">
        <v>20</v>
      </c>
      <c r="F4119" t="str">
        <f>"43560-9391"</f>
        <v>43560-9391</v>
      </c>
      <c r="G4119" t="str">
        <f>"Je012023"</f>
        <v>Je012023</v>
      </c>
      <c r="H4119" s="2">
        <f>30</f>
        <v>30</v>
      </c>
      <c r="I4119" t="s">
        <v>15</v>
      </c>
      <c r="J4119" t="s">
        <v>397</v>
      </c>
      <c r="K4119" t="str">
        <f>"60060338"</f>
        <v>60060338</v>
      </c>
    </row>
    <row r="4120" spans="1:11" x14ac:dyDescent="0.25">
      <c r="A4120">
        <v>2023</v>
      </c>
      <c r="B4120" t="s">
        <v>6361</v>
      </c>
      <c r="C4120" t="s">
        <v>6362</v>
      </c>
      <c r="D4120" t="s">
        <v>58</v>
      </c>
      <c r="E4120" t="s">
        <v>20</v>
      </c>
      <c r="F4120" t="str">
        <f>"43616"</f>
        <v>43616</v>
      </c>
      <c r="G4120" t="str">
        <f>"632482"</f>
        <v>632482</v>
      </c>
      <c r="H4120" s="2">
        <f>2233</f>
        <v>2233</v>
      </c>
      <c r="I4120" t="s">
        <v>27</v>
      </c>
      <c r="J4120" t="s">
        <v>157</v>
      </c>
      <c r="K4120" t="str">
        <f>"523236"</f>
        <v>523236</v>
      </c>
    </row>
    <row r="4121" spans="1:11" x14ac:dyDescent="0.25">
      <c r="A4121">
        <v>2023</v>
      </c>
      <c r="B4121" t="s">
        <v>6365</v>
      </c>
      <c r="C4121" t="s">
        <v>6366</v>
      </c>
      <c r="D4121" t="s">
        <v>19</v>
      </c>
      <c r="E4121" t="s">
        <v>20</v>
      </c>
      <c r="F4121" t="str">
        <f>"43605-1442"</f>
        <v>43605-1442</v>
      </c>
      <c r="G4121" t="str">
        <f>"637573"</f>
        <v>637573</v>
      </c>
      <c r="H4121" s="2">
        <f>20</f>
        <v>20</v>
      </c>
      <c r="I4121" t="s">
        <v>27</v>
      </c>
      <c r="J4121" t="s">
        <v>61</v>
      </c>
      <c r="K4121" t="str">
        <f>"119237"</f>
        <v>119237</v>
      </c>
    </row>
    <row r="4122" spans="1:11" x14ac:dyDescent="0.25">
      <c r="A4122">
        <v>2023</v>
      </c>
      <c r="B4122" t="s">
        <v>6375</v>
      </c>
      <c r="C4122" t="s">
        <v>6376</v>
      </c>
      <c r="D4122" t="s">
        <v>19</v>
      </c>
      <c r="E4122" t="s">
        <v>20</v>
      </c>
      <c r="F4122" t="str">
        <f>"43614-4537"</f>
        <v>43614-4537</v>
      </c>
      <c r="G4122" t="str">
        <f>"637573"</f>
        <v>637573</v>
      </c>
      <c r="H4122" s="2">
        <f>20</f>
        <v>20</v>
      </c>
      <c r="I4122" t="s">
        <v>27</v>
      </c>
      <c r="J4122" t="s">
        <v>61</v>
      </c>
      <c r="K4122" t="str">
        <f>"119952"</f>
        <v>119952</v>
      </c>
    </row>
    <row r="4123" spans="1:11" x14ac:dyDescent="0.25">
      <c r="A4123">
        <v>2023</v>
      </c>
      <c r="B4123" t="s">
        <v>6390</v>
      </c>
      <c r="C4123" t="s">
        <v>6391</v>
      </c>
      <c r="D4123" t="s">
        <v>19</v>
      </c>
      <c r="E4123" t="s">
        <v>20</v>
      </c>
      <c r="F4123" t="str">
        <f>"43623-2830"</f>
        <v>43623-2830</v>
      </c>
      <c r="G4123" t="str">
        <f>"637573"</f>
        <v>637573</v>
      </c>
      <c r="H4123" s="2">
        <f>10</f>
        <v>10</v>
      </c>
      <c r="I4123" t="s">
        <v>27</v>
      </c>
      <c r="J4123" t="s">
        <v>61</v>
      </c>
      <c r="K4123" t="str">
        <f>"119618"</f>
        <v>119618</v>
      </c>
    </row>
    <row r="4124" spans="1:11" x14ac:dyDescent="0.25">
      <c r="A4124">
        <v>2023</v>
      </c>
      <c r="B4124" t="s">
        <v>6402</v>
      </c>
      <c r="C4124" t="s">
        <v>6403</v>
      </c>
      <c r="D4124" t="s">
        <v>19</v>
      </c>
      <c r="E4124" t="s">
        <v>20</v>
      </c>
      <c r="F4124" t="str">
        <f>"43614-3820"</f>
        <v>43614-3820</v>
      </c>
      <c r="G4124" t="str">
        <f>"637573"</f>
        <v>637573</v>
      </c>
      <c r="H4124" s="2">
        <f>10</f>
        <v>10</v>
      </c>
      <c r="I4124" t="s">
        <v>27</v>
      </c>
      <c r="J4124" t="s">
        <v>61</v>
      </c>
      <c r="K4124" t="str">
        <f>"118788"</f>
        <v>118788</v>
      </c>
    </row>
    <row r="4125" spans="1:11" x14ac:dyDescent="0.25">
      <c r="A4125">
        <v>2023</v>
      </c>
      <c r="B4125" t="s">
        <v>6406</v>
      </c>
      <c r="C4125" t="s">
        <v>6407</v>
      </c>
      <c r="D4125" t="s">
        <v>19</v>
      </c>
      <c r="E4125" t="s">
        <v>20</v>
      </c>
      <c r="F4125" t="str">
        <f>"43611"</f>
        <v>43611</v>
      </c>
      <c r="G4125" t="str">
        <f>"Je12142023"</f>
        <v>Je12142023</v>
      </c>
      <c r="H4125" s="2">
        <f>197.1</f>
        <v>197.1</v>
      </c>
      <c r="I4125" t="s">
        <v>15</v>
      </c>
      <c r="J4125" t="s">
        <v>176</v>
      </c>
      <c r="K4125" t="str">
        <f>"60096708"</f>
        <v>60096708</v>
      </c>
    </row>
    <row r="4126" spans="1:11" x14ac:dyDescent="0.25">
      <c r="A4126">
        <v>2023</v>
      </c>
      <c r="B4126" t="s">
        <v>6408</v>
      </c>
      <c r="C4126" t="s">
        <v>6409</v>
      </c>
      <c r="D4126" t="s">
        <v>19</v>
      </c>
      <c r="E4126" t="s">
        <v>20</v>
      </c>
      <c r="F4126" t="str">
        <f>"43612-3614"</f>
        <v>43612-3614</v>
      </c>
      <c r="G4126" t="str">
        <f>"637573"</f>
        <v>637573</v>
      </c>
      <c r="H4126" s="2">
        <f>10</f>
        <v>10</v>
      </c>
      <c r="I4126" t="s">
        <v>27</v>
      </c>
      <c r="J4126" t="s">
        <v>61</v>
      </c>
      <c r="K4126" t="str">
        <f>"120340"</f>
        <v>120340</v>
      </c>
    </row>
    <row r="4127" spans="1:11" x14ac:dyDescent="0.25">
      <c r="A4127">
        <v>2023</v>
      </c>
      <c r="B4127" t="s">
        <v>6412</v>
      </c>
      <c r="C4127" t="s">
        <v>6413</v>
      </c>
      <c r="D4127" t="s">
        <v>50</v>
      </c>
      <c r="E4127" t="s">
        <v>20</v>
      </c>
      <c r="F4127" t="str">
        <f>"43560-2940"</f>
        <v>43560-2940</v>
      </c>
      <c r="G4127" t="str">
        <f>"637573"</f>
        <v>637573</v>
      </c>
      <c r="H4127" s="2">
        <f>20</f>
        <v>20</v>
      </c>
      <c r="I4127" t="s">
        <v>27</v>
      </c>
      <c r="J4127" t="s">
        <v>61</v>
      </c>
      <c r="K4127" t="str">
        <f>"119236"</f>
        <v>119236</v>
      </c>
    </row>
    <row r="4128" spans="1:11" x14ac:dyDescent="0.25">
      <c r="A4128">
        <v>2023</v>
      </c>
      <c r="B4128" t="s">
        <v>6414</v>
      </c>
      <c r="C4128" t="s">
        <v>6415</v>
      </c>
      <c r="D4128" t="s">
        <v>19</v>
      </c>
      <c r="E4128" t="s">
        <v>20</v>
      </c>
      <c r="F4128" t="str">
        <f>"43617-1312"</f>
        <v>43617-1312</v>
      </c>
      <c r="G4128" t="str">
        <f>"637573"</f>
        <v>637573</v>
      </c>
      <c r="H4128" s="2">
        <f>20</f>
        <v>20</v>
      </c>
      <c r="I4128" t="s">
        <v>27</v>
      </c>
      <c r="J4128" t="s">
        <v>61</v>
      </c>
      <c r="K4128" t="str">
        <f>"119451"</f>
        <v>119451</v>
      </c>
    </row>
    <row r="4129" spans="1:11" x14ac:dyDescent="0.25">
      <c r="A4129">
        <v>2023</v>
      </c>
      <c r="B4129" t="s">
        <v>6437</v>
      </c>
      <c r="C4129" t="s">
        <v>5178</v>
      </c>
      <c r="D4129" t="s">
        <v>19</v>
      </c>
      <c r="E4129" t="s">
        <v>20</v>
      </c>
      <c r="F4129" t="str">
        <f>"43613"</f>
        <v>43613</v>
      </c>
      <c r="G4129" t="str">
        <f>"632482"</f>
        <v>632482</v>
      </c>
      <c r="H4129" s="2">
        <f>25</f>
        <v>25</v>
      </c>
      <c r="I4129" t="s">
        <v>27</v>
      </c>
      <c r="J4129" t="s">
        <v>157</v>
      </c>
      <c r="K4129" t="str">
        <f>"522682"</f>
        <v>522682</v>
      </c>
    </row>
    <row r="4130" spans="1:11" x14ac:dyDescent="0.25">
      <c r="A4130">
        <v>2023</v>
      </c>
      <c r="B4130" t="s">
        <v>6437</v>
      </c>
      <c r="C4130" t="s">
        <v>5178</v>
      </c>
      <c r="D4130" t="s">
        <v>19</v>
      </c>
      <c r="E4130" t="s">
        <v>20</v>
      </c>
      <c r="F4130" t="str">
        <f>"43613"</f>
        <v>43613</v>
      </c>
      <c r="G4130" t="str">
        <f>"632482"</f>
        <v>632482</v>
      </c>
      <c r="H4130" s="2">
        <f>25</f>
        <v>25</v>
      </c>
      <c r="I4130" t="s">
        <v>27</v>
      </c>
      <c r="J4130" t="s">
        <v>157</v>
      </c>
      <c r="K4130" t="str">
        <f>"523064"</f>
        <v>523064</v>
      </c>
    </row>
    <row r="4131" spans="1:11" x14ac:dyDescent="0.25">
      <c r="A4131">
        <v>2023</v>
      </c>
      <c r="B4131" t="s">
        <v>6437</v>
      </c>
      <c r="C4131" t="s">
        <v>5178</v>
      </c>
      <c r="D4131" t="s">
        <v>19</v>
      </c>
      <c r="E4131" t="s">
        <v>20</v>
      </c>
      <c r="F4131" t="str">
        <f>"43613"</f>
        <v>43613</v>
      </c>
      <c r="G4131" t="str">
        <f>"632482"</f>
        <v>632482</v>
      </c>
      <c r="H4131" s="2">
        <f>25</f>
        <v>25</v>
      </c>
      <c r="I4131" t="s">
        <v>27</v>
      </c>
      <c r="J4131" t="s">
        <v>157</v>
      </c>
      <c r="K4131" t="str">
        <f>"522908"</f>
        <v>522908</v>
      </c>
    </row>
    <row r="4132" spans="1:11" x14ac:dyDescent="0.25">
      <c r="A4132">
        <v>2023</v>
      </c>
      <c r="B4132" t="s">
        <v>6444</v>
      </c>
      <c r="C4132" t="s">
        <v>6445</v>
      </c>
      <c r="D4132" t="s">
        <v>19</v>
      </c>
      <c r="E4132" t="s">
        <v>20</v>
      </c>
      <c r="F4132" t="str">
        <f>"43608"</f>
        <v>43608</v>
      </c>
      <c r="G4132" t="str">
        <f>"Je12142023"</f>
        <v>Je12142023</v>
      </c>
      <c r="H4132" s="2">
        <f>126.4</f>
        <v>126.4</v>
      </c>
      <c r="I4132" t="s">
        <v>15</v>
      </c>
      <c r="J4132" t="s">
        <v>176</v>
      </c>
      <c r="K4132" t="str">
        <f>"60096920"</f>
        <v>60096920</v>
      </c>
    </row>
    <row r="4133" spans="1:11" x14ac:dyDescent="0.25">
      <c r="A4133">
        <v>2023</v>
      </c>
      <c r="B4133" t="s">
        <v>6450</v>
      </c>
      <c r="C4133" t="s">
        <v>6451</v>
      </c>
      <c r="D4133" t="s">
        <v>771</v>
      </c>
      <c r="E4133" t="s">
        <v>20</v>
      </c>
      <c r="F4133" t="str">
        <f>"43460"</f>
        <v>43460</v>
      </c>
      <c r="G4133" t="str">
        <f>"Je04112023"</f>
        <v>Je04112023</v>
      </c>
      <c r="H4133" s="2">
        <f>51.97</f>
        <v>51.97</v>
      </c>
      <c r="I4133" t="s">
        <v>15</v>
      </c>
      <c r="J4133" t="s">
        <v>412</v>
      </c>
      <c r="K4133" t="str">
        <f>"60071790"</f>
        <v>60071790</v>
      </c>
    </row>
    <row r="4134" spans="1:11" x14ac:dyDescent="0.25">
      <c r="A4134">
        <v>2023</v>
      </c>
      <c r="B4134" t="s">
        <v>6450</v>
      </c>
      <c r="C4134" t="s">
        <v>6451</v>
      </c>
      <c r="D4134" t="s">
        <v>771</v>
      </c>
      <c r="E4134" t="s">
        <v>20</v>
      </c>
      <c r="F4134" t="str">
        <f>"43460"</f>
        <v>43460</v>
      </c>
      <c r="G4134" t="str">
        <f>"Je04112023"</f>
        <v>Je04112023</v>
      </c>
      <c r="H4134" s="2">
        <f>51.97</f>
        <v>51.97</v>
      </c>
      <c r="I4134" t="s">
        <v>15</v>
      </c>
      <c r="J4134" t="s">
        <v>412</v>
      </c>
      <c r="K4134" t="str">
        <f>"60069023"</f>
        <v>60069023</v>
      </c>
    </row>
    <row r="4135" spans="1:11" x14ac:dyDescent="0.25">
      <c r="A4135">
        <v>2023</v>
      </c>
      <c r="B4135" t="s">
        <v>6453</v>
      </c>
      <c r="C4135" t="s">
        <v>6454</v>
      </c>
      <c r="D4135" t="s">
        <v>19</v>
      </c>
      <c r="E4135" t="s">
        <v>20</v>
      </c>
      <c r="F4135" t="str">
        <f>"43623-1512"</f>
        <v>43623-1512</v>
      </c>
      <c r="G4135" t="str">
        <f>"637573"</f>
        <v>637573</v>
      </c>
      <c r="H4135" s="2">
        <f>10</f>
        <v>10</v>
      </c>
      <c r="I4135" t="s">
        <v>27</v>
      </c>
      <c r="J4135" t="s">
        <v>61</v>
      </c>
      <c r="K4135" t="str">
        <f>"120795"</f>
        <v>120795</v>
      </c>
    </row>
    <row r="4136" spans="1:11" x14ac:dyDescent="0.25">
      <c r="A4136">
        <v>2023</v>
      </c>
      <c r="B4136" t="s">
        <v>6457</v>
      </c>
      <c r="C4136" t="s">
        <v>6456</v>
      </c>
      <c r="D4136" t="s">
        <v>3853</v>
      </c>
      <c r="E4136" t="s">
        <v>20</v>
      </c>
      <c r="F4136" t="str">
        <f>"43447"</f>
        <v>43447</v>
      </c>
      <c r="G4136" t="str">
        <f>"Je04112023"</f>
        <v>Je04112023</v>
      </c>
      <c r="H4136" s="2">
        <f>44.55</f>
        <v>44.55</v>
      </c>
      <c r="I4136" t="s">
        <v>15</v>
      </c>
      <c r="J4136" t="s">
        <v>412</v>
      </c>
      <c r="K4136" t="str">
        <f>"60073942"</f>
        <v>60073942</v>
      </c>
    </row>
    <row r="4137" spans="1:11" x14ac:dyDescent="0.25">
      <c r="A4137">
        <v>2023</v>
      </c>
      <c r="B4137" t="s">
        <v>6465</v>
      </c>
      <c r="C4137" t="s">
        <v>6466</v>
      </c>
      <c r="D4137" t="s">
        <v>19</v>
      </c>
      <c r="E4137" t="s">
        <v>20</v>
      </c>
      <c r="F4137" t="str">
        <f>"43623-3404"</f>
        <v>43623-3404</v>
      </c>
      <c r="G4137" t="str">
        <f>"637573"</f>
        <v>637573</v>
      </c>
      <c r="H4137" s="2">
        <f>30</f>
        <v>30</v>
      </c>
      <c r="I4137" t="s">
        <v>27</v>
      </c>
      <c r="J4137" t="s">
        <v>61</v>
      </c>
      <c r="K4137" t="str">
        <f>"118494"</f>
        <v>118494</v>
      </c>
    </row>
    <row r="4138" spans="1:11" x14ac:dyDescent="0.25">
      <c r="A4138">
        <v>2023</v>
      </c>
      <c r="B4138" t="s">
        <v>6465</v>
      </c>
      <c r="C4138" t="s">
        <v>6466</v>
      </c>
      <c r="D4138" t="s">
        <v>19</v>
      </c>
      <c r="E4138" t="s">
        <v>20</v>
      </c>
      <c r="F4138" t="str">
        <f>"43623-3404"</f>
        <v>43623-3404</v>
      </c>
      <c r="G4138" t="str">
        <f>"637573"</f>
        <v>637573</v>
      </c>
      <c r="H4138" s="2">
        <f>30</f>
        <v>30</v>
      </c>
      <c r="I4138" t="s">
        <v>27</v>
      </c>
      <c r="J4138" t="s">
        <v>61</v>
      </c>
      <c r="K4138" t="str">
        <f>"118482"</f>
        <v>118482</v>
      </c>
    </row>
    <row r="4139" spans="1:11" x14ac:dyDescent="0.25">
      <c r="A4139">
        <v>2023</v>
      </c>
      <c r="B4139" t="s">
        <v>6470</v>
      </c>
      <c r="C4139" t="s">
        <v>6471</v>
      </c>
      <c r="D4139" t="s">
        <v>19</v>
      </c>
      <c r="E4139" t="s">
        <v>20</v>
      </c>
      <c r="F4139" t="str">
        <f>"43542"</f>
        <v>43542</v>
      </c>
      <c r="G4139" t="str">
        <f>"Je10162023"</f>
        <v>Je10162023</v>
      </c>
      <c r="H4139" s="2">
        <f>26.94</f>
        <v>26.94</v>
      </c>
      <c r="I4139" t="s">
        <v>15</v>
      </c>
      <c r="J4139" t="s">
        <v>93</v>
      </c>
      <c r="K4139" t="str">
        <f>"60087372"</f>
        <v>60087372</v>
      </c>
    </row>
    <row r="4140" spans="1:11" x14ac:dyDescent="0.25">
      <c r="A4140">
        <v>2023</v>
      </c>
      <c r="B4140" t="s">
        <v>6483</v>
      </c>
      <c r="C4140" t="s">
        <v>6484</v>
      </c>
      <c r="D4140" t="s">
        <v>19</v>
      </c>
      <c r="E4140" t="s">
        <v>20</v>
      </c>
      <c r="F4140" t="str">
        <f>"43609"</f>
        <v>43609</v>
      </c>
      <c r="G4140" t="str">
        <f>"632482"</f>
        <v>632482</v>
      </c>
      <c r="H4140" s="2">
        <f>20</f>
        <v>20</v>
      </c>
      <c r="I4140" t="s">
        <v>27</v>
      </c>
      <c r="J4140" t="s">
        <v>157</v>
      </c>
      <c r="K4140" t="str">
        <f>"522980"</f>
        <v>522980</v>
      </c>
    </row>
    <row r="4141" spans="1:11" x14ac:dyDescent="0.25">
      <c r="A4141">
        <v>2023</v>
      </c>
      <c r="B4141" t="s">
        <v>6483</v>
      </c>
      <c r="C4141" t="s">
        <v>6484</v>
      </c>
      <c r="D4141" t="s">
        <v>19</v>
      </c>
      <c r="E4141" t="s">
        <v>20</v>
      </c>
      <c r="F4141" t="str">
        <f>"43609"</f>
        <v>43609</v>
      </c>
      <c r="G4141" t="str">
        <f>"632482"</f>
        <v>632482</v>
      </c>
      <c r="H4141" s="2">
        <f>20</f>
        <v>20</v>
      </c>
      <c r="I4141" t="s">
        <v>27</v>
      </c>
      <c r="J4141" t="s">
        <v>157</v>
      </c>
      <c r="K4141" t="str">
        <f>"522604"</f>
        <v>522604</v>
      </c>
    </row>
    <row r="4142" spans="1:11" x14ac:dyDescent="0.25">
      <c r="A4142">
        <v>2023</v>
      </c>
      <c r="B4142" t="s">
        <v>6535</v>
      </c>
      <c r="C4142" t="s">
        <v>6536</v>
      </c>
      <c r="D4142" t="s">
        <v>19</v>
      </c>
      <c r="E4142" t="s">
        <v>20</v>
      </c>
      <c r="F4142" t="str">
        <f>"43615-8329"</f>
        <v>43615-8329</v>
      </c>
      <c r="G4142" t="str">
        <f>"637573"</f>
        <v>637573</v>
      </c>
      <c r="H4142" s="2">
        <f>20</f>
        <v>20</v>
      </c>
      <c r="I4142" t="s">
        <v>27</v>
      </c>
      <c r="J4142" t="s">
        <v>61</v>
      </c>
      <c r="K4142" t="str">
        <f>"119200"</f>
        <v>119200</v>
      </c>
    </row>
    <row r="4143" spans="1:11" x14ac:dyDescent="0.25">
      <c r="A4143">
        <v>2023</v>
      </c>
      <c r="B4143" t="s">
        <v>6541</v>
      </c>
      <c r="C4143" t="s">
        <v>6542</v>
      </c>
      <c r="D4143" t="s">
        <v>58</v>
      </c>
      <c r="E4143" t="s">
        <v>20</v>
      </c>
      <c r="F4143" t="str">
        <f>"43616-4404"</f>
        <v>43616-4404</v>
      </c>
      <c r="G4143" t="str">
        <f>"637573"</f>
        <v>637573</v>
      </c>
      <c r="H4143" s="2">
        <f>10</f>
        <v>10</v>
      </c>
      <c r="I4143" t="s">
        <v>27</v>
      </c>
      <c r="J4143" t="s">
        <v>61</v>
      </c>
      <c r="K4143" t="str">
        <f>"119695"</f>
        <v>119695</v>
      </c>
    </row>
    <row r="4144" spans="1:11" x14ac:dyDescent="0.25">
      <c r="A4144">
        <v>2023</v>
      </c>
      <c r="B4144" t="s">
        <v>6565</v>
      </c>
      <c r="C4144" t="s">
        <v>6566</v>
      </c>
      <c r="D4144" t="s">
        <v>50</v>
      </c>
      <c r="E4144" t="s">
        <v>20</v>
      </c>
      <c r="F4144" t="str">
        <f>"43560"</f>
        <v>43560</v>
      </c>
      <c r="G4144" t="str">
        <f>"589332"</f>
        <v>589332</v>
      </c>
      <c r="H4144" s="2">
        <f>6</f>
        <v>6</v>
      </c>
      <c r="I4144" t="s">
        <v>519</v>
      </c>
      <c r="J4144" t="s">
        <v>519</v>
      </c>
      <c r="K4144" t="str">
        <f>"14989"</f>
        <v>14989</v>
      </c>
    </row>
    <row r="4145" spans="1:11" x14ac:dyDescent="0.25">
      <c r="A4145">
        <v>2023</v>
      </c>
      <c r="B4145" t="s">
        <v>6579</v>
      </c>
      <c r="C4145" t="s">
        <v>6580</v>
      </c>
      <c r="D4145" t="s">
        <v>19</v>
      </c>
      <c r="E4145" t="s">
        <v>20</v>
      </c>
      <c r="F4145" t="str">
        <f>"43608"</f>
        <v>43608</v>
      </c>
      <c r="G4145" t="str">
        <f>"Je10162023"</f>
        <v>Je10162023</v>
      </c>
      <c r="H4145" s="2">
        <f>0.61</f>
        <v>0.61</v>
      </c>
      <c r="I4145" t="s">
        <v>15</v>
      </c>
      <c r="J4145" t="s">
        <v>93</v>
      </c>
      <c r="K4145" t="str">
        <f>"60087026"</f>
        <v>60087026</v>
      </c>
    </row>
    <row r="4146" spans="1:11" x14ac:dyDescent="0.25">
      <c r="A4146">
        <v>2023</v>
      </c>
      <c r="B4146" t="s">
        <v>6608</v>
      </c>
      <c r="C4146" t="s">
        <v>6609</v>
      </c>
      <c r="D4146" t="s">
        <v>19</v>
      </c>
      <c r="E4146" t="s">
        <v>20</v>
      </c>
      <c r="F4146" t="str">
        <f>"43607"</f>
        <v>43607</v>
      </c>
      <c r="G4146" t="str">
        <f>"Je12142023"</f>
        <v>Je12142023</v>
      </c>
      <c r="H4146" s="2">
        <f>130.78</f>
        <v>130.78</v>
      </c>
      <c r="I4146" t="s">
        <v>15</v>
      </c>
      <c r="J4146" t="s">
        <v>176</v>
      </c>
      <c r="K4146" t="str">
        <f>"60100081"</f>
        <v>60100081</v>
      </c>
    </row>
    <row r="4147" spans="1:11" x14ac:dyDescent="0.25">
      <c r="A4147">
        <v>2023</v>
      </c>
      <c r="B4147" t="s">
        <v>6615</v>
      </c>
      <c r="C4147" t="s">
        <v>6616</v>
      </c>
      <c r="D4147" t="s">
        <v>19</v>
      </c>
      <c r="E4147" t="s">
        <v>20</v>
      </c>
      <c r="F4147" t="str">
        <f>"43607-1636"</f>
        <v>43607-1636</v>
      </c>
      <c r="G4147" t="str">
        <f>"637573"</f>
        <v>637573</v>
      </c>
      <c r="H4147" s="2">
        <f>10</f>
        <v>10</v>
      </c>
      <c r="I4147" t="s">
        <v>27</v>
      </c>
      <c r="J4147" t="s">
        <v>61</v>
      </c>
      <c r="K4147" t="str">
        <f>"120174"</f>
        <v>120174</v>
      </c>
    </row>
    <row r="4148" spans="1:11" x14ac:dyDescent="0.25">
      <c r="A4148">
        <v>2023</v>
      </c>
      <c r="B4148" t="s">
        <v>6617</v>
      </c>
      <c r="C4148" t="s">
        <v>6618</v>
      </c>
      <c r="D4148" t="s">
        <v>105</v>
      </c>
      <c r="E4148" t="s">
        <v>20</v>
      </c>
      <c r="F4148" t="str">
        <f>"43528-8769"</f>
        <v>43528-8769</v>
      </c>
      <c r="G4148" t="str">
        <f>"637573"</f>
        <v>637573</v>
      </c>
      <c r="H4148" s="2">
        <f>10</f>
        <v>10</v>
      </c>
      <c r="I4148" t="s">
        <v>27</v>
      </c>
      <c r="J4148" t="s">
        <v>61</v>
      </c>
      <c r="K4148" t="str">
        <f>"120926"</f>
        <v>120926</v>
      </c>
    </row>
    <row r="4149" spans="1:11" x14ac:dyDescent="0.25">
      <c r="A4149">
        <v>2023</v>
      </c>
      <c r="B4149" t="s">
        <v>6624</v>
      </c>
      <c r="C4149" t="s">
        <v>6625</v>
      </c>
      <c r="D4149" t="s">
        <v>64</v>
      </c>
      <c r="E4149" t="s">
        <v>20</v>
      </c>
      <c r="F4149" t="str">
        <f>"43566-9788"</f>
        <v>43566-9788</v>
      </c>
      <c r="G4149" t="str">
        <f>"637573"</f>
        <v>637573</v>
      </c>
      <c r="H4149" s="2">
        <f>10</f>
        <v>10</v>
      </c>
      <c r="I4149" t="s">
        <v>27</v>
      </c>
      <c r="J4149" t="s">
        <v>61</v>
      </c>
      <c r="K4149" t="str">
        <f>"120018"</f>
        <v>120018</v>
      </c>
    </row>
    <row r="4150" spans="1:11" x14ac:dyDescent="0.25">
      <c r="A4150">
        <v>2023</v>
      </c>
      <c r="B4150" t="s">
        <v>6638</v>
      </c>
      <c r="C4150" t="s">
        <v>6639</v>
      </c>
      <c r="D4150" t="s">
        <v>19</v>
      </c>
      <c r="E4150" t="s">
        <v>20</v>
      </c>
      <c r="F4150" t="str">
        <f>"43606-3072"</f>
        <v>43606-3072</v>
      </c>
      <c r="G4150" t="str">
        <f>"637573"</f>
        <v>637573</v>
      </c>
      <c r="H4150" s="2">
        <f>10</f>
        <v>10</v>
      </c>
      <c r="I4150" t="s">
        <v>27</v>
      </c>
      <c r="J4150" t="s">
        <v>61</v>
      </c>
      <c r="K4150" t="str">
        <f>"120275"</f>
        <v>120275</v>
      </c>
    </row>
    <row r="4151" spans="1:11" x14ac:dyDescent="0.25">
      <c r="A4151">
        <v>2023</v>
      </c>
      <c r="B4151" t="s">
        <v>6648</v>
      </c>
      <c r="C4151" t="s">
        <v>6649</v>
      </c>
      <c r="D4151" t="s">
        <v>19</v>
      </c>
      <c r="E4151" t="s">
        <v>20</v>
      </c>
      <c r="F4151" t="str">
        <f>"43605"</f>
        <v>43605</v>
      </c>
      <c r="G4151" t="str">
        <f>"632483"</f>
        <v>632483</v>
      </c>
      <c r="H4151" s="2">
        <f>314.49</f>
        <v>314.49</v>
      </c>
      <c r="I4151" t="s">
        <v>27</v>
      </c>
      <c r="J4151" t="s">
        <v>108</v>
      </c>
      <c r="K4151" t="str">
        <f>"38605"</f>
        <v>38605</v>
      </c>
    </row>
    <row r="4152" spans="1:11" x14ac:dyDescent="0.25">
      <c r="A4152">
        <v>2023</v>
      </c>
      <c r="B4152" t="s">
        <v>6661</v>
      </c>
      <c r="C4152" t="s">
        <v>4121</v>
      </c>
      <c r="D4152" t="s">
        <v>58</v>
      </c>
      <c r="E4152" t="s">
        <v>20</v>
      </c>
      <c r="F4152" t="str">
        <f>"43616-2337"</f>
        <v>43616-2337</v>
      </c>
      <c r="G4152" t="str">
        <f>"637573"</f>
        <v>637573</v>
      </c>
      <c r="H4152" s="2">
        <f>10</f>
        <v>10</v>
      </c>
      <c r="I4152" t="s">
        <v>27</v>
      </c>
      <c r="J4152" t="s">
        <v>61</v>
      </c>
      <c r="K4152" t="str">
        <f>"120148"</f>
        <v>120148</v>
      </c>
    </row>
    <row r="4153" spans="1:11" x14ac:dyDescent="0.25">
      <c r="A4153">
        <v>2023</v>
      </c>
      <c r="B4153" t="s">
        <v>6666</v>
      </c>
      <c r="C4153" t="s">
        <v>6667</v>
      </c>
      <c r="D4153" t="s">
        <v>105</v>
      </c>
      <c r="E4153" t="s">
        <v>20</v>
      </c>
      <c r="F4153" t="str">
        <f>"43528-8192"</f>
        <v>43528-8192</v>
      </c>
      <c r="G4153" t="str">
        <f>"637573"</f>
        <v>637573</v>
      </c>
      <c r="H4153" s="2">
        <f>10</f>
        <v>10</v>
      </c>
      <c r="I4153" t="s">
        <v>27</v>
      </c>
      <c r="J4153" t="s">
        <v>61</v>
      </c>
      <c r="K4153" t="str">
        <f>"120797"</f>
        <v>120797</v>
      </c>
    </row>
    <row r="4154" spans="1:11" x14ac:dyDescent="0.25">
      <c r="A4154">
        <v>2023</v>
      </c>
      <c r="B4154" t="s">
        <v>6679</v>
      </c>
      <c r="C4154" t="s">
        <v>6680</v>
      </c>
      <c r="D4154" t="s">
        <v>19</v>
      </c>
      <c r="E4154" t="s">
        <v>20</v>
      </c>
      <c r="F4154" t="str">
        <f>"43606"</f>
        <v>43606</v>
      </c>
      <c r="G4154" t="str">
        <f>"632482"</f>
        <v>632482</v>
      </c>
      <c r="H4154" s="2">
        <f>25</f>
        <v>25</v>
      </c>
      <c r="I4154" t="s">
        <v>27</v>
      </c>
      <c r="J4154" t="s">
        <v>157</v>
      </c>
      <c r="K4154" t="str">
        <f>"522218"</f>
        <v>522218</v>
      </c>
    </row>
    <row r="4155" spans="1:11" x14ac:dyDescent="0.25">
      <c r="A4155">
        <v>2023</v>
      </c>
      <c r="B4155" t="s">
        <v>6683</v>
      </c>
      <c r="C4155" t="s">
        <v>6684</v>
      </c>
      <c r="D4155" t="s">
        <v>125</v>
      </c>
      <c r="E4155" t="s">
        <v>20</v>
      </c>
      <c r="F4155" t="str">
        <f>"43537-1209"</f>
        <v>43537-1209</v>
      </c>
      <c r="G4155" t="str">
        <f>"637573"</f>
        <v>637573</v>
      </c>
      <c r="H4155" s="2">
        <f>60</f>
        <v>60</v>
      </c>
      <c r="I4155" t="s">
        <v>27</v>
      </c>
      <c r="J4155" t="s">
        <v>61</v>
      </c>
      <c r="K4155" t="str">
        <f>"120889"</f>
        <v>120889</v>
      </c>
    </row>
    <row r="4156" spans="1:11" x14ac:dyDescent="0.25">
      <c r="A4156">
        <v>2023</v>
      </c>
      <c r="B4156" t="s">
        <v>6696</v>
      </c>
      <c r="C4156" t="s">
        <v>6697</v>
      </c>
      <c r="D4156" t="s">
        <v>50</v>
      </c>
      <c r="E4156" t="s">
        <v>20</v>
      </c>
      <c r="F4156" t="str">
        <f>"43560"</f>
        <v>43560</v>
      </c>
      <c r="G4156" t="str">
        <f>"632482"</f>
        <v>632482</v>
      </c>
      <c r="H4156" s="2">
        <f>17.19</f>
        <v>17.190000000000001</v>
      </c>
      <c r="I4156" t="s">
        <v>27</v>
      </c>
      <c r="J4156" t="s">
        <v>157</v>
      </c>
      <c r="K4156" t="str">
        <f>"522026"</f>
        <v>522026</v>
      </c>
    </row>
    <row r="4157" spans="1:11" x14ac:dyDescent="0.25">
      <c r="A4157">
        <v>2023</v>
      </c>
      <c r="B4157" t="s">
        <v>6703</v>
      </c>
      <c r="C4157" t="s">
        <v>6704</v>
      </c>
      <c r="D4157" t="s">
        <v>58</v>
      </c>
      <c r="E4157" t="s">
        <v>20</v>
      </c>
      <c r="F4157" t="str">
        <f>"43616-2044"</f>
        <v>43616-2044</v>
      </c>
      <c r="G4157" t="str">
        <f>"637573"</f>
        <v>637573</v>
      </c>
      <c r="H4157" s="2">
        <f>10</f>
        <v>10</v>
      </c>
      <c r="I4157" t="s">
        <v>27</v>
      </c>
      <c r="J4157" t="s">
        <v>61</v>
      </c>
      <c r="K4157" t="str">
        <f>"118600"</f>
        <v>118600</v>
      </c>
    </row>
    <row r="4158" spans="1:11" x14ac:dyDescent="0.25">
      <c r="A4158">
        <v>2023</v>
      </c>
      <c r="B4158" t="s">
        <v>6705</v>
      </c>
      <c r="C4158" t="s">
        <v>6706</v>
      </c>
      <c r="D4158" t="s">
        <v>125</v>
      </c>
      <c r="E4158" t="s">
        <v>20</v>
      </c>
      <c r="F4158" t="str">
        <f>"43537-3129"</f>
        <v>43537-3129</v>
      </c>
      <c r="G4158" t="str">
        <f>"637573"</f>
        <v>637573</v>
      </c>
      <c r="H4158" s="2">
        <f>10</f>
        <v>10</v>
      </c>
      <c r="I4158" t="s">
        <v>27</v>
      </c>
      <c r="J4158" t="s">
        <v>61</v>
      </c>
      <c r="K4158" t="str">
        <f>"120412"</f>
        <v>120412</v>
      </c>
    </row>
    <row r="4159" spans="1:11" x14ac:dyDescent="0.25">
      <c r="A4159">
        <v>2023</v>
      </c>
      <c r="B4159" t="s">
        <v>6707</v>
      </c>
      <c r="C4159" t="s">
        <v>6708</v>
      </c>
      <c r="D4159" t="s">
        <v>19</v>
      </c>
      <c r="E4159" t="s">
        <v>20</v>
      </c>
      <c r="F4159" t="str">
        <f>"43607-3119"</f>
        <v>43607-3119</v>
      </c>
      <c r="G4159" t="str">
        <f>"637573"</f>
        <v>637573</v>
      </c>
      <c r="H4159" s="2">
        <f>10</f>
        <v>10</v>
      </c>
      <c r="I4159" t="s">
        <v>27</v>
      </c>
      <c r="J4159" t="s">
        <v>61</v>
      </c>
      <c r="K4159" t="str">
        <f>"120565"</f>
        <v>120565</v>
      </c>
    </row>
    <row r="4160" spans="1:11" x14ac:dyDescent="0.25">
      <c r="A4160">
        <v>2023</v>
      </c>
      <c r="B4160" t="s">
        <v>6709</v>
      </c>
      <c r="C4160" t="s">
        <v>6710</v>
      </c>
      <c r="D4160" t="s">
        <v>105</v>
      </c>
      <c r="E4160" t="s">
        <v>20</v>
      </c>
      <c r="F4160" t="str">
        <f>"43528"</f>
        <v>43528</v>
      </c>
      <c r="G4160" t="str">
        <f>"Je04112023"</f>
        <v>Je04112023</v>
      </c>
      <c r="H4160" s="2">
        <f>178.29</f>
        <v>178.29</v>
      </c>
      <c r="I4160" t="s">
        <v>15</v>
      </c>
      <c r="J4160" t="s">
        <v>412</v>
      </c>
      <c r="K4160" t="str">
        <f>"60073215"</f>
        <v>60073215</v>
      </c>
    </row>
    <row r="4161" spans="1:11" x14ac:dyDescent="0.25">
      <c r="A4161">
        <v>2023</v>
      </c>
      <c r="B4161" t="s">
        <v>6711</v>
      </c>
      <c r="C4161" t="s">
        <v>6710</v>
      </c>
      <c r="D4161" t="s">
        <v>105</v>
      </c>
      <c r="E4161" t="s">
        <v>20</v>
      </c>
      <c r="F4161" t="str">
        <f>"43528"</f>
        <v>43528</v>
      </c>
      <c r="G4161" t="str">
        <f>"Je04112023"</f>
        <v>Je04112023</v>
      </c>
      <c r="H4161" s="2">
        <f>79.86</f>
        <v>79.86</v>
      </c>
      <c r="I4161" t="s">
        <v>15</v>
      </c>
      <c r="J4161" t="s">
        <v>412</v>
      </c>
      <c r="K4161" t="str">
        <f>"60073218"</f>
        <v>60073218</v>
      </c>
    </row>
    <row r="4162" spans="1:11" x14ac:dyDescent="0.25">
      <c r="A4162">
        <v>2023</v>
      </c>
      <c r="B4162" t="s">
        <v>6711</v>
      </c>
      <c r="C4162" t="s">
        <v>6710</v>
      </c>
      <c r="D4162" t="s">
        <v>105</v>
      </c>
      <c r="E4162" t="s">
        <v>20</v>
      </c>
      <c r="F4162" t="str">
        <f>"43528"</f>
        <v>43528</v>
      </c>
      <c r="G4162" t="str">
        <f>"Je04112023"</f>
        <v>Je04112023</v>
      </c>
      <c r="H4162" s="2">
        <f>64.31</f>
        <v>64.31</v>
      </c>
      <c r="I4162" t="s">
        <v>15</v>
      </c>
      <c r="J4162" t="s">
        <v>412</v>
      </c>
      <c r="K4162" t="str">
        <f>"60073216"</f>
        <v>60073216</v>
      </c>
    </row>
    <row r="4163" spans="1:11" x14ac:dyDescent="0.25">
      <c r="A4163">
        <v>2023</v>
      </c>
      <c r="B4163" t="s">
        <v>6711</v>
      </c>
      <c r="C4163" t="s">
        <v>6710</v>
      </c>
      <c r="D4163" t="s">
        <v>105</v>
      </c>
      <c r="E4163" t="s">
        <v>20</v>
      </c>
      <c r="F4163" t="str">
        <f>"43528"</f>
        <v>43528</v>
      </c>
      <c r="G4163" t="str">
        <f>"Je04112023"</f>
        <v>Je04112023</v>
      </c>
      <c r="H4163" s="2">
        <f>226.24</f>
        <v>226.24</v>
      </c>
      <c r="I4163" t="s">
        <v>15</v>
      </c>
      <c r="J4163" t="s">
        <v>412</v>
      </c>
      <c r="K4163" t="str">
        <f>"60073217"</f>
        <v>60073217</v>
      </c>
    </row>
    <row r="4164" spans="1:11" x14ac:dyDescent="0.25">
      <c r="A4164">
        <v>2023</v>
      </c>
      <c r="B4164" t="s">
        <v>6720</v>
      </c>
      <c r="C4164" t="s">
        <v>6721</v>
      </c>
      <c r="D4164" t="s">
        <v>19</v>
      </c>
      <c r="E4164" t="s">
        <v>20</v>
      </c>
      <c r="F4164" t="str">
        <f>"43606"</f>
        <v>43606</v>
      </c>
      <c r="G4164" t="str">
        <f>"589300"</f>
        <v>589300</v>
      </c>
      <c r="H4164" s="2">
        <f>63</f>
        <v>63</v>
      </c>
      <c r="I4164" t="s">
        <v>148</v>
      </c>
      <c r="J4164" t="s">
        <v>6722</v>
      </c>
      <c r="K4164" t="str">
        <f>"26023"</f>
        <v>26023</v>
      </c>
    </row>
    <row r="4165" spans="1:11" x14ac:dyDescent="0.25">
      <c r="A4165">
        <v>2023</v>
      </c>
      <c r="B4165" t="s">
        <v>6754</v>
      </c>
      <c r="C4165" t="s">
        <v>6755</v>
      </c>
      <c r="D4165" t="s">
        <v>771</v>
      </c>
      <c r="E4165" t="s">
        <v>20</v>
      </c>
      <c r="F4165" t="str">
        <f>"43460"</f>
        <v>43460</v>
      </c>
      <c r="G4165" t="str">
        <f>"589300"</f>
        <v>589300</v>
      </c>
      <c r="H4165" s="2">
        <f>5</f>
        <v>5</v>
      </c>
      <c r="I4165" t="s">
        <v>148</v>
      </c>
      <c r="J4165" t="s">
        <v>6756</v>
      </c>
      <c r="K4165" t="str">
        <f>"26023"</f>
        <v>26023</v>
      </c>
    </row>
    <row r="4166" spans="1:11" x14ac:dyDescent="0.25">
      <c r="A4166">
        <v>2023</v>
      </c>
      <c r="B4166" t="s">
        <v>6759</v>
      </c>
      <c r="C4166" t="s">
        <v>6760</v>
      </c>
      <c r="D4166" t="s">
        <v>19</v>
      </c>
      <c r="E4166" t="s">
        <v>20</v>
      </c>
      <c r="F4166" t="str">
        <f>"43612-3413"</f>
        <v>43612-3413</v>
      </c>
      <c r="G4166" t="str">
        <f>"637573"</f>
        <v>637573</v>
      </c>
      <c r="H4166" s="2">
        <f>10</f>
        <v>10</v>
      </c>
      <c r="I4166" t="s">
        <v>27</v>
      </c>
      <c r="J4166" t="s">
        <v>61</v>
      </c>
      <c r="K4166" t="str">
        <f>"118998"</f>
        <v>118998</v>
      </c>
    </row>
    <row r="4167" spans="1:11" x14ac:dyDescent="0.25">
      <c r="A4167">
        <v>2023</v>
      </c>
      <c r="B4167" t="s">
        <v>6789</v>
      </c>
      <c r="C4167" t="s">
        <v>6790</v>
      </c>
      <c r="D4167" t="s">
        <v>19</v>
      </c>
      <c r="E4167" t="s">
        <v>20</v>
      </c>
      <c r="F4167" t="str">
        <f>"43615-6756"</f>
        <v>43615-6756</v>
      </c>
      <c r="G4167" t="str">
        <f>"637573"</f>
        <v>637573</v>
      </c>
      <c r="H4167" s="2">
        <f>20</f>
        <v>20</v>
      </c>
      <c r="I4167" t="s">
        <v>27</v>
      </c>
      <c r="J4167" t="s">
        <v>61</v>
      </c>
      <c r="K4167" t="str">
        <f>"119120"</f>
        <v>119120</v>
      </c>
    </row>
    <row r="4168" spans="1:11" x14ac:dyDescent="0.25">
      <c r="A4168">
        <v>2023</v>
      </c>
      <c r="B4168" t="s">
        <v>6797</v>
      </c>
      <c r="C4168" t="s">
        <v>155</v>
      </c>
      <c r="D4168" t="s">
        <v>156</v>
      </c>
      <c r="E4168" t="s">
        <v>20</v>
      </c>
      <c r="F4168" t="str">
        <f>"43515"</f>
        <v>43515</v>
      </c>
      <c r="G4168" t="str">
        <f>"632482"</f>
        <v>632482</v>
      </c>
      <c r="H4168" s="2">
        <f>10</f>
        <v>10</v>
      </c>
      <c r="I4168" t="s">
        <v>27</v>
      </c>
      <c r="J4168" t="s">
        <v>157</v>
      </c>
      <c r="K4168" t="str">
        <f>"522711"</f>
        <v>522711</v>
      </c>
    </row>
    <row r="4169" spans="1:11" x14ac:dyDescent="0.25">
      <c r="A4169">
        <v>2023</v>
      </c>
      <c r="B4169" t="s">
        <v>6800</v>
      </c>
      <c r="C4169" t="s">
        <v>6801</v>
      </c>
      <c r="D4169" t="s">
        <v>19</v>
      </c>
      <c r="E4169" t="s">
        <v>20</v>
      </c>
      <c r="F4169" t="str">
        <f>"43606"</f>
        <v>43606</v>
      </c>
      <c r="G4169" t="str">
        <f>"Je12142023"</f>
        <v>Je12142023</v>
      </c>
      <c r="H4169" s="2">
        <f>67.68</f>
        <v>67.680000000000007</v>
      </c>
      <c r="I4169" t="s">
        <v>15</v>
      </c>
      <c r="J4169" t="s">
        <v>176</v>
      </c>
      <c r="K4169" t="str">
        <f>"60094180"</f>
        <v>60094180</v>
      </c>
    </row>
    <row r="4170" spans="1:11" x14ac:dyDescent="0.25">
      <c r="A4170">
        <v>2023</v>
      </c>
      <c r="B4170" t="s">
        <v>6810</v>
      </c>
      <c r="C4170" t="s">
        <v>6811</v>
      </c>
      <c r="D4170" t="s">
        <v>50</v>
      </c>
      <c r="E4170" t="s">
        <v>20</v>
      </c>
      <c r="F4170" t="str">
        <f>"43560-9242"</f>
        <v>43560-9242</v>
      </c>
      <c r="G4170" t="str">
        <f>"637573"</f>
        <v>637573</v>
      </c>
      <c r="H4170" s="2">
        <f>10</f>
        <v>10</v>
      </c>
      <c r="I4170" t="s">
        <v>27</v>
      </c>
      <c r="J4170" t="s">
        <v>61</v>
      </c>
      <c r="K4170" t="str">
        <f>"120499"</f>
        <v>120499</v>
      </c>
    </row>
    <row r="4171" spans="1:11" x14ac:dyDescent="0.25">
      <c r="A4171">
        <v>2023</v>
      </c>
      <c r="B4171" t="s">
        <v>6831</v>
      </c>
      <c r="C4171" t="s">
        <v>6832</v>
      </c>
      <c r="D4171" t="s">
        <v>50</v>
      </c>
      <c r="E4171" t="s">
        <v>20</v>
      </c>
      <c r="F4171" t="str">
        <f>"43560-3642"</f>
        <v>43560-3642</v>
      </c>
      <c r="G4171" t="str">
        <f>"637573"</f>
        <v>637573</v>
      </c>
      <c r="H4171" s="2">
        <f>10</f>
        <v>10</v>
      </c>
      <c r="I4171" t="s">
        <v>27</v>
      </c>
      <c r="J4171" t="s">
        <v>61</v>
      </c>
      <c r="K4171" t="str">
        <f>"120592"</f>
        <v>120592</v>
      </c>
    </row>
    <row r="4172" spans="1:11" x14ac:dyDescent="0.25">
      <c r="A4172">
        <v>2023</v>
      </c>
      <c r="B4172" t="s">
        <v>6850</v>
      </c>
      <c r="C4172" t="s">
        <v>6851</v>
      </c>
      <c r="D4172" t="s">
        <v>19</v>
      </c>
      <c r="E4172" t="s">
        <v>20</v>
      </c>
      <c r="F4172" t="str">
        <f>"43611"</f>
        <v>43611</v>
      </c>
      <c r="G4172" t="str">
        <f>"632482"</f>
        <v>632482</v>
      </c>
      <c r="H4172" s="2">
        <f>30</f>
        <v>30</v>
      </c>
      <c r="I4172" t="s">
        <v>27</v>
      </c>
      <c r="J4172" t="s">
        <v>157</v>
      </c>
      <c r="K4172" t="str">
        <f>"523085"</f>
        <v>523085</v>
      </c>
    </row>
    <row r="4173" spans="1:11" x14ac:dyDescent="0.25">
      <c r="A4173">
        <v>2023</v>
      </c>
      <c r="B4173" t="s">
        <v>6876</v>
      </c>
      <c r="C4173" t="s">
        <v>6877</v>
      </c>
      <c r="D4173" t="s">
        <v>19</v>
      </c>
      <c r="E4173" t="s">
        <v>20</v>
      </c>
      <c r="F4173" t="str">
        <f>"43614"</f>
        <v>43614</v>
      </c>
      <c r="G4173" t="str">
        <f>"632482"</f>
        <v>632482</v>
      </c>
      <c r="H4173" s="2">
        <f>10</f>
        <v>10</v>
      </c>
      <c r="I4173" t="s">
        <v>27</v>
      </c>
      <c r="J4173" t="s">
        <v>157</v>
      </c>
      <c r="K4173" t="str">
        <f>"521365"</f>
        <v>521365</v>
      </c>
    </row>
    <row r="4174" spans="1:11" x14ac:dyDescent="0.25">
      <c r="A4174">
        <v>2023</v>
      </c>
      <c r="B4174" t="s">
        <v>6878</v>
      </c>
      <c r="C4174" t="s">
        <v>6879</v>
      </c>
      <c r="D4174" t="s">
        <v>19</v>
      </c>
      <c r="E4174" t="s">
        <v>20</v>
      </c>
      <c r="F4174" t="str">
        <f>"43604"</f>
        <v>43604</v>
      </c>
      <c r="G4174" t="str">
        <f>"632482"</f>
        <v>632482</v>
      </c>
      <c r="H4174" s="2">
        <f>17.19</f>
        <v>17.190000000000001</v>
      </c>
      <c r="I4174" t="s">
        <v>27</v>
      </c>
      <c r="J4174" t="s">
        <v>157</v>
      </c>
      <c r="K4174" t="str">
        <f>"522028"</f>
        <v>522028</v>
      </c>
    </row>
    <row r="4175" spans="1:11" x14ac:dyDescent="0.25">
      <c r="A4175">
        <v>2023</v>
      </c>
      <c r="B4175" t="s">
        <v>6881</v>
      </c>
      <c r="C4175" t="s">
        <v>6879</v>
      </c>
      <c r="D4175" t="s">
        <v>19</v>
      </c>
      <c r="E4175" t="s">
        <v>20</v>
      </c>
      <c r="F4175" t="str">
        <f>"43604"</f>
        <v>43604</v>
      </c>
      <c r="G4175" t="str">
        <f>"632482"</f>
        <v>632482</v>
      </c>
      <c r="H4175" s="2">
        <f>17.19</f>
        <v>17.190000000000001</v>
      </c>
      <c r="I4175" t="s">
        <v>27</v>
      </c>
      <c r="J4175" t="s">
        <v>157</v>
      </c>
      <c r="K4175" t="str">
        <f>"522029"</f>
        <v>522029</v>
      </c>
    </row>
    <row r="4176" spans="1:11" x14ac:dyDescent="0.25">
      <c r="A4176">
        <v>2023</v>
      </c>
      <c r="B4176" t="s">
        <v>6883</v>
      </c>
      <c r="C4176" t="s">
        <v>6884</v>
      </c>
      <c r="D4176" t="s">
        <v>19</v>
      </c>
      <c r="E4176" t="s">
        <v>20</v>
      </c>
      <c r="F4176" t="str">
        <f>"43605"</f>
        <v>43605</v>
      </c>
      <c r="G4176" t="str">
        <f>"Je12142023"</f>
        <v>Je12142023</v>
      </c>
      <c r="H4176" s="2">
        <f>36.12</f>
        <v>36.119999999999997</v>
      </c>
      <c r="I4176" t="s">
        <v>15</v>
      </c>
      <c r="J4176" t="s">
        <v>176</v>
      </c>
      <c r="K4176" t="str">
        <f>"60100467"</f>
        <v>60100467</v>
      </c>
    </row>
    <row r="4177" spans="1:11" x14ac:dyDescent="0.25">
      <c r="A4177">
        <v>2023</v>
      </c>
      <c r="B4177" t="s">
        <v>6887</v>
      </c>
      <c r="C4177" t="s">
        <v>6888</v>
      </c>
      <c r="D4177" t="s">
        <v>19</v>
      </c>
      <c r="E4177" t="s">
        <v>20</v>
      </c>
      <c r="F4177" t="str">
        <f>"43615"</f>
        <v>43615</v>
      </c>
      <c r="G4177" t="str">
        <f>"632482"</f>
        <v>632482</v>
      </c>
      <c r="H4177" s="2">
        <f>28.99</f>
        <v>28.99</v>
      </c>
      <c r="I4177" t="s">
        <v>27</v>
      </c>
      <c r="J4177" t="s">
        <v>157</v>
      </c>
      <c r="K4177" t="str">
        <f>"522369"</f>
        <v>522369</v>
      </c>
    </row>
    <row r="4178" spans="1:11" x14ac:dyDescent="0.25">
      <c r="A4178">
        <v>2023</v>
      </c>
      <c r="B4178" t="s">
        <v>6898</v>
      </c>
      <c r="C4178" t="s">
        <v>6899</v>
      </c>
      <c r="D4178" t="s">
        <v>19</v>
      </c>
      <c r="E4178" t="s">
        <v>20</v>
      </c>
      <c r="F4178" t="str">
        <f>"43606"</f>
        <v>43606</v>
      </c>
      <c r="G4178" t="str">
        <f>"Je10162023"</f>
        <v>Je10162023</v>
      </c>
      <c r="H4178" s="2">
        <f>140</f>
        <v>140</v>
      </c>
      <c r="I4178" t="s">
        <v>15</v>
      </c>
      <c r="J4178" t="s">
        <v>93</v>
      </c>
      <c r="K4178" t="str">
        <f>"60091096"</f>
        <v>60091096</v>
      </c>
    </row>
    <row r="4179" spans="1:11" x14ac:dyDescent="0.25">
      <c r="A4179">
        <v>2023</v>
      </c>
      <c r="B4179" t="s">
        <v>6902</v>
      </c>
      <c r="C4179" t="s">
        <v>6903</v>
      </c>
      <c r="D4179" t="s">
        <v>125</v>
      </c>
      <c r="E4179" t="s">
        <v>20</v>
      </c>
      <c r="F4179" t="str">
        <f>"43537-2519"</f>
        <v>43537-2519</v>
      </c>
      <c r="G4179" t="str">
        <f>"637573"</f>
        <v>637573</v>
      </c>
      <c r="H4179" s="2">
        <f>10</f>
        <v>10</v>
      </c>
      <c r="I4179" t="s">
        <v>27</v>
      </c>
      <c r="J4179" t="s">
        <v>61</v>
      </c>
      <c r="K4179" t="str">
        <f>"120900"</f>
        <v>120900</v>
      </c>
    </row>
    <row r="4180" spans="1:11" x14ac:dyDescent="0.25">
      <c r="A4180">
        <v>2023</v>
      </c>
      <c r="B4180" t="s">
        <v>6904</v>
      </c>
      <c r="C4180" t="s">
        <v>6905</v>
      </c>
      <c r="D4180" t="s">
        <v>64</v>
      </c>
      <c r="E4180" t="s">
        <v>20</v>
      </c>
      <c r="F4180" t="str">
        <f>"43566"</f>
        <v>43566</v>
      </c>
      <c r="G4180" t="str">
        <f>"632482"</f>
        <v>632482</v>
      </c>
      <c r="H4180" s="2">
        <f>17.19</f>
        <v>17.190000000000001</v>
      </c>
      <c r="I4180" t="s">
        <v>27</v>
      </c>
      <c r="J4180" t="s">
        <v>157</v>
      </c>
      <c r="K4180" t="str">
        <f>"522030"</f>
        <v>522030</v>
      </c>
    </row>
    <row r="4181" spans="1:11" x14ac:dyDescent="0.25">
      <c r="A4181">
        <v>2023</v>
      </c>
      <c r="B4181" t="s">
        <v>6906</v>
      </c>
      <c r="C4181" t="s">
        <v>6907</v>
      </c>
      <c r="D4181" t="s">
        <v>19</v>
      </c>
      <c r="E4181" t="s">
        <v>20</v>
      </c>
      <c r="F4181" t="str">
        <f>"43613"</f>
        <v>43613</v>
      </c>
      <c r="G4181" t="str">
        <f>"Je012023"</f>
        <v>Je012023</v>
      </c>
      <c r="H4181" s="2">
        <f>160</f>
        <v>160</v>
      </c>
      <c r="I4181" t="s">
        <v>15</v>
      </c>
      <c r="J4181" t="s">
        <v>397</v>
      </c>
      <c r="K4181" t="str">
        <f>"60059490"</f>
        <v>60059490</v>
      </c>
    </row>
    <row r="4182" spans="1:11" x14ac:dyDescent="0.25">
      <c r="A4182">
        <v>2023</v>
      </c>
      <c r="B4182" t="s">
        <v>6910</v>
      </c>
      <c r="C4182" t="s">
        <v>6911</v>
      </c>
      <c r="D4182" t="s">
        <v>19</v>
      </c>
      <c r="E4182" t="s">
        <v>20</v>
      </c>
      <c r="F4182" t="str">
        <f>"43623"</f>
        <v>43623</v>
      </c>
      <c r="G4182" t="str">
        <f>"638581"</f>
        <v>638581</v>
      </c>
      <c r="H4182" s="2">
        <f>2.25</f>
        <v>2.25</v>
      </c>
      <c r="I4182" t="s">
        <v>27</v>
      </c>
      <c r="J4182" t="s">
        <v>61</v>
      </c>
      <c r="K4182" t="str">
        <f>"334086"</f>
        <v>334086</v>
      </c>
    </row>
    <row r="4183" spans="1:11" x14ac:dyDescent="0.25">
      <c r="A4183">
        <v>2023</v>
      </c>
      <c r="B4183" t="s">
        <v>6918</v>
      </c>
      <c r="C4183" t="s">
        <v>6919</v>
      </c>
      <c r="D4183" t="s">
        <v>6920</v>
      </c>
      <c r="E4183" t="s">
        <v>14</v>
      </c>
      <c r="F4183" t="str">
        <f>"49270"</f>
        <v>49270</v>
      </c>
      <c r="G4183" t="str">
        <f>"632482"</f>
        <v>632482</v>
      </c>
      <c r="H4183" s="2">
        <f>17.19</f>
        <v>17.190000000000001</v>
      </c>
      <c r="I4183" t="s">
        <v>27</v>
      </c>
      <c r="J4183" t="s">
        <v>157</v>
      </c>
      <c r="K4183" t="str">
        <f>"522031"</f>
        <v>522031</v>
      </c>
    </row>
    <row r="4184" spans="1:11" x14ac:dyDescent="0.25">
      <c r="A4184">
        <v>2023</v>
      </c>
      <c r="B4184" t="s">
        <v>6921</v>
      </c>
      <c r="C4184" t="s">
        <v>3808</v>
      </c>
      <c r="D4184" t="s">
        <v>19</v>
      </c>
      <c r="E4184" t="s">
        <v>20</v>
      </c>
      <c r="F4184" t="str">
        <f>"43614"</f>
        <v>43614</v>
      </c>
      <c r="G4184" t="str">
        <f>"Je12142023"</f>
        <v>Je12142023</v>
      </c>
      <c r="H4184" s="2">
        <f>35</f>
        <v>35</v>
      </c>
      <c r="I4184" t="s">
        <v>15</v>
      </c>
      <c r="J4184" t="s">
        <v>176</v>
      </c>
      <c r="K4184" t="str">
        <f>"60103966"</f>
        <v>60103966</v>
      </c>
    </row>
    <row r="4185" spans="1:11" x14ac:dyDescent="0.25">
      <c r="A4185">
        <v>2023</v>
      </c>
      <c r="B4185" t="s">
        <v>6922</v>
      </c>
      <c r="C4185" t="s">
        <v>6923</v>
      </c>
      <c r="D4185" t="s">
        <v>125</v>
      </c>
      <c r="E4185" t="s">
        <v>20</v>
      </c>
      <c r="F4185" t="str">
        <f>"43537"</f>
        <v>43537</v>
      </c>
      <c r="G4185" t="str">
        <f>"Je06132023"</f>
        <v>Je06132023</v>
      </c>
      <c r="H4185" s="2">
        <f>85</f>
        <v>85</v>
      </c>
      <c r="I4185" t="s">
        <v>15</v>
      </c>
      <c r="J4185" t="s">
        <v>16</v>
      </c>
      <c r="K4185" t="str">
        <f>"60081568"</f>
        <v>60081568</v>
      </c>
    </row>
    <row r="4186" spans="1:11" x14ac:dyDescent="0.25">
      <c r="A4186">
        <v>2023</v>
      </c>
      <c r="B4186" t="s">
        <v>6931</v>
      </c>
      <c r="C4186" t="s">
        <v>6932</v>
      </c>
      <c r="D4186" t="s">
        <v>19</v>
      </c>
      <c r="E4186" t="s">
        <v>20</v>
      </c>
      <c r="F4186" t="str">
        <f>"43613"</f>
        <v>43613</v>
      </c>
      <c r="G4186" t="str">
        <f>"632514"</f>
        <v>632514</v>
      </c>
      <c r="H4186" s="2">
        <f>1</f>
        <v>1</v>
      </c>
      <c r="I4186" t="s">
        <v>27</v>
      </c>
      <c r="J4186" t="s">
        <v>195</v>
      </c>
      <c r="K4186" t="str">
        <f>"11004104"</f>
        <v>11004104</v>
      </c>
    </row>
    <row r="4187" spans="1:11" x14ac:dyDescent="0.25">
      <c r="A4187">
        <v>2023</v>
      </c>
      <c r="B4187" t="s">
        <v>6959</v>
      </c>
      <c r="C4187" t="s">
        <v>6960</v>
      </c>
      <c r="D4187" t="s">
        <v>50</v>
      </c>
      <c r="E4187" t="s">
        <v>20</v>
      </c>
      <c r="F4187" t="str">
        <f>"43560-1294"</f>
        <v>43560-1294</v>
      </c>
      <c r="G4187" t="str">
        <f>"637573"</f>
        <v>637573</v>
      </c>
      <c r="H4187" s="2">
        <f>100</f>
        <v>100</v>
      </c>
      <c r="I4187" t="s">
        <v>27</v>
      </c>
      <c r="J4187" t="s">
        <v>61</v>
      </c>
      <c r="K4187" t="str">
        <f>"119853"</f>
        <v>119853</v>
      </c>
    </row>
    <row r="4188" spans="1:11" x14ac:dyDescent="0.25">
      <c r="A4188">
        <v>2023</v>
      </c>
      <c r="B4188" t="s">
        <v>6976</v>
      </c>
      <c r="C4188" t="s">
        <v>6977</v>
      </c>
      <c r="D4188" t="s">
        <v>19</v>
      </c>
      <c r="E4188" t="s">
        <v>20</v>
      </c>
      <c r="F4188" t="str">
        <f>"43612-2305"</f>
        <v>43612-2305</v>
      </c>
      <c r="G4188" t="str">
        <f>"637573"</f>
        <v>637573</v>
      </c>
      <c r="H4188" s="2">
        <f>10</f>
        <v>10</v>
      </c>
      <c r="I4188" t="s">
        <v>27</v>
      </c>
      <c r="J4188" t="s">
        <v>61</v>
      </c>
      <c r="K4188" t="str">
        <f>"120831"</f>
        <v>120831</v>
      </c>
    </row>
    <row r="4189" spans="1:11" x14ac:dyDescent="0.25">
      <c r="A4189">
        <v>2023</v>
      </c>
      <c r="B4189" t="s">
        <v>7010</v>
      </c>
      <c r="C4189" t="s">
        <v>7011</v>
      </c>
      <c r="D4189" t="s">
        <v>19</v>
      </c>
      <c r="E4189" t="s">
        <v>20</v>
      </c>
      <c r="F4189" t="str">
        <f>"43603-1985"</f>
        <v>43603-1985</v>
      </c>
      <c r="G4189" t="str">
        <f>"Je10162023"</f>
        <v>Je10162023</v>
      </c>
      <c r="H4189" s="2">
        <f>656.5</f>
        <v>656.5</v>
      </c>
      <c r="I4189" t="s">
        <v>15</v>
      </c>
      <c r="J4189" t="s">
        <v>93</v>
      </c>
      <c r="K4189" t="str">
        <f>"60086940"</f>
        <v>60086940</v>
      </c>
    </row>
    <row r="4190" spans="1:11" x14ac:dyDescent="0.25">
      <c r="A4190">
        <v>2023</v>
      </c>
      <c r="B4190" t="s">
        <v>7012</v>
      </c>
      <c r="C4190" t="s">
        <v>7013</v>
      </c>
      <c r="D4190" t="s">
        <v>19</v>
      </c>
      <c r="E4190" t="s">
        <v>20</v>
      </c>
      <c r="F4190" t="str">
        <f>"43614-5409"</f>
        <v>43614-5409</v>
      </c>
      <c r="G4190" t="str">
        <f>"637573"</f>
        <v>637573</v>
      </c>
      <c r="H4190" s="2">
        <f>10</f>
        <v>10</v>
      </c>
      <c r="I4190" t="s">
        <v>27</v>
      </c>
      <c r="J4190" t="s">
        <v>61</v>
      </c>
      <c r="K4190" t="str">
        <f>"119053"</f>
        <v>119053</v>
      </c>
    </row>
    <row r="4191" spans="1:11" x14ac:dyDescent="0.25">
      <c r="A4191">
        <v>2023</v>
      </c>
      <c r="B4191" t="s">
        <v>7014</v>
      </c>
      <c r="C4191" t="s">
        <v>7015</v>
      </c>
      <c r="D4191" t="s">
        <v>19</v>
      </c>
      <c r="E4191" t="s">
        <v>20</v>
      </c>
      <c r="F4191" t="str">
        <f>"43612-3680"</f>
        <v>43612-3680</v>
      </c>
      <c r="G4191" t="str">
        <f>"637573"</f>
        <v>637573</v>
      </c>
      <c r="H4191" s="2">
        <f>20</f>
        <v>20</v>
      </c>
      <c r="I4191" t="s">
        <v>27</v>
      </c>
      <c r="J4191" t="s">
        <v>61</v>
      </c>
      <c r="K4191" t="str">
        <f>"119123"</f>
        <v>119123</v>
      </c>
    </row>
    <row r="4192" spans="1:11" x14ac:dyDescent="0.25">
      <c r="A4192">
        <v>2023</v>
      </c>
      <c r="B4192" t="s">
        <v>7026</v>
      </c>
      <c r="C4192" t="s">
        <v>7027</v>
      </c>
      <c r="D4192" t="s">
        <v>19</v>
      </c>
      <c r="E4192" t="s">
        <v>20</v>
      </c>
      <c r="F4192" t="str">
        <f>"43612-4904"</f>
        <v>43612-4904</v>
      </c>
      <c r="G4192" t="str">
        <f>"637573"</f>
        <v>637573</v>
      </c>
      <c r="H4192" s="2">
        <f>10</f>
        <v>10</v>
      </c>
      <c r="I4192" t="s">
        <v>27</v>
      </c>
      <c r="J4192" t="s">
        <v>61</v>
      </c>
      <c r="K4192" t="str">
        <f>"119153"</f>
        <v>119153</v>
      </c>
    </row>
    <row r="4193" spans="1:11" x14ac:dyDescent="0.25">
      <c r="A4193">
        <v>2023</v>
      </c>
      <c r="B4193" t="s">
        <v>7056</v>
      </c>
      <c r="C4193" t="s">
        <v>7057</v>
      </c>
      <c r="D4193" t="s">
        <v>19</v>
      </c>
      <c r="E4193" t="s">
        <v>20</v>
      </c>
      <c r="F4193" t="str">
        <f>"43615"</f>
        <v>43615</v>
      </c>
      <c r="G4193" t="str">
        <f>"Je12142023"</f>
        <v>Je12142023</v>
      </c>
      <c r="H4193" s="2">
        <f>127.04</f>
        <v>127.04</v>
      </c>
      <c r="I4193" t="s">
        <v>15</v>
      </c>
      <c r="J4193" t="s">
        <v>176</v>
      </c>
      <c r="K4193" t="str">
        <f>"60100472"</f>
        <v>60100472</v>
      </c>
    </row>
    <row r="4194" spans="1:11" ht="30" x14ac:dyDescent="0.25">
      <c r="A4194">
        <v>2023</v>
      </c>
      <c r="B4194" s="1" t="s">
        <v>7058</v>
      </c>
      <c r="C4194" t="s">
        <v>7059</v>
      </c>
      <c r="D4194" t="s">
        <v>19</v>
      </c>
      <c r="E4194" t="s">
        <v>20</v>
      </c>
      <c r="F4194" t="str">
        <f>"43604"</f>
        <v>43604</v>
      </c>
      <c r="G4194" t="str">
        <f>"Je012023"</f>
        <v>Je012023</v>
      </c>
      <c r="H4194" s="2">
        <f>60</f>
        <v>60</v>
      </c>
      <c r="I4194" t="s">
        <v>15</v>
      </c>
      <c r="J4194" t="s">
        <v>397</v>
      </c>
      <c r="K4194" t="str">
        <f>"60062785"</f>
        <v>60062785</v>
      </c>
    </row>
    <row r="4195" spans="1:11" x14ac:dyDescent="0.25">
      <c r="A4195">
        <v>2023</v>
      </c>
      <c r="B4195" t="s">
        <v>7064</v>
      </c>
      <c r="C4195" t="s">
        <v>7067</v>
      </c>
      <c r="D4195" t="s">
        <v>7068</v>
      </c>
      <c r="E4195" t="s">
        <v>14</v>
      </c>
      <c r="F4195" t="str">
        <f>"48390"</f>
        <v>48390</v>
      </c>
      <c r="G4195" t="str">
        <f>"632514"</f>
        <v>632514</v>
      </c>
      <c r="H4195" s="2">
        <f>48.14</f>
        <v>48.14</v>
      </c>
      <c r="I4195" t="s">
        <v>27</v>
      </c>
      <c r="J4195" t="s">
        <v>195</v>
      </c>
      <c r="K4195" t="str">
        <f>"22023532"</f>
        <v>22023532</v>
      </c>
    </row>
    <row r="4196" spans="1:11" x14ac:dyDescent="0.25">
      <c r="A4196">
        <v>2023</v>
      </c>
      <c r="B4196" t="s">
        <v>7064</v>
      </c>
      <c r="C4196" t="s">
        <v>7069</v>
      </c>
      <c r="D4196" t="s">
        <v>7070</v>
      </c>
      <c r="E4196" t="s">
        <v>14</v>
      </c>
      <c r="F4196" t="str">
        <f>"48103"</f>
        <v>48103</v>
      </c>
      <c r="G4196" t="str">
        <f>"632514"</f>
        <v>632514</v>
      </c>
      <c r="H4196" s="2">
        <f>5</f>
        <v>5</v>
      </c>
      <c r="I4196" t="s">
        <v>27</v>
      </c>
      <c r="J4196" t="s">
        <v>195</v>
      </c>
      <c r="K4196" t="str">
        <f>"22023837"</f>
        <v>22023837</v>
      </c>
    </row>
    <row r="4197" spans="1:11" x14ac:dyDescent="0.25">
      <c r="A4197">
        <v>2023</v>
      </c>
      <c r="B4197" t="s">
        <v>7064</v>
      </c>
      <c r="C4197" t="s">
        <v>7071</v>
      </c>
      <c r="D4197" t="s">
        <v>7070</v>
      </c>
      <c r="E4197" t="s">
        <v>14</v>
      </c>
      <c r="F4197" t="str">
        <f>"48103"</f>
        <v>48103</v>
      </c>
      <c r="G4197" t="str">
        <f>"632514"</f>
        <v>632514</v>
      </c>
      <c r="H4197" s="2">
        <f>5</f>
        <v>5</v>
      </c>
      <c r="I4197" t="s">
        <v>27</v>
      </c>
      <c r="J4197" t="s">
        <v>195</v>
      </c>
      <c r="K4197" t="str">
        <f>"22023868"</f>
        <v>22023868</v>
      </c>
    </row>
    <row r="4198" spans="1:11" x14ac:dyDescent="0.25">
      <c r="A4198">
        <v>2023</v>
      </c>
      <c r="B4198" t="s">
        <v>7064</v>
      </c>
      <c r="C4198" t="s">
        <v>7071</v>
      </c>
      <c r="D4198" t="s">
        <v>7070</v>
      </c>
      <c r="E4198" t="s">
        <v>14</v>
      </c>
      <c r="F4198" t="str">
        <f>"48103"</f>
        <v>48103</v>
      </c>
      <c r="G4198" t="str">
        <f>"632514"</f>
        <v>632514</v>
      </c>
      <c r="H4198" s="2">
        <f>5</f>
        <v>5</v>
      </c>
      <c r="I4198" t="s">
        <v>27</v>
      </c>
      <c r="J4198" t="s">
        <v>195</v>
      </c>
      <c r="K4198" t="str">
        <f>"22024432"</f>
        <v>22024432</v>
      </c>
    </row>
    <row r="4199" spans="1:11" x14ac:dyDescent="0.25">
      <c r="A4199">
        <v>2023</v>
      </c>
      <c r="B4199" t="s">
        <v>7079</v>
      </c>
      <c r="C4199" t="s">
        <v>7080</v>
      </c>
      <c r="D4199" t="s">
        <v>19</v>
      </c>
      <c r="E4199" t="s">
        <v>20</v>
      </c>
      <c r="F4199" t="str">
        <f>"43607-1444"</f>
        <v>43607-1444</v>
      </c>
      <c r="G4199" t="str">
        <f>"Je10162023"</f>
        <v>Je10162023</v>
      </c>
      <c r="H4199" s="2">
        <f>72</f>
        <v>72</v>
      </c>
      <c r="I4199" t="s">
        <v>15</v>
      </c>
      <c r="J4199" t="s">
        <v>93</v>
      </c>
      <c r="K4199" t="str">
        <f>"60091793"</f>
        <v>60091793</v>
      </c>
    </row>
    <row r="4200" spans="1:11" x14ac:dyDescent="0.25">
      <c r="A4200">
        <v>2023</v>
      </c>
      <c r="B4200" t="s">
        <v>7088</v>
      </c>
      <c r="C4200" t="s">
        <v>7089</v>
      </c>
      <c r="D4200" t="s">
        <v>105</v>
      </c>
      <c r="E4200" t="s">
        <v>20</v>
      </c>
      <c r="F4200" t="str">
        <f>"43528"</f>
        <v>43528</v>
      </c>
      <c r="G4200" t="str">
        <f>"Je12142023"</f>
        <v>Je12142023</v>
      </c>
      <c r="H4200" s="2">
        <f>43.05</f>
        <v>43.05</v>
      </c>
      <c r="I4200" t="s">
        <v>15</v>
      </c>
      <c r="J4200" t="s">
        <v>176</v>
      </c>
      <c r="K4200" t="str">
        <f>"60102244"</f>
        <v>60102244</v>
      </c>
    </row>
    <row r="4201" spans="1:11" x14ac:dyDescent="0.25">
      <c r="A4201">
        <v>2023</v>
      </c>
      <c r="B4201" t="s">
        <v>7095</v>
      </c>
      <c r="C4201" t="s">
        <v>7096</v>
      </c>
      <c r="D4201" t="s">
        <v>2149</v>
      </c>
      <c r="E4201" t="s">
        <v>20</v>
      </c>
      <c r="F4201" t="str">
        <f>"43545"</f>
        <v>43545</v>
      </c>
      <c r="G4201" t="str">
        <f>"632483"</f>
        <v>632483</v>
      </c>
      <c r="H4201" s="2">
        <f>2.79</f>
        <v>2.79</v>
      </c>
      <c r="I4201" t="s">
        <v>27</v>
      </c>
      <c r="J4201" t="s">
        <v>108</v>
      </c>
      <c r="K4201" t="str">
        <f>"39554"</f>
        <v>39554</v>
      </c>
    </row>
    <row r="4202" spans="1:11" x14ac:dyDescent="0.25">
      <c r="A4202">
        <v>2023</v>
      </c>
      <c r="B4202" t="s">
        <v>7099</v>
      </c>
      <c r="C4202" t="s">
        <v>7100</v>
      </c>
      <c r="D4202" t="s">
        <v>19</v>
      </c>
      <c r="E4202" t="s">
        <v>20</v>
      </c>
      <c r="F4202" t="str">
        <f>"43623-4358"</f>
        <v>43623-4358</v>
      </c>
      <c r="G4202" t="str">
        <f>"637573"</f>
        <v>637573</v>
      </c>
      <c r="H4202" s="2">
        <f>20</f>
        <v>20</v>
      </c>
      <c r="I4202" t="s">
        <v>27</v>
      </c>
      <c r="J4202" t="s">
        <v>61</v>
      </c>
      <c r="K4202" t="str">
        <f>"120341"</f>
        <v>120341</v>
      </c>
    </row>
    <row r="4203" spans="1:11" x14ac:dyDescent="0.25">
      <c r="A4203">
        <v>2023</v>
      </c>
      <c r="B4203" t="s">
        <v>7101</v>
      </c>
      <c r="C4203" t="s">
        <v>7102</v>
      </c>
      <c r="D4203" t="s">
        <v>19</v>
      </c>
      <c r="E4203" t="s">
        <v>20</v>
      </c>
      <c r="F4203" t="str">
        <f>"43615"</f>
        <v>43615</v>
      </c>
      <c r="G4203" t="str">
        <f>"Je12142023"</f>
        <v>Je12142023</v>
      </c>
      <c r="H4203" s="2">
        <f>43.12</f>
        <v>43.12</v>
      </c>
      <c r="I4203" t="s">
        <v>15</v>
      </c>
      <c r="J4203" t="s">
        <v>176</v>
      </c>
      <c r="K4203" t="str">
        <f>"60095694"</f>
        <v>60095694</v>
      </c>
    </row>
    <row r="4204" spans="1:11" x14ac:dyDescent="0.25">
      <c r="A4204">
        <v>2023</v>
      </c>
      <c r="B4204" t="s">
        <v>7108</v>
      </c>
      <c r="C4204" t="s">
        <v>7109</v>
      </c>
      <c r="D4204" t="s">
        <v>19</v>
      </c>
      <c r="E4204" t="s">
        <v>20</v>
      </c>
      <c r="F4204" t="str">
        <f>"43604"</f>
        <v>43604</v>
      </c>
      <c r="G4204" t="str">
        <f>"638581"</f>
        <v>638581</v>
      </c>
      <c r="H4204" s="2">
        <f>2.85</f>
        <v>2.85</v>
      </c>
      <c r="I4204" t="s">
        <v>27</v>
      </c>
      <c r="J4204" t="s">
        <v>61</v>
      </c>
      <c r="K4204" t="str">
        <f>"334027"</f>
        <v>334027</v>
      </c>
    </row>
    <row r="4205" spans="1:11" x14ac:dyDescent="0.25">
      <c r="A4205">
        <v>2023</v>
      </c>
      <c r="B4205" t="s">
        <v>7117</v>
      </c>
      <c r="C4205" t="s">
        <v>3181</v>
      </c>
      <c r="D4205" t="s">
        <v>19</v>
      </c>
      <c r="E4205" t="s">
        <v>20</v>
      </c>
      <c r="F4205" t="str">
        <f>"43609"</f>
        <v>43609</v>
      </c>
      <c r="G4205" t="str">
        <f>"589332"</f>
        <v>589332</v>
      </c>
      <c r="H4205" s="2">
        <f>125</f>
        <v>125</v>
      </c>
      <c r="I4205" t="s">
        <v>519</v>
      </c>
      <c r="J4205" t="s">
        <v>519</v>
      </c>
      <c r="K4205" t="str">
        <f>"15058"</f>
        <v>15058</v>
      </c>
    </row>
    <row r="4206" spans="1:11" x14ac:dyDescent="0.25">
      <c r="A4206">
        <v>2023</v>
      </c>
      <c r="B4206" t="s">
        <v>7122</v>
      </c>
      <c r="C4206" t="s">
        <v>7123</v>
      </c>
      <c r="D4206" t="s">
        <v>4958</v>
      </c>
      <c r="E4206" t="s">
        <v>20</v>
      </c>
      <c r="F4206" t="str">
        <f>"43557"</f>
        <v>43557</v>
      </c>
      <c r="G4206" t="str">
        <f>"632483"</f>
        <v>632483</v>
      </c>
      <c r="H4206" s="2">
        <f>6.8</f>
        <v>6.8</v>
      </c>
      <c r="I4206" t="s">
        <v>27</v>
      </c>
      <c r="J4206" t="s">
        <v>108</v>
      </c>
      <c r="K4206" t="str">
        <f>"39871"</f>
        <v>39871</v>
      </c>
    </row>
    <row r="4207" spans="1:11" x14ac:dyDescent="0.25">
      <c r="A4207">
        <v>2023</v>
      </c>
      <c r="B4207" t="s">
        <v>7128</v>
      </c>
      <c r="C4207" t="s">
        <v>7129</v>
      </c>
      <c r="D4207" t="s">
        <v>64</v>
      </c>
      <c r="E4207" t="s">
        <v>20</v>
      </c>
      <c r="F4207" t="str">
        <f>"43566-1204"</f>
        <v>43566-1204</v>
      </c>
      <c r="G4207" t="str">
        <f>"637573"</f>
        <v>637573</v>
      </c>
      <c r="H4207" s="2">
        <f>20</f>
        <v>20</v>
      </c>
      <c r="I4207" t="s">
        <v>27</v>
      </c>
      <c r="J4207" t="s">
        <v>61</v>
      </c>
      <c r="K4207" t="str">
        <f>"119054"</f>
        <v>119054</v>
      </c>
    </row>
    <row r="4208" spans="1:11" x14ac:dyDescent="0.25">
      <c r="A4208">
        <v>2023</v>
      </c>
      <c r="B4208" t="s">
        <v>7166</v>
      </c>
      <c r="C4208" t="s">
        <v>7167</v>
      </c>
      <c r="D4208" t="s">
        <v>19</v>
      </c>
      <c r="E4208" t="s">
        <v>20</v>
      </c>
      <c r="F4208" t="str">
        <f>"43609"</f>
        <v>43609</v>
      </c>
      <c r="G4208" t="str">
        <f>"638581"</f>
        <v>638581</v>
      </c>
      <c r="H4208" s="2">
        <f>1.9</f>
        <v>1.9</v>
      </c>
      <c r="I4208" t="s">
        <v>27</v>
      </c>
      <c r="J4208" t="s">
        <v>61</v>
      </c>
      <c r="K4208" t="str">
        <f>"333800"</f>
        <v>333800</v>
      </c>
    </row>
    <row r="4209" spans="1:11" x14ac:dyDescent="0.25">
      <c r="A4209">
        <v>2023</v>
      </c>
      <c r="B4209" t="s">
        <v>7168</v>
      </c>
      <c r="C4209" t="s">
        <v>5170</v>
      </c>
      <c r="D4209" t="s">
        <v>19</v>
      </c>
      <c r="E4209" t="s">
        <v>20</v>
      </c>
      <c r="F4209" t="str">
        <f>"43609"</f>
        <v>43609</v>
      </c>
      <c r="G4209" t="str">
        <f>"632514"</f>
        <v>632514</v>
      </c>
      <c r="H4209" s="2">
        <f>2</f>
        <v>2</v>
      </c>
      <c r="I4209" t="s">
        <v>27</v>
      </c>
      <c r="J4209" t="s">
        <v>195</v>
      </c>
      <c r="K4209" t="str">
        <f>"44009920"</f>
        <v>44009920</v>
      </c>
    </row>
    <row r="4210" spans="1:11" x14ac:dyDescent="0.25">
      <c r="A4210">
        <v>2023</v>
      </c>
      <c r="B4210" t="s">
        <v>7181</v>
      </c>
      <c r="C4210" t="s">
        <v>7182</v>
      </c>
      <c r="D4210" t="s">
        <v>19</v>
      </c>
      <c r="E4210" t="s">
        <v>20</v>
      </c>
      <c r="F4210" t="str">
        <f>"43614-4166"</f>
        <v>43614-4166</v>
      </c>
      <c r="G4210" t="str">
        <f>"637573"</f>
        <v>637573</v>
      </c>
      <c r="H4210" s="2">
        <f>20</f>
        <v>20</v>
      </c>
      <c r="I4210" t="s">
        <v>27</v>
      </c>
      <c r="J4210" t="s">
        <v>61</v>
      </c>
      <c r="K4210" t="str">
        <f>"120087"</f>
        <v>120087</v>
      </c>
    </row>
    <row r="4211" spans="1:11" x14ac:dyDescent="0.25">
      <c r="A4211">
        <v>2023</v>
      </c>
      <c r="B4211" t="s">
        <v>7183</v>
      </c>
      <c r="C4211" t="s">
        <v>7184</v>
      </c>
      <c r="D4211" t="s">
        <v>7185</v>
      </c>
      <c r="E4211" t="s">
        <v>14</v>
      </c>
      <c r="F4211" t="str">
        <f>"49276"</f>
        <v>49276</v>
      </c>
      <c r="G4211" t="str">
        <f>"Je04112023"</f>
        <v>Je04112023</v>
      </c>
      <c r="H4211" s="2">
        <f>44.55</f>
        <v>44.55</v>
      </c>
      <c r="I4211" t="s">
        <v>15</v>
      </c>
      <c r="J4211" t="s">
        <v>412</v>
      </c>
      <c r="K4211" t="str">
        <f>"60071879"</f>
        <v>60071879</v>
      </c>
    </row>
    <row r="4212" spans="1:11" x14ac:dyDescent="0.25">
      <c r="A4212">
        <v>2023</v>
      </c>
      <c r="B4212" t="s">
        <v>7235</v>
      </c>
      <c r="C4212" t="s">
        <v>3260</v>
      </c>
      <c r="D4212" t="s">
        <v>19</v>
      </c>
      <c r="E4212" t="s">
        <v>20</v>
      </c>
      <c r="F4212" t="str">
        <f>"43604"</f>
        <v>43604</v>
      </c>
      <c r="G4212" t="str">
        <f>"632483"</f>
        <v>632483</v>
      </c>
      <c r="H4212" s="2">
        <f>12.4</f>
        <v>12.4</v>
      </c>
      <c r="I4212" t="s">
        <v>27</v>
      </c>
      <c r="J4212" t="s">
        <v>108</v>
      </c>
      <c r="K4212" t="str">
        <f>"40074"</f>
        <v>40074</v>
      </c>
    </row>
    <row r="4213" spans="1:11" x14ac:dyDescent="0.25">
      <c r="A4213">
        <v>2023</v>
      </c>
      <c r="B4213" t="s">
        <v>7243</v>
      </c>
      <c r="C4213" t="s">
        <v>7244</v>
      </c>
      <c r="D4213" t="s">
        <v>19</v>
      </c>
      <c r="E4213" t="s">
        <v>20</v>
      </c>
      <c r="F4213" t="str">
        <f>"43613-1617"</f>
        <v>43613-1617</v>
      </c>
      <c r="G4213" t="str">
        <f>"637573"</f>
        <v>637573</v>
      </c>
      <c r="H4213" s="2">
        <f>10</f>
        <v>10</v>
      </c>
      <c r="I4213" t="s">
        <v>27</v>
      </c>
      <c r="J4213" t="s">
        <v>61</v>
      </c>
      <c r="K4213" t="str">
        <f>"120414"</f>
        <v>120414</v>
      </c>
    </row>
    <row r="4214" spans="1:11" x14ac:dyDescent="0.25">
      <c r="A4214">
        <v>2023</v>
      </c>
      <c r="B4214" t="s">
        <v>7245</v>
      </c>
      <c r="C4214" t="s">
        <v>7246</v>
      </c>
      <c r="D4214" t="s">
        <v>19</v>
      </c>
      <c r="E4214" t="s">
        <v>20</v>
      </c>
      <c r="F4214" t="str">
        <f>"43614"</f>
        <v>43614</v>
      </c>
      <c r="G4214" t="str">
        <f>"Je12142023"</f>
        <v>Je12142023</v>
      </c>
      <c r="H4214" s="2">
        <f>172.95</f>
        <v>172.95</v>
      </c>
      <c r="I4214" t="s">
        <v>15</v>
      </c>
      <c r="J4214" t="s">
        <v>176</v>
      </c>
      <c r="K4214" t="str">
        <f>"60098730"</f>
        <v>60098730</v>
      </c>
    </row>
    <row r="4215" spans="1:11" x14ac:dyDescent="0.25">
      <c r="A4215">
        <v>2023</v>
      </c>
      <c r="B4215" t="s">
        <v>7258</v>
      </c>
      <c r="C4215" t="s">
        <v>7259</v>
      </c>
      <c r="D4215" t="s">
        <v>19</v>
      </c>
      <c r="E4215" t="s">
        <v>20</v>
      </c>
      <c r="F4215" t="str">
        <f>"43614-5649"</f>
        <v>43614-5649</v>
      </c>
      <c r="G4215" t="str">
        <f>"637573"</f>
        <v>637573</v>
      </c>
      <c r="H4215" s="2">
        <f>20</f>
        <v>20</v>
      </c>
      <c r="I4215" t="s">
        <v>27</v>
      </c>
      <c r="J4215" t="s">
        <v>61</v>
      </c>
      <c r="K4215" t="str">
        <f>"119201"</f>
        <v>119201</v>
      </c>
    </row>
    <row r="4216" spans="1:11" x14ac:dyDescent="0.25">
      <c r="A4216">
        <v>2023</v>
      </c>
      <c r="B4216" t="s">
        <v>7264</v>
      </c>
      <c r="C4216" t="s">
        <v>7265</v>
      </c>
      <c r="D4216" t="s">
        <v>1074</v>
      </c>
      <c r="E4216" t="s">
        <v>20</v>
      </c>
      <c r="F4216" t="str">
        <f>"43551"</f>
        <v>43551</v>
      </c>
      <c r="G4216" t="str">
        <f>"632482"</f>
        <v>632482</v>
      </c>
      <c r="H4216" s="2">
        <f>122.75</f>
        <v>122.75</v>
      </c>
      <c r="I4216" t="s">
        <v>27</v>
      </c>
      <c r="J4216" t="s">
        <v>157</v>
      </c>
      <c r="K4216" t="str">
        <f>"521953"</f>
        <v>521953</v>
      </c>
    </row>
    <row r="4217" spans="1:11" x14ac:dyDescent="0.25">
      <c r="A4217">
        <v>2023</v>
      </c>
      <c r="B4217" t="s">
        <v>7276</v>
      </c>
      <c r="C4217" t="s">
        <v>7277</v>
      </c>
      <c r="D4217" t="s">
        <v>19</v>
      </c>
      <c r="E4217" t="s">
        <v>20</v>
      </c>
      <c r="F4217" t="str">
        <f>"43612"</f>
        <v>43612</v>
      </c>
      <c r="G4217" t="str">
        <f>"632514"</f>
        <v>632514</v>
      </c>
      <c r="H4217" s="2">
        <f>10</f>
        <v>10</v>
      </c>
      <c r="I4217" t="s">
        <v>27</v>
      </c>
      <c r="J4217" t="s">
        <v>195</v>
      </c>
      <c r="K4217" t="str">
        <f>"22024445"</f>
        <v>22024445</v>
      </c>
    </row>
    <row r="4218" spans="1:11" x14ac:dyDescent="0.25">
      <c r="A4218">
        <v>2023</v>
      </c>
      <c r="B4218" t="s">
        <v>7280</v>
      </c>
      <c r="C4218" t="s">
        <v>7281</v>
      </c>
      <c r="D4218" t="s">
        <v>58</v>
      </c>
      <c r="E4218" t="s">
        <v>20</v>
      </c>
      <c r="F4218" t="str">
        <f>"43616"</f>
        <v>43616</v>
      </c>
      <c r="G4218" t="str">
        <f>"Je012023"</f>
        <v>Je012023</v>
      </c>
      <c r="H4218" s="2">
        <f>10</f>
        <v>10</v>
      </c>
      <c r="I4218" t="s">
        <v>15</v>
      </c>
      <c r="J4218" t="s">
        <v>397</v>
      </c>
      <c r="K4218" t="str">
        <f>"60065984"</f>
        <v>60065984</v>
      </c>
    </row>
    <row r="4219" spans="1:11" x14ac:dyDescent="0.25">
      <c r="A4219">
        <v>2023</v>
      </c>
      <c r="B4219" t="s">
        <v>7284</v>
      </c>
      <c r="C4219" t="s">
        <v>7285</v>
      </c>
      <c r="D4219" t="s">
        <v>105</v>
      </c>
      <c r="E4219" t="s">
        <v>20</v>
      </c>
      <c r="F4219" t="str">
        <f>"43528-9136"</f>
        <v>43528-9136</v>
      </c>
      <c r="G4219" t="str">
        <f>"637573"</f>
        <v>637573</v>
      </c>
      <c r="H4219" s="2">
        <f>20</f>
        <v>20</v>
      </c>
      <c r="I4219" t="s">
        <v>27</v>
      </c>
      <c r="J4219" t="s">
        <v>61</v>
      </c>
      <c r="K4219" t="str">
        <f>"119240"</f>
        <v>119240</v>
      </c>
    </row>
    <row r="4220" spans="1:11" x14ac:dyDescent="0.25">
      <c r="A4220">
        <v>2023</v>
      </c>
      <c r="B4220" t="s">
        <v>7286</v>
      </c>
      <c r="C4220" t="s">
        <v>7287</v>
      </c>
      <c r="D4220" t="s">
        <v>19</v>
      </c>
      <c r="E4220" t="s">
        <v>20</v>
      </c>
      <c r="F4220" t="str">
        <f>"43604-1795"</f>
        <v>43604-1795</v>
      </c>
      <c r="G4220" t="str">
        <f>"637573"</f>
        <v>637573</v>
      </c>
      <c r="H4220" s="2">
        <f>20</f>
        <v>20</v>
      </c>
      <c r="I4220" t="s">
        <v>27</v>
      </c>
      <c r="J4220" t="s">
        <v>61</v>
      </c>
      <c r="K4220" t="str">
        <f>"119442"</f>
        <v>119442</v>
      </c>
    </row>
    <row r="4221" spans="1:11" x14ac:dyDescent="0.25">
      <c r="A4221">
        <v>2023</v>
      </c>
      <c r="B4221" t="s">
        <v>7298</v>
      </c>
      <c r="C4221" t="s">
        <v>7299</v>
      </c>
      <c r="D4221" t="s">
        <v>771</v>
      </c>
      <c r="E4221" t="s">
        <v>20</v>
      </c>
      <c r="F4221" t="str">
        <f>"43460"</f>
        <v>43460</v>
      </c>
      <c r="G4221" t="str">
        <f>"632482"</f>
        <v>632482</v>
      </c>
      <c r="H4221" s="2">
        <f>17.19</f>
        <v>17.190000000000001</v>
      </c>
      <c r="I4221" t="s">
        <v>27</v>
      </c>
      <c r="J4221" t="s">
        <v>157</v>
      </c>
      <c r="K4221" t="str">
        <f>"522035"</f>
        <v>522035</v>
      </c>
    </row>
    <row r="4222" spans="1:11" x14ac:dyDescent="0.25">
      <c r="A4222">
        <v>2023</v>
      </c>
      <c r="B4222" t="s">
        <v>7302</v>
      </c>
      <c r="C4222" t="s">
        <v>7303</v>
      </c>
      <c r="D4222" t="s">
        <v>1163</v>
      </c>
      <c r="E4222" t="s">
        <v>20</v>
      </c>
      <c r="F4222" t="str">
        <f>"45201"</f>
        <v>45201</v>
      </c>
      <c r="G4222" t="str">
        <f t="shared" ref="G4222:G4232" si="143">"632483"</f>
        <v>632483</v>
      </c>
      <c r="H4222" s="2">
        <f>550</f>
        <v>550</v>
      </c>
      <c r="I4222" t="s">
        <v>27</v>
      </c>
      <c r="J4222" t="s">
        <v>108</v>
      </c>
      <c r="K4222" t="str">
        <f>"39915"</f>
        <v>39915</v>
      </c>
    </row>
    <row r="4223" spans="1:11" x14ac:dyDescent="0.25">
      <c r="A4223">
        <v>2023</v>
      </c>
      <c r="B4223" t="s">
        <v>7302</v>
      </c>
      <c r="C4223" t="s">
        <v>7304</v>
      </c>
      <c r="D4223" t="s">
        <v>1163</v>
      </c>
      <c r="E4223" t="s">
        <v>20</v>
      </c>
      <c r="F4223" t="str">
        <f>"45201"</f>
        <v>45201</v>
      </c>
      <c r="G4223" t="str">
        <f t="shared" si="143"/>
        <v>632483</v>
      </c>
      <c r="H4223" s="2">
        <f>550</f>
        <v>550</v>
      </c>
      <c r="I4223" t="s">
        <v>27</v>
      </c>
      <c r="J4223" t="s">
        <v>108</v>
      </c>
      <c r="K4223" t="str">
        <f>"39940"</f>
        <v>39940</v>
      </c>
    </row>
    <row r="4224" spans="1:11" x14ac:dyDescent="0.25">
      <c r="A4224">
        <v>2023</v>
      </c>
      <c r="B4224" t="s">
        <v>7302</v>
      </c>
      <c r="C4224" t="s">
        <v>7303</v>
      </c>
      <c r="D4224" t="s">
        <v>1163</v>
      </c>
      <c r="E4224" t="s">
        <v>20</v>
      </c>
      <c r="F4224" t="str">
        <f>"45201"</f>
        <v>45201</v>
      </c>
      <c r="G4224" t="str">
        <f t="shared" si="143"/>
        <v>632483</v>
      </c>
      <c r="H4224" s="2">
        <f>539</f>
        <v>539</v>
      </c>
      <c r="I4224" t="s">
        <v>27</v>
      </c>
      <c r="J4224" t="s">
        <v>108</v>
      </c>
      <c r="K4224" t="str">
        <f>"40382"</f>
        <v>40382</v>
      </c>
    </row>
    <row r="4225" spans="1:11" x14ac:dyDescent="0.25">
      <c r="A4225">
        <v>2023</v>
      </c>
      <c r="B4225" t="s">
        <v>7302</v>
      </c>
      <c r="C4225" t="s">
        <v>7305</v>
      </c>
      <c r="D4225" t="s">
        <v>1163</v>
      </c>
      <c r="E4225" t="s">
        <v>20</v>
      </c>
      <c r="F4225" t="str">
        <f>"45201"</f>
        <v>45201</v>
      </c>
      <c r="G4225" t="str">
        <f t="shared" si="143"/>
        <v>632483</v>
      </c>
      <c r="H4225" s="2">
        <f>550</f>
        <v>550</v>
      </c>
      <c r="I4225" t="s">
        <v>27</v>
      </c>
      <c r="J4225" t="s">
        <v>108</v>
      </c>
      <c r="K4225" t="str">
        <f>"40554"</f>
        <v>40554</v>
      </c>
    </row>
    <row r="4226" spans="1:11" x14ac:dyDescent="0.25">
      <c r="A4226">
        <v>2023</v>
      </c>
      <c r="B4226" t="s">
        <v>7302</v>
      </c>
      <c r="C4226" t="s">
        <v>7303</v>
      </c>
      <c r="D4226" t="s">
        <v>1163</v>
      </c>
      <c r="E4226" t="s">
        <v>20</v>
      </c>
      <c r="F4226" t="str">
        <f>"45201"</f>
        <v>45201</v>
      </c>
      <c r="G4226" t="str">
        <f t="shared" si="143"/>
        <v>632483</v>
      </c>
      <c r="H4226" s="2">
        <f>550</f>
        <v>550</v>
      </c>
      <c r="I4226" t="s">
        <v>27</v>
      </c>
      <c r="J4226" t="s">
        <v>108</v>
      </c>
      <c r="K4226" t="str">
        <f>"40129"</f>
        <v>40129</v>
      </c>
    </row>
    <row r="4227" spans="1:11" x14ac:dyDescent="0.25">
      <c r="A4227">
        <v>2023</v>
      </c>
      <c r="B4227" t="s">
        <v>7302</v>
      </c>
      <c r="C4227" t="s">
        <v>7303</v>
      </c>
      <c r="D4227" t="s">
        <v>1163</v>
      </c>
      <c r="E4227" t="s">
        <v>20</v>
      </c>
      <c r="F4227" t="str">
        <f>"45202"</f>
        <v>45202</v>
      </c>
      <c r="G4227" t="str">
        <f t="shared" si="143"/>
        <v>632483</v>
      </c>
      <c r="H4227" s="2">
        <f>539</f>
        <v>539</v>
      </c>
      <c r="I4227" t="s">
        <v>27</v>
      </c>
      <c r="J4227" t="s">
        <v>108</v>
      </c>
      <c r="K4227" t="str">
        <f>"40222"</f>
        <v>40222</v>
      </c>
    </row>
    <row r="4228" spans="1:11" x14ac:dyDescent="0.25">
      <c r="A4228">
        <v>2023</v>
      </c>
      <c r="B4228" t="s">
        <v>7302</v>
      </c>
      <c r="C4228" t="s">
        <v>7303</v>
      </c>
      <c r="D4228" t="s">
        <v>1163</v>
      </c>
      <c r="E4228" t="s">
        <v>20</v>
      </c>
      <c r="F4228" t="str">
        <f>"45202"</f>
        <v>45202</v>
      </c>
      <c r="G4228" t="str">
        <f t="shared" si="143"/>
        <v>632483</v>
      </c>
      <c r="H4228" s="2">
        <f>550</f>
        <v>550</v>
      </c>
      <c r="I4228" t="s">
        <v>27</v>
      </c>
      <c r="J4228" t="s">
        <v>108</v>
      </c>
      <c r="K4228" t="str">
        <f>"40229"</f>
        <v>40229</v>
      </c>
    </row>
    <row r="4229" spans="1:11" x14ac:dyDescent="0.25">
      <c r="A4229">
        <v>2023</v>
      </c>
      <c r="B4229" t="s">
        <v>7302</v>
      </c>
      <c r="C4229" t="s">
        <v>7303</v>
      </c>
      <c r="D4229" t="s">
        <v>1163</v>
      </c>
      <c r="E4229" t="s">
        <v>20</v>
      </c>
      <c r="F4229" t="str">
        <f>"45201"</f>
        <v>45201</v>
      </c>
      <c r="G4229" t="str">
        <f t="shared" si="143"/>
        <v>632483</v>
      </c>
      <c r="H4229" s="2">
        <f>150.7</f>
        <v>150.69999999999999</v>
      </c>
      <c r="I4229" t="s">
        <v>27</v>
      </c>
      <c r="J4229" t="s">
        <v>108</v>
      </c>
      <c r="K4229" t="str">
        <f>"40245"</f>
        <v>40245</v>
      </c>
    </row>
    <row r="4230" spans="1:11" x14ac:dyDescent="0.25">
      <c r="A4230">
        <v>2023</v>
      </c>
      <c r="B4230" t="s">
        <v>7302</v>
      </c>
      <c r="C4230" t="s">
        <v>7303</v>
      </c>
      <c r="D4230" t="s">
        <v>1163</v>
      </c>
      <c r="E4230" t="s">
        <v>20</v>
      </c>
      <c r="F4230" t="str">
        <f>"45201"</f>
        <v>45201</v>
      </c>
      <c r="G4230" t="str">
        <f t="shared" si="143"/>
        <v>632483</v>
      </c>
      <c r="H4230" s="2">
        <f>5.85</f>
        <v>5.85</v>
      </c>
      <c r="I4230" t="s">
        <v>27</v>
      </c>
      <c r="J4230" t="s">
        <v>108</v>
      </c>
      <c r="K4230" t="str">
        <f>"40633"</f>
        <v>40633</v>
      </c>
    </row>
    <row r="4231" spans="1:11" x14ac:dyDescent="0.25">
      <c r="A4231">
        <v>2023</v>
      </c>
      <c r="B4231" t="s">
        <v>7306</v>
      </c>
      <c r="C4231" t="s">
        <v>7303</v>
      </c>
      <c r="D4231" t="s">
        <v>1163</v>
      </c>
      <c r="E4231" t="s">
        <v>20</v>
      </c>
      <c r="F4231" t="str">
        <f>"45201"</f>
        <v>45201</v>
      </c>
      <c r="G4231" t="str">
        <f t="shared" si="143"/>
        <v>632483</v>
      </c>
      <c r="H4231" s="2">
        <f>550</f>
        <v>550</v>
      </c>
      <c r="I4231" t="s">
        <v>27</v>
      </c>
      <c r="J4231" t="s">
        <v>108</v>
      </c>
      <c r="K4231" t="str">
        <f>"39836"</f>
        <v>39836</v>
      </c>
    </row>
    <row r="4232" spans="1:11" x14ac:dyDescent="0.25">
      <c r="A4232">
        <v>2023</v>
      </c>
      <c r="B4232" t="s">
        <v>7314</v>
      </c>
      <c r="C4232" t="s">
        <v>7315</v>
      </c>
      <c r="D4232" t="s">
        <v>1163</v>
      </c>
      <c r="E4232" t="s">
        <v>20</v>
      </c>
      <c r="F4232" t="str">
        <f>"45201"</f>
        <v>45201</v>
      </c>
      <c r="G4232" t="str">
        <f t="shared" si="143"/>
        <v>632483</v>
      </c>
      <c r="H4232" s="2">
        <f>550</f>
        <v>550</v>
      </c>
      <c r="I4232" t="s">
        <v>27</v>
      </c>
      <c r="J4232" t="s">
        <v>108</v>
      </c>
      <c r="K4232" t="str">
        <f>"40610"</f>
        <v>40610</v>
      </c>
    </row>
    <row r="4233" spans="1:11" x14ac:dyDescent="0.25">
      <c r="A4233">
        <v>2023</v>
      </c>
      <c r="B4233" t="s">
        <v>7320</v>
      </c>
      <c r="C4233" t="s">
        <v>7321</v>
      </c>
      <c r="D4233" t="s">
        <v>50</v>
      </c>
      <c r="E4233" t="s">
        <v>20</v>
      </c>
      <c r="F4233" t="str">
        <f>"43560-9343"</f>
        <v>43560-9343</v>
      </c>
      <c r="G4233" t="str">
        <f>"637573"</f>
        <v>637573</v>
      </c>
      <c r="H4233" s="2">
        <f>10</f>
        <v>10</v>
      </c>
      <c r="I4233" t="s">
        <v>27</v>
      </c>
      <c r="J4233" t="s">
        <v>61</v>
      </c>
      <c r="K4233" t="str">
        <f>"120946"</f>
        <v>120946</v>
      </c>
    </row>
    <row r="4234" spans="1:11" x14ac:dyDescent="0.25">
      <c r="A4234">
        <v>2023</v>
      </c>
      <c r="B4234" t="s">
        <v>7334</v>
      </c>
      <c r="C4234" t="s">
        <v>7335</v>
      </c>
      <c r="D4234" t="s">
        <v>58</v>
      </c>
      <c r="E4234" t="s">
        <v>20</v>
      </c>
      <c r="F4234" t="str">
        <f>"43616"</f>
        <v>43616</v>
      </c>
      <c r="G4234" t="str">
        <f>"Je12142023"</f>
        <v>Je12142023</v>
      </c>
      <c r="H4234" s="2">
        <f>317.92</f>
        <v>317.92</v>
      </c>
      <c r="I4234" t="s">
        <v>15</v>
      </c>
      <c r="J4234" t="s">
        <v>176</v>
      </c>
      <c r="K4234" t="str">
        <f>"60098298"</f>
        <v>60098298</v>
      </c>
    </row>
    <row r="4235" spans="1:11" x14ac:dyDescent="0.25">
      <c r="A4235">
        <v>2023</v>
      </c>
      <c r="B4235" t="s">
        <v>7338</v>
      </c>
      <c r="C4235" t="s">
        <v>7339</v>
      </c>
      <c r="D4235" t="s">
        <v>19</v>
      </c>
      <c r="E4235" t="s">
        <v>20</v>
      </c>
      <c r="F4235" t="str">
        <f t="shared" ref="F4235:F4241" si="144">"43612"</f>
        <v>43612</v>
      </c>
      <c r="G4235" t="str">
        <f t="shared" ref="G4235:G4241" si="145">"632482"</f>
        <v>632482</v>
      </c>
      <c r="H4235" s="2">
        <f>1.82</f>
        <v>1.82</v>
      </c>
      <c r="I4235" t="s">
        <v>27</v>
      </c>
      <c r="J4235" t="s">
        <v>157</v>
      </c>
      <c r="K4235" t="str">
        <f>"521854"</f>
        <v>521854</v>
      </c>
    </row>
    <row r="4236" spans="1:11" x14ac:dyDescent="0.25">
      <c r="A4236">
        <v>2023</v>
      </c>
      <c r="B4236" t="s">
        <v>7338</v>
      </c>
      <c r="C4236" t="s">
        <v>7339</v>
      </c>
      <c r="D4236" t="s">
        <v>19</v>
      </c>
      <c r="E4236" t="s">
        <v>20</v>
      </c>
      <c r="F4236" t="str">
        <f t="shared" si="144"/>
        <v>43612</v>
      </c>
      <c r="G4236" t="str">
        <f t="shared" si="145"/>
        <v>632482</v>
      </c>
      <c r="H4236" s="2">
        <f>4.55</f>
        <v>4.55</v>
      </c>
      <c r="I4236" t="s">
        <v>27</v>
      </c>
      <c r="J4236" t="s">
        <v>157</v>
      </c>
      <c r="K4236" t="str">
        <f>"521541"</f>
        <v>521541</v>
      </c>
    </row>
    <row r="4237" spans="1:11" x14ac:dyDescent="0.25">
      <c r="A4237">
        <v>2023</v>
      </c>
      <c r="B4237" t="s">
        <v>7338</v>
      </c>
      <c r="C4237" t="s">
        <v>7339</v>
      </c>
      <c r="D4237" t="s">
        <v>19</v>
      </c>
      <c r="E4237" t="s">
        <v>20</v>
      </c>
      <c r="F4237" t="str">
        <f t="shared" si="144"/>
        <v>43612</v>
      </c>
      <c r="G4237" t="str">
        <f t="shared" si="145"/>
        <v>632482</v>
      </c>
      <c r="H4237" s="2">
        <f>4.55</f>
        <v>4.55</v>
      </c>
      <c r="I4237" t="s">
        <v>27</v>
      </c>
      <c r="J4237" t="s">
        <v>157</v>
      </c>
      <c r="K4237" t="str">
        <f>"521417"</f>
        <v>521417</v>
      </c>
    </row>
    <row r="4238" spans="1:11" x14ac:dyDescent="0.25">
      <c r="A4238">
        <v>2023</v>
      </c>
      <c r="B4238" t="s">
        <v>7338</v>
      </c>
      <c r="C4238" t="s">
        <v>7339</v>
      </c>
      <c r="D4238" t="s">
        <v>19</v>
      </c>
      <c r="E4238" t="s">
        <v>20</v>
      </c>
      <c r="F4238" t="str">
        <f t="shared" si="144"/>
        <v>43612</v>
      </c>
      <c r="G4238" t="str">
        <f t="shared" si="145"/>
        <v>632482</v>
      </c>
      <c r="H4238" s="2">
        <f>4.55</f>
        <v>4.55</v>
      </c>
      <c r="I4238" t="s">
        <v>27</v>
      </c>
      <c r="J4238" t="s">
        <v>157</v>
      </c>
      <c r="K4238" t="str">
        <f>"520603"</f>
        <v>520603</v>
      </c>
    </row>
    <row r="4239" spans="1:11" x14ac:dyDescent="0.25">
      <c r="A4239">
        <v>2023</v>
      </c>
      <c r="B4239" t="s">
        <v>7338</v>
      </c>
      <c r="C4239" t="s">
        <v>7339</v>
      </c>
      <c r="D4239" t="s">
        <v>19</v>
      </c>
      <c r="E4239" t="s">
        <v>20</v>
      </c>
      <c r="F4239" t="str">
        <f t="shared" si="144"/>
        <v>43612</v>
      </c>
      <c r="G4239" t="str">
        <f t="shared" si="145"/>
        <v>632482</v>
      </c>
      <c r="H4239" s="2">
        <f>2.27</f>
        <v>2.27</v>
      </c>
      <c r="I4239" t="s">
        <v>27</v>
      </c>
      <c r="J4239" t="s">
        <v>157</v>
      </c>
      <c r="K4239" t="str">
        <f>"521077"</f>
        <v>521077</v>
      </c>
    </row>
    <row r="4240" spans="1:11" x14ac:dyDescent="0.25">
      <c r="A4240">
        <v>2023</v>
      </c>
      <c r="B4240" t="s">
        <v>7338</v>
      </c>
      <c r="C4240" t="s">
        <v>7339</v>
      </c>
      <c r="D4240" t="s">
        <v>19</v>
      </c>
      <c r="E4240" t="s">
        <v>20</v>
      </c>
      <c r="F4240" t="str">
        <f t="shared" si="144"/>
        <v>43612</v>
      </c>
      <c r="G4240" t="str">
        <f t="shared" si="145"/>
        <v>632482</v>
      </c>
      <c r="H4240" s="2">
        <f>2.27</f>
        <v>2.27</v>
      </c>
      <c r="I4240" t="s">
        <v>27</v>
      </c>
      <c r="J4240" t="s">
        <v>157</v>
      </c>
      <c r="K4240" t="str">
        <f>"522259"</f>
        <v>522259</v>
      </c>
    </row>
    <row r="4241" spans="1:11" x14ac:dyDescent="0.25">
      <c r="A4241">
        <v>2023</v>
      </c>
      <c r="B4241" t="s">
        <v>7338</v>
      </c>
      <c r="C4241" t="s">
        <v>7339</v>
      </c>
      <c r="D4241" t="s">
        <v>19</v>
      </c>
      <c r="E4241" t="s">
        <v>20</v>
      </c>
      <c r="F4241" t="str">
        <f t="shared" si="144"/>
        <v>43612</v>
      </c>
      <c r="G4241" t="str">
        <f t="shared" si="145"/>
        <v>632482</v>
      </c>
      <c r="H4241" s="2">
        <f>4.55</f>
        <v>4.55</v>
      </c>
      <c r="I4241" t="s">
        <v>27</v>
      </c>
      <c r="J4241" t="s">
        <v>157</v>
      </c>
      <c r="K4241" t="str">
        <f>"520824"</f>
        <v>520824</v>
      </c>
    </row>
    <row r="4242" spans="1:11" x14ac:dyDescent="0.25">
      <c r="A4242">
        <v>2023</v>
      </c>
      <c r="B4242" t="s">
        <v>7353</v>
      </c>
      <c r="C4242" t="s">
        <v>7354</v>
      </c>
      <c r="D4242" t="s">
        <v>125</v>
      </c>
      <c r="E4242" t="s">
        <v>20</v>
      </c>
      <c r="F4242" t="str">
        <f>"43537"</f>
        <v>43537</v>
      </c>
      <c r="G4242" t="str">
        <f>"Je06132023"</f>
        <v>Je06132023</v>
      </c>
      <c r="H4242" s="2">
        <f>3944.08</f>
        <v>3944.08</v>
      </c>
      <c r="I4242" t="s">
        <v>15</v>
      </c>
      <c r="J4242" t="s">
        <v>16</v>
      </c>
      <c r="K4242" t="str">
        <f>"60082440"</f>
        <v>60082440</v>
      </c>
    </row>
    <row r="4243" spans="1:11" x14ac:dyDescent="0.25">
      <c r="A4243">
        <v>2023</v>
      </c>
      <c r="B4243" t="s">
        <v>7366</v>
      </c>
      <c r="C4243" t="s">
        <v>7367</v>
      </c>
      <c r="D4243" t="s">
        <v>19</v>
      </c>
      <c r="E4243" t="s">
        <v>20</v>
      </c>
      <c r="F4243" t="str">
        <f>"43615-6102"</f>
        <v>43615-6102</v>
      </c>
      <c r="G4243" t="str">
        <f>"637573"</f>
        <v>637573</v>
      </c>
      <c r="H4243" s="2">
        <f>40</f>
        <v>40</v>
      </c>
      <c r="I4243" t="s">
        <v>27</v>
      </c>
      <c r="J4243" t="s">
        <v>61</v>
      </c>
      <c r="K4243" t="str">
        <f>"119854"</f>
        <v>119854</v>
      </c>
    </row>
    <row r="4244" spans="1:11" x14ac:dyDescent="0.25">
      <c r="A4244">
        <v>2023</v>
      </c>
      <c r="B4244" t="s">
        <v>7366</v>
      </c>
      <c r="C4244" t="s">
        <v>7367</v>
      </c>
      <c r="D4244" t="s">
        <v>19</v>
      </c>
      <c r="E4244" t="s">
        <v>20</v>
      </c>
      <c r="F4244" t="str">
        <f>"43615-6102"</f>
        <v>43615-6102</v>
      </c>
      <c r="G4244" t="str">
        <f>"637573"</f>
        <v>637573</v>
      </c>
      <c r="H4244" s="2">
        <f>30</f>
        <v>30</v>
      </c>
      <c r="I4244" t="s">
        <v>27</v>
      </c>
      <c r="J4244" t="s">
        <v>61</v>
      </c>
      <c r="K4244" t="str">
        <f>"119700"</f>
        <v>119700</v>
      </c>
    </row>
    <row r="4245" spans="1:11" x14ac:dyDescent="0.25">
      <c r="A4245">
        <v>2023</v>
      </c>
      <c r="B4245" t="s">
        <v>7389</v>
      </c>
      <c r="C4245" t="s">
        <v>7390</v>
      </c>
      <c r="D4245" t="s">
        <v>19</v>
      </c>
      <c r="E4245" t="s">
        <v>20</v>
      </c>
      <c r="F4245" t="str">
        <f>"43609"</f>
        <v>43609</v>
      </c>
      <c r="G4245" t="str">
        <f>"632482"</f>
        <v>632482</v>
      </c>
      <c r="H4245" s="2">
        <f>10</f>
        <v>10</v>
      </c>
      <c r="I4245" t="s">
        <v>27</v>
      </c>
      <c r="J4245" t="s">
        <v>157</v>
      </c>
      <c r="K4245" t="str">
        <f>"523265"</f>
        <v>523265</v>
      </c>
    </row>
    <row r="4246" spans="1:11" x14ac:dyDescent="0.25">
      <c r="A4246">
        <v>2023</v>
      </c>
      <c r="B4246" t="s">
        <v>7410</v>
      </c>
      <c r="C4246" t="s">
        <v>7411</v>
      </c>
      <c r="D4246" t="s">
        <v>19</v>
      </c>
      <c r="E4246" t="s">
        <v>20</v>
      </c>
      <c r="F4246" t="str">
        <f>"43607-3068"</f>
        <v>43607-3068</v>
      </c>
      <c r="G4246" t="str">
        <f>"637573"</f>
        <v>637573</v>
      </c>
      <c r="H4246" s="2">
        <f>10</f>
        <v>10</v>
      </c>
      <c r="I4246" t="s">
        <v>27</v>
      </c>
      <c r="J4246" t="s">
        <v>61</v>
      </c>
      <c r="K4246" t="str">
        <f>"118744"</f>
        <v>118744</v>
      </c>
    </row>
    <row r="4247" spans="1:11" x14ac:dyDescent="0.25">
      <c r="A4247">
        <v>2023</v>
      </c>
      <c r="B4247" t="s">
        <v>7440</v>
      </c>
      <c r="C4247" t="s">
        <v>7441</v>
      </c>
      <c r="D4247" t="s">
        <v>58</v>
      </c>
      <c r="E4247" t="s">
        <v>20</v>
      </c>
      <c r="F4247" t="str">
        <f>"43616-3154"</f>
        <v>43616-3154</v>
      </c>
      <c r="G4247" t="str">
        <f>"637573"</f>
        <v>637573</v>
      </c>
      <c r="H4247" s="2">
        <f>20</f>
        <v>20</v>
      </c>
      <c r="I4247" t="s">
        <v>27</v>
      </c>
      <c r="J4247" t="s">
        <v>61</v>
      </c>
      <c r="K4247" t="str">
        <f>"119107"</f>
        <v>119107</v>
      </c>
    </row>
    <row r="4248" spans="1:11" x14ac:dyDescent="0.25">
      <c r="A4248">
        <v>2023</v>
      </c>
      <c r="B4248" t="s">
        <v>7462</v>
      </c>
      <c r="C4248" t="s">
        <v>7463</v>
      </c>
      <c r="D4248" t="s">
        <v>19</v>
      </c>
      <c r="E4248" t="s">
        <v>20</v>
      </c>
      <c r="F4248" t="str">
        <f>"43612-2765"</f>
        <v>43612-2765</v>
      </c>
      <c r="G4248" t="str">
        <f>"637573"</f>
        <v>637573</v>
      </c>
      <c r="H4248" s="2">
        <f>20</f>
        <v>20</v>
      </c>
      <c r="I4248" t="s">
        <v>27</v>
      </c>
      <c r="J4248" t="s">
        <v>61</v>
      </c>
      <c r="K4248" t="str">
        <f>"119588"</f>
        <v>119588</v>
      </c>
    </row>
    <row r="4249" spans="1:11" x14ac:dyDescent="0.25">
      <c r="A4249">
        <v>2023</v>
      </c>
      <c r="B4249" t="s">
        <v>7470</v>
      </c>
      <c r="C4249" t="s">
        <v>7471</v>
      </c>
      <c r="D4249" t="s">
        <v>19</v>
      </c>
      <c r="E4249" t="s">
        <v>20</v>
      </c>
      <c r="F4249" t="str">
        <f>"43604"</f>
        <v>43604</v>
      </c>
      <c r="G4249" t="str">
        <f>"Je04112023"</f>
        <v>Je04112023</v>
      </c>
      <c r="H4249" s="2">
        <f>29.7</f>
        <v>29.7</v>
      </c>
      <c r="I4249" t="s">
        <v>15</v>
      </c>
      <c r="J4249" t="s">
        <v>412</v>
      </c>
      <c r="K4249" t="str">
        <f>"60071915"</f>
        <v>60071915</v>
      </c>
    </row>
    <row r="4250" spans="1:11" x14ac:dyDescent="0.25">
      <c r="A4250">
        <v>2023</v>
      </c>
      <c r="B4250" t="s">
        <v>7510</v>
      </c>
      <c r="C4250" t="s">
        <v>7511</v>
      </c>
      <c r="D4250" t="s">
        <v>19</v>
      </c>
      <c r="E4250" t="s">
        <v>20</v>
      </c>
      <c r="F4250" t="str">
        <f>"43612"</f>
        <v>43612</v>
      </c>
      <c r="G4250" t="str">
        <f>"638581"</f>
        <v>638581</v>
      </c>
      <c r="H4250" s="2">
        <f>4.78</f>
        <v>4.78</v>
      </c>
      <c r="I4250" t="s">
        <v>27</v>
      </c>
      <c r="J4250" t="s">
        <v>61</v>
      </c>
      <c r="K4250" t="str">
        <f>"334210"</f>
        <v>334210</v>
      </c>
    </row>
    <row r="4251" spans="1:11" x14ac:dyDescent="0.25">
      <c r="A4251">
        <v>2023</v>
      </c>
      <c r="B4251" t="s">
        <v>7512</v>
      </c>
      <c r="C4251" t="s">
        <v>7513</v>
      </c>
      <c r="D4251" t="s">
        <v>19</v>
      </c>
      <c r="E4251" t="s">
        <v>20</v>
      </c>
      <c r="F4251" t="str">
        <f>"43609"</f>
        <v>43609</v>
      </c>
      <c r="G4251" t="str">
        <f>"632514"</f>
        <v>632514</v>
      </c>
      <c r="H4251" s="2">
        <f>1.5</f>
        <v>1.5</v>
      </c>
      <c r="I4251" t="s">
        <v>27</v>
      </c>
      <c r="J4251" t="s">
        <v>195</v>
      </c>
      <c r="K4251" t="str">
        <f>"11004115"</f>
        <v>11004115</v>
      </c>
    </row>
    <row r="4252" spans="1:11" x14ac:dyDescent="0.25">
      <c r="A4252">
        <v>2023</v>
      </c>
      <c r="B4252" t="s">
        <v>7518</v>
      </c>
      <c r="C4252" t="s">
        <v>7519</v>
      </c>
      <c r="D4252" t="s">
        <v>19</v>
      </c>
      <c r="E4252" t="s">
        <v>20</v>
      </c>
      <c r="F4252" t="str">
        <f>"43605"</f>
        <v>43605</v>
      </c>
      <c r="G4252" t="str">
        <f>"638581"</f>
        <v>638581</v>
      </c>
      <c r="H4252" s="2">
        <f>6.39</f>
        <v>6.39</v>
      </c>
      <c r="I4252" t="s">
        <v>27</v>
      </c>
      <c r="J4252" t="s">
        <v>61</v>
      </c>
      <c r="K4252" t="str">
        <f>"334231"</f>
        <v>334231</v>
      </c>
    </row>
    <row r="4253" spans="1:11" x14ac:dyDescent="0.25">
      <c r="A4253">
        <v>2023</v>
      </c>
      <c r="B4253" t="s">
        <v>7523</v>
      </c>
      <c r="C4253" t="s">
        <v>7524</v>
      </c>
      <c r="D4253" t="s">
        <v>50</v>
      </c>
      <c r="E4253" t="s">
        <v>20</v>
      </c>
      <c r="F4253" t="str">
        <f>"43560-3853"</f>
        <v>43560-3853</v>
      </c>
      <c r="G4253" t="str">
        <f>"637573"</f>
        <v>637573</v>
      </c>
      <c r="H4253" s="2">
        <f>40</f>
        <v>40</v>
      </c>
      <c r="I4253" t="s">
        <v>27</v>
      </c>
      <c r="J4253" t="s">
        <v>61</v>
      </c>
      <c r="K4253" t="str">
        <f>"120692"</f>
        <v>120692</v>
      </c>
    </row>
    <row r="4254" spans="1:11" x14ac:dyDescent="0.25">
      <c r="A4254">
        <v>2023</v>
      </c>
      <c r="B4254" t="s">
        <v>7529</v>
      </c>
      <c r="C4254" t="s">
        <v>7530</v>
      </c>
      <c r="D4254" t="s">
        <v>125</v>
      </c>
      <c r="E4254" t="s">
        <v>20</v>
      </c>
      <c r="F4254" t="str">
        <f>"43537"</f>
        <v>43537</v>
      </c>
      <c r="G4254" t="str">
        <f>"Je012023"</f>
        <v>Je012023</v>
      </c>
      <c r="H4254" s="2">
        <f>148.58</f>
        <v>148.58000000000001</v>
      </c>
      <c r="I4254" t="s">
        <v>15</v>
      </c>
      <c r="J4254" t="s">
        <v>397</v>
      </c>
      <c r="K4254" t="str">
        <f>"60061976"</f>
        <v>60061976</v>
      </c>
    </row>
    <row r="4255" spans="1:11" x14ac:dyDescent="0.25">
      <c r="A4255">
        <v>2023</v>
      </c>
      <c r="B4255" t="s">
        <v>7544</v>
      </c>
      <c r="C4255" t="s">
        <v>7545</v>
      </c>
      <c r="D4255" t="s">
        <v>1163</v>
      </c>
      <c r="E4255" t="s">
        <v>20</v>
      </c>
      <c r="F4255" t="str">
        <f>"45202"</f>
        <v>45202</v>
      </c>
      <c r="G4255" t="str">
        <f>"589300"</f>
        <v>589300</v>
      </c>
      <c r="H4255" s="2">
        <f>31.05</f>
        <v>31.05</v>
      </c>
      <c r="I4255" t="s">
        <v>148</v>
      </c>
      <c r="J4255" t="s">
        <v>7546</v>
      </c>
      <c r="K4255" t="str">
        <f>"26023"</f>
        <v>26023</v>
      </c>
    </row>
    <row r="4256" spans="1:11" x14ac:dyDescent="0.25">
      <c r="A4256">
        <v>2023</v>
      </c>
      <c r="B4256" t="s">
        <v>7552</v>
      </c>
      <c r="C4256" t="s">
        <v>7553</v>
      </c>
      <c r="D4256" t="s">
        <v>7554</v>
      </c>
      <c r="E4256" t="s">
        <v>462</v>
      </c>
      <c r="F4256" t="str">
        <f>"32459"</f>
        <v>32459</v>
      </c>
      <c r="G4256" t="str">
        <f>"Je04112023"</f>
        <v>Je04112023</v>
      </c>
      <c r="H4256" s="2">
        <f>3251.46</f>
        <v>3251.46</v>
      </c>
      <c r="I4256" t="s">
        <v>15</v>
      </c>
      <c r="J4256" t="s">
        <v>412</v>
      </c>
      <c r="K4256" t="str">
        <f>"60070627"</f>
        <v>60070627</v>
      </c>
    </row>
    <row r="4257" spans="1:11" x14ac:dyDescent="0.25">
      <c r="A4257">
        <v>2023</v>
      </c>
      <c r="B4257" t="s">
        <v>7555</v>
      </c>
      <c r="C4257" t="s">
        <v>7556</v>
      </c>
      <c r="D4257" t="s">
        <v>19</v>
      </c>
      <c r="E4257" t="s">
        <v>20</v>
      </c>
      <c r="F4257" t="str">
        <f>"43609"</f>
        <v>43609</v>
      </c>
      <c r="G4257" t="str">
        <f>"Je10162023"</f>
        <v>Je10162023</v>
      </c>
      <c r="H4257" s="2">
        <f>9.98</f>
        <v>9.98</v>
      </c>
      <c r="I4257" t="s">
        <v>15</v>
      </c>
      <c r="J4257" t="s">
        <v>93</v>
      </c>
      <c r="K4257" t="str">
        <f>"60093242"</f>
        <v>60093242</v>
      </c>
    </row>
    <row r="4258" spans="1:11" x14ac:dyDescent="0.25">
      <c r="A4258">
        <v>2023</v>
      </c>
      <c r="B4258" t="s">
        <v>7563</v>
      </c>
      <c r="C4258" t="s">
        <v>7564</v>
      </c>
      <c r="D4258" t="s">
        <v>58</v>
      </c>
      <c r="E4258" t="s">
        <v>20</v>
      </c>
      <c r="F4258" t="str">
        <f>"43616"</f>
        <v>43616</v>
      </c>
      <c r="G4258" t="str">
        <f>"Je012023"</f>
        <v>Je012023</v>
      </c>
      <c r="H4258" s="2">
        <f>15</f>
        <v>15</v>
      </c>
      <c r="I4258" t="s">
        <v>15</v>
      </c>
      <c r="J4258" t="s">
        <v>397</v>
      </c>
      <c r="K4258" t="str">
        <f>"60064131"</f>
        <v>60064131</v>
      </c>
    </row>
    <row r="4259" spans="1:11" x14ac:dyDescent="0.25">
      <c r="A4259">
        <v>2023</v>
      </c>
      <c r="B4259" t="s">
        <v>7569</v>
      </c>
      <c r="C4259" t="s">
        <v>7570</v>
      </c>
      <c r="D4259" t="s">
        <v>19</v>
      </c>
      <c r="E4259" t="s">
        <v>20</v>
      </c>
      <c r="F4259" t="str">
        <f>"43604"</f>
        <v>43604</v>
      </c>
      <c r="G4259" t="str">
        <f>"632482"</f>
        <v>632482</v>
      </c>
      <c r="H4259" s="2">
        <f>0.16</f>
        <v>0.16</v>
      </c>
      <c r="I4259" t="s">
        <v>27</v>
      </c>
      <c r="J4259" t="s">
        <v>157</v>
      </c>
      <c r="K4259" t="str">
        <f>"521550"</f>
        <v>521550</v>
      </c>
    </row>
    <row r="4260" spans="1:11" x14ac:dyDescent="0.25">
      <c r="A4260">
        <v>2023</v>
      </c>
      <c r="B4260" t="s">
        <v>7571</v>
      </c>
      <c r="C4260" t="s">
        <v>7572</v>
      </c>
      <c r="D4260" t="s">
        <v>105</v>
      </c>
      <c r="E4260" t="s">
        <v>20</v>
      </c>
      <c r="F4260" t="str">
        <f>"43528"</f>
        <v>43528</v>
      </c>
      <c r="G4260" t="str">
        <f>"Je012023"</f>
        <v>Je012023</v>
      </c>
      <c r="H4260" s="2">
        <f>72</f>
        <v>72</v>
      </c>
      <c r="I4260" t="s">
        <v>15</v>
      </c>
      <c r="J4260" t="s">
        <v>397</v>
      </c>
      <c r="K4260" t="str">
        <f>"60066377"</f>
        <v>60066377</v>
      </c>
    </row>
    <row r="4261" spans="1:11" x14ac:dyDescent="0.25">
      <c r="A4261">
        <v>2023</v>
      </c>
      <c r="B4261" t="s">
        <v>7573</v>
      </c>
      <c r="C4261" t="s">
        <v>7574</v>
      </c>
      <c r="D4261" t="s">
        <v>19</v>
      </c>
      <c r="E4261" t="s">
        <v>20</v>
      </c>
      <c r="F4261" t="str">
        <f>"43604"</f>
        <v>43604</v>
      </c>
      <c r="G4261" t="str">
        <f>"632483"</f>
        <v>632483</v>
      </c>
      <c r="H4261" s="2">
        <f>14.9</f>
        <v>14.9</v>
      </c>
      <c r="I4261" t="s">
        <v>27</v>
      </c>
      <c r="J4261" t="s">
        <v>108</v>
      </c>
      <c r="K4261" t="str">
        <f>"39297"</f>
        <v>39297</v>
      </c>
    </row>
    <row r="4262" spans="1:11" x14ac:dyDescent="0.25">
      <c r="A4262">
        <v>2023</v>
      </c>
      <c r="B4262" t="s">
        <v>7590</v>
      </c>
      <c r="C4262" t="s">
        <v>7591</v>
      </c>
      <c r="D4262" t="s">
        <v>19</v>
      </c>
      <c r="E4262" t="s">
        <v>20</v>
      </c>
      <c r="F4262" t="str">
        <f>"43607"</f>
        <v>43607</v>
      </c>
      <c r="G4262" t="str">
        <f>"604454"</f>
        <v>604454</v>
      </c>
      <c r="H4262" s="2">
        <f>16238.19</f>
        <v>16238.19</v>
      </c>
      <c r="I4262" t="s">
        <v>148</v>
      </c>
      <c r="J4262" t="s">
        <v>7592</v>
      </c>
      <c r="K4262" t="str">
        <f>"26181"</f>
        <v>26181</v>
      </c>
    </row>
    <row r="4263" spans="1:11" x14ac:dyDescent="0.25">
      <c r="A4263">
        <v>2023</v>
      </c>
      <c r="B4263" t="s">
        <v>7593</v>
      </c>
      <c r="C4263" t="s">
        <v>7591</v>
      </c>
      <c r="D4263" t="s">
        <v>19</v>
      </c>
      <c r="E4263" t="s">
        <v>20</v>
      </c>
      <c r="F4263" t="str">
        <f>"43607"</f>
        <v>43607</v>
      </c>
      <c r="G4263" t="str">
        <f>"595402"</f>
        <v>595402</v>
      </c>
      <c r="H4263" s="2">
        <f>666</f>
        <v>666</v>
      </c>
      <c r="I4263" t="s">
        <v>148</v>
      </c>
      <c r="J4263" t="s">
        <v>7594</v>
      </c>
      <c r="K4263" t="str">
        <f>"26082"</f>
        <v>26082</v>
      </c>
    </row>
    <row r="4264" spans="1:11" x14ac:dyDescent="0.25">
      <c r="A4264">
        <v>2023</v>
      </c>
      <c r="B4264" t="s">
        <v>7599</v>
      </c>
      <c r="C4264" t="s">
        <v>7600</v>
      </c>
      <c r="D4264" t="s">
        <v>19</v>
      </c>
      <c r="E4264" t="s">
        <v>20</v>
      </c>
      <c r="F4264" t="str">
        <f>"43620"</f>
        <v>43620</v>
      </c>
      <c r="G4264" t="str">
        <f>"638581"</f>
        <v>638581</v>
      </c>
      <c r="H4264" s="2">
        <f>35.8</f>
        <v>35.799999999999997</v>
      </c>
      <c r="I4264" t="s">
        <v>27</v>
      </c>
      <c r="J4264" t="s">
        <v>61</v>
      </c>
      <c r="K4264" t="str">
        <f>"334131"</f>
        <v>334131</v>
      </c>
    </row>
    <row r="4265" spans="1:11" x14ac:dyDescent="0.25">
      <c r="A4265">
        <v>2023</v>
      </c>
      <c r="B4265" t="s">
        <v>7607</v>
      </c>
      <c r="C4265" t="s">
        <v>7608</v>
      </c>
      <c r="D4265" t="s">
        <v>50</v>
      </c>
      <c r="E4265" t="s">
        <v>20</v>
      </c>
      <c r="F4265" t="str">
        <f>"43560-1307"</f>
        <v>43560-1307</v>
      </c>
      <c r="G4265" t="str">
        <f>"637573"</f>
        <v>637573</v>
      </c>
      <c r="H4265" s="2">
        <f>10</f>
        <v>10</v>
      </c>
      <c r="I4265" t="s">
        <v>27</v>
      </c>
      <c r="J4265" t="s">
        <v>61</v>
      </c>
      <c r="K4265" t="str">
        <f>"119521"</f>
        <v>119521</v>
      </c>
    </row>
    <row r="4266" spans="1:11" x14ac:dyDescent="0.25">
      <c r="A4266">
        <v>2023</v>
      </c>
      <c r="B4266" t="s">
        <v>7622</v>
      </c>
      <c r="C4266" t="s">
        <v>7623</v>
      </c>
      <c r="D4266" t="s">
        <v>19</v>
      </c>
      <c r="E4266" t="s">
        <v>20</v>
      </c>
      <c r="F4266" t="str">
        <f>"43623"</f>
        <v>43623</v>
      </c>
      <c r="G4266" t="str">
        <f>"Je12142023"</f>
        <v>Je12142023</v>
      </c>
      <c r="H4266" s="2">
        <f>250.9</f>
        <v>250.9</v>
      </c>
      <c r="I4266" t="s">
        <v>15</v>
      </c>
      <c r="J4266" t="s">
        <v>176</v>
      </c>
      <c r="K4266" t="str">
        <f>"60100478"</f>
        <v>60100478</v>
      </c>
    </row>
    <row r="4267" spans="1:11" x14ac:dyDescent="0.25">
      <c r="A4267">
        <v>2023</v>
      </c>
      <c r="B4267" t="s">
        <v>7624</v>
      </c>
      <c r="C4267" t="s">
        <v>7625</v>
      </c>
      <c r="D4267" t="s">
        <v>19</v>
      </c>
      <c r="E4267" t="s">
        <v>20</v>
      </c>
      <c r="F4267" t="str">
        <f>"43615"</f>
        <v>43615</v>
      </c>
      <c r="G4267" t="str">
        <f>"632483"</f>
        <v>632483</v>
      </c>
      <c r="H4267" s="2">
        <f>9.25</f>
        <v>9.25</v>
      </c>
      <c r="I4267" t="s">
        <v>27</v>
      </c>
      <c r="J4267" t="s">
        <v>108</v>
      </c>
      <c r="K4267" t="str">
        <f>"39243"</f>
        <v>39243</v>
      </c>
    </row>
    <row r="4268" spans="1:11" x14ac:dyDescent="0.25">
      <c r="A4268">
        <v>2023</v>
      </c>
      <c r="B4268" t="s">
        <v>7630</v>
      </c>
      <c r="C4268" t="s">
        <v>7631</v>
      </c>
      <c r="D4268" t="s">
        <v>50</v>
      </c>
      <c r="E4268" t="s">
        <v>20</v>
      </c>
      <c r="F4268" t="str">
        <f>"43560"</f>
        <v>43560</v>
      </c>
      <c r="G4268" t="str">
        <f>"632483"</f>
        <v>632483</v>
      </c>
      <c r="H4268" s="2">
        <f>31</f>
        <v>31</v>
      </c>
      <c r="I4268" t="s">
        <v>27</v>
      </c>
      <c r="J4268" t="s">
        <v>108</v>
      </c>
      <c r="K4268" t="str">
        <f>"40329"</f>
        <v>40329</v>
      </c>
    </row>
    <row r="4269" spans="1:11" x14ac:dyDescent="0.25">
      <c r="A4269">
        <v>2023</v>
      </c>
      <c r="B4269" t="s">
        <v>7648</v>
      </c>
      <c r="C4269" t="s">
        <v>7649</v>
      </c>
      <c r="D4269" t="s">
        <v>19</v>
      </c>
      <c r="E4269" t="s">
        <v>20</v>
      </c>
      <c r="F4269" t="str">
        <f>"43607"</f>
        <v>43607</v>
      </c>
      <c r="G4269" t="str">
        <f>"Je12142023"</f>
        <v>Je12142023</v>
      </c>
      <c r="H4269" s="2">
        <f>60</f>
        <v>60</v>
      </c>
      <c r="I4269" t="s">
        <v>15</v>
      </c>
      <c r="J4269" t="s">
        <v>176</v>
      </c>
      <c r="K4269" t="str">
        <f>"60096314"</f>
        <v>60096314</v>
      </c>
    </row>
    <row r="4270" spans="1:11" x14ac:dyDescent="0.25">
      <c r="A4270">
        <v>2023</v>
      </c>
      <c r="B4270" t="s">
        <v>7650</v>
      </c>
      <c r="C4270" t="s">
        <v>7651</v>
      </c>
      <c r="D4270" t="s">
        <v>19</v>
      </c>
      <c r="E4270" t="s">
        <v>20</v>
      </c>
      <c r="F4270" t="str">
        <f>"43620-1443"</f>
        <v>43620-1443</v>
      </c>
      <c r="G4270" t="str">
        <f>"637573"</f>
        <v>637573</v>
      </c>
      <c r="H4270" s="2">
        <f>10</f>
        <v>10</v>
      </c>
      <c r="I4270" t="s">
        <v>27</v>
      </c>
      <c r="J4270" t="s">
        <v>61</v>
      </c>
      <c r="K4270" t="str">
        <f>"120241"</f>
        <v>120241</v>
      </c>
    </row>
    <row r="4271" spans="1:11" x14ac:dyDescent="0.25">
      <c r="A4271">
        <v>2023</v>
      </c>
      <c r="B4271" t="s">
        <v>7687</v>
      </c>
      <c r="C4271" t="s">
        <v>7688</v>
      </c>
      <c r="D4271" t="s">
        <v>19</v>
      </c>
      <c r="E4271" t="s">
        <v>20</v>
      </c>
      <c r="F4271" t="str">
        <f>"43605"</f>
        <v>43605</v>
      </c>
      <c r="G4271" t="str">
        <f>"632482"</f>
        <v>632482</v>
      </c>
      <c r="H4271" s="2">
        <f>25</f>
        <v>25</v>
      </c>
      <c r="I4271" t="s">
        <v>27</v>
      </c>
      <c r="J4271" t="s">
        <v>157</v>
      </c>
      <c r="K4271" t="str">
        <f>"522204"</f>
        <v>522204</v>
      </c>
    </row>
    <row r="4272" spans="1:11" x14ac:dyDescent="0.25">
      <c r="A4272">
        <v>2023</v>
      </c>
      <c r="B4272" t="s">
        <v>7695</v>
      </c>
      <c r="C4272" t="s">
        <v>7696</v>
      </c>
      <c r="D4272" t="s">
        <v>19</v>
      </c>
      <c r="E4272" t="s">
        <v>20</v>
      </c>
      <c r="F4272" t="str">
        <f>"43615"</f>
        <v>43615</v>
      </c>
      <c r="G4272" t="str">
        <f>"Je012023"</f>
        <v>Je012023</v>
      </c>
      <c r="H4272" s="2">
        <f>10</f>
        <v>10</v>
      </c>
      <c r="I4272" t="s">
        <v>15</v>
      </c>
      <c r="J4272" t="s">
        <v>397</v>
      </c>
      <c r="K4272" t="str">
        <f>"60065989"</f>
        <v>60065989</v>
      </c>
    </row>
    <row r="4273" spans="1:11" x14ac:dyDescent="0.25">
      <c r="A4273">
        <v>2023</v>
      </c>
      <c r="B4273" t="s">
        <v>7697</v>
      </c>
      <c r="C4273" t="s">
        <v>7698</v>
      </c>
      <c r="D4273" t="s">
        <v>19</v>
      </c>
      <c r="E4273" t="s">
        <v>20</v>
      </c>
      <c r="F4273" t="str">
        <f>"43609-1861"</f>
        <v>43609-1861</v>
      </c>
      <c r="G4273" t="str">
        <f>"637573"</f>
        <v>637573</v>
      </c>
      <c r="H4273" s="2">
        <f>40</f>
        <v>40</v>
      </c>
      <c r="I4273" t="s">
        <v>27</v>
      </c>
      <c r="J4273" t="s">
        <v>61</v>
      </c>
      <c r="K4273" t="str">
        <f>"121007"</f>
        <v>121007</v>
      </c>
    </row>
    <row r="4274" spans="1:11" x14ac:dyDescent="0.25">
      <c r="A4274">
        <v>2023</v>
      </c>
      <c r="B4274" t="s">
        <v>7699</v>
      </c>
      <c r="C4274" t="s">
        <v>7700</v>
      </c>
      <c r="D4274" t="s">
        <v>19</v>
      </c>
      <c r="E4274" t="s">
        <v>20</v>
      </c>
      <c r="F4274" t="str">
        <f>"43613-4831"</f>
        <v>43613-4831</v>
      </c>
      <c r="G4274" t="str">
        <f>"637573"</f>
        <v>637573</v>
      </c>
      <c r="H4274" s="2">
        <f>20</f>
        <v>20</v>
      </c>
      <c r="I4274" t="s">
        <v>27</v>
      </c>
      <c r="J4274" t="s">
        <v>61</v>
      </c>
      <c r="K4274" t="str">
        <f>"120927"</f>
        <v>120927</v>
      </c>
    </row>
    <row r="4275" spans="1:11" x14ac:dyDescent="0.25">
      <c r="A4275">
        <v>2023</v>
      </c>
      <c r="B4275" t="s">
        <v>7703</v>
      </c>
      <c r="C4275" t="s">
        <v>7704</v>
      </c>
      <c r="D4275" t="s">
        <v>50</v>
      </c>
      <c r="E4275" t="s">
        <v>20</v>
      </c>
      <c r="F4275" t="str">
        <f>"43560"</f>
        <v>43560</v>
      </c>
      <c r="G4275" t="str">
        <f>"632482"</f>
        <v>632482</v>
      </c>
      <c r="H4275" s="2">
        <f>20</f>
        <v>20</v>
      </c>
      <c r="I4275" t="s">
        <v>27</v>
      </c>
      <c r="J4275" t="s">
        <v>157</v>
      </c>
      <c r="K4275" t="str">
        <f>"522147"</f>
        <v>522147</v>
      </c>
    </row>
    <row r="4276" spans="1:11" x14ac:dyDescent="0.25">
      <c r="A4276">
        <v>2023</v>
      </c>
      <c r="B4276" t="s">
        <v>7703</v>
      </c>
      <c r="C4276" t="s">
        <v>7704</v>
      </c>
      <c r="D4276" t="s">
        <v>50</v>
      </c>
      <c r="E4276" t="s">
        <v>20</v>
      </c>
      <c r="F4276" t="str">
        <f>"43560"</f>
        <v>43560</v>
      </c>
      <c r="G4276" t="str">
        <f>"632482"</f>
        <v>632482</v>
      </c>
      <c r="H4276" s="2">
        <f>10</f>
        <v>10</v>
      </c>
      <c r="I4276" t="s">
        <v>27</v>
      </c>
      <c r="J4276" t="s">
        <v>157</v>
      </c>
      <c r="K4276" t="str">
        <f>"521658"</f>
        <v>521658</v>
      </c>
    </row>
    <row r="4277" spans="1:11" x14ac:dyDescent="0.25">
      <c r="A4277">
        <v>2023</v>
      </c>
      <c r="B4277" t="s">
        <v>7703</v>
      </c>
      <c r="C4277" t="s">
        <v>7704</v>
      </c>
      <c r="D4277" t="s">
        <v>50</v>
      </c>
      <c r="E4277" t="s">
        <v>20</v>
      </c>
      <c r="F4277" t="str">
        <f>"43560"</f>
        <v>43560</v>
      </c>
      <c r="G4277" t="str">
        <f>"632482"</f>
        <v>632482</v>
      </c>
      <c r="H4277" s="2">
        <f>5</f>
        <v>5</v>
      </c>
      <c r="I4277" t="s">
        <v>27</v>
      </c>
      <c r="J4277" t="s">
        <v>157</v>
      </c>
      <c r="K4277" t="str">
        <f>"522404"</f>
        <v>522404</v>
      </c>
    </row>
    <row r="4278" spans="1:11" x14ac:dyDescent="0.25">
      <c r="A4278">
        <v>2023</v>
      </c>
      <c r="B4278" t="s">
        <v>7703</v>
      </c>
      <c r="C4278" t="s">
        <v>7704</v>
      </c>
      <c r="D4278" t="s">
        <v>50</v>
      </c>
      <c r="E4278" t="s">
        <v>20</v>
      </c>
      <c r="F4278" t="str">
        <f>"43560"</f>
        <v>43560</v>
      </c>
      <c r="G4278" t="str">
        <f>"632482"</f>
        <v>632482</v>
      </c>
      <c r="H4278" s="2">
        <f>5</f>
        <v>5</v>
      </c>
      <c r="I4278" t="s">
        <v>27</v>
      </c>
      <c r="J4278" t="s">
        <v>157</v>
      </c>
      <c r="K4278" t="str">
        <f>"523000"</f>
        <v>523000</v>
      </c>
    </row>
    <row r="4279" spans="1:11" x14ac:dyDescent="0.25">
      <c r="A4279">
        <v>2023</v>
      </c>
      <c r="B4279" t="s">
        <v>7707</v>
      </c>
      <c r="C4279" t="s">
        <v>7708</v>
      </c>
      <c r="D4279" t="s">
        <v>19</v>
      </c>
      <c r="E4279" t="s">
        <v>20</v>
      </c>
      <c r="F4279" t="str">
        <f>"43613-2015"</f>
        <v>43613-2015</v>
      </c>
      <c r="G4279" t="str">
        <f>"637573"</f>
        <v>637573</v>
      </c>
      <c r="H4279" s="2">
        <f>10</f>
        <v>10</v>
      </c>
      <c r="I4279" t="s">
        <v>27</v>
      </c>
      <c r="J4279" t="s">
        <v>61</v>
      </c>
      <c r="K4279" t="str">
        <f>"118629"</f>
        <v>118629</v>
      </c>
    </row>
    <row r="4280" spans="1:11" x14ac:dyDescent="0.25">
      <c r="A4280">
        <v>2023</v>
      </c>
      <c r="B4280" t="s">
        <v>7726</v>
      </c>
      <c r="C4280" t="s">
        <v>7727</v>
      </c>
      <c r="D4280" t="s">
        <v>19</v>
      </c>
      <c r="E4280" t="s">
        <v>20</v>
      </c>
      <c r="F4280" t="str">
        <f>"43612"</f>
        <v>43612</v>
      </c>
      <c r="G4280" t="str">
        <f>"632482"</f>
        <v>632482</v>
      </c>
      <c r="H4280" s="2">
        <f>60</f>
        <v>60</v>
      </c>
      <c r="I4280" t="s">
        <v>27</v>
      </c>
      <c r="J4280" t="s">
        <v>157</v>
      </c>
      <c r="K4280" t="str">
        <f>"522474"</f>
        <v>522474</v>
      </c>
    </row>
    <row r="4281" spans="1:11" x14ac:dyDescent="0.25">
      <c r="A4281">
        <v>2023</v>
      </c>
      <c r="B4281" t="s">
        <v>7730</v>
      </c>
      <c r="C4281" t="s">
        <v>7731</v>
      </c>
      <c r="D4281" t="s">
        <v>64</v>
      </c>
      <c r="E4281" t="s">
        <v>20</v>
      </c>
      <c r="F4281" t="str">
        <f>"43566"</f>
        <v>43566</v>
      </c>
      <c r="G4281" t="str">
        <f>"Je12142023"</f>
        <v>Je12142023</v>
      </c>
      <c r="H4281" s="2">
        <f>35</f>
        <v>35</v>
      </c>
      <c r="I4281" t="s">
        <v>15</v>
      </c>
      <c r="J4281" t="s">
        <v>176</v>
      </c>
      <c r="K4281" t="str">
        <f>"60104042"</f>
        <v>60104042</v>
      </c>
    </row>
    <row r="4282" spans="1:11" x14ac:dyDescent="0.25">
      <c r="A4282">
        <v>2023</v>
      </c>
      <c r="B4282" t="s">
        <v>7749</v>
      </c>
      <c r="C4282" t="s">
        <v>7750</v>
      </c>
      <c r="D4282" t="s">
        <v>19</v>
      </c>
      <c r="E4282" t="s">
        <v>20</v>
      </c>
      <c r="F4282" t="str">
        <f>"43623"</f>
        <v>43623</v>
      </c>
      <c r="G4282" t="str">
        <f>"632482"</f>
        <v>632482</v>
      </c>
      <c r="H4282" s="2">
        <f>20</f>
        <v>20</v>
      </c>
      <c r="I4282" t="s">
        <v>27</v>
      </c>
      <c r="J4282" t="s">
        <v>157</v>
      </c>
      <c r="K4282" t="str">
        <f>"523189"</f>
        <v>523189</v>
      </c>
    </row>
    <row r="4283" spans="1:11" x14ac:dyDescent="0.25">
      <c r="A4283">
        <v>2023</v>
      </c>
      <c r="B4283" t="s">
        <v>7769</v>
      </c>
      <c r="C4283" t="s">
        <v>7770</v>
      </c>
      <c r="D4283" t="s">
        <v>19</v>
      </c>
      <c r="E4283" t="s">
        <v>20</v>
      </c>
      <c r="F4283" t="str">
        <f>"43611-2727"</f>
        <v>43611-2727</v>
      </c>
      <c r="G4283" t="str">
        <f>"637573"</f>
        <v>637573</v>
      </c>
      <c r="H4283" s="2">
        <f>20</f>
        <v>20</v>
      </c>
      <c r="I4283" t="s">
        <v>27</v>
      </c>
      <c r="J4283" t="s">
        <v>61</v>
      </c>
      <c r="K4283" t="str">
        <f>"120020"</f>
        <v>120020</v>
      </c>
    </row>
    <row r="4284" spans="1:11" x14ac:dyDescent="0.25">
      <c r="A4284">
        <v>2023</v>
      </c>
      <c r="B4284" t="s">
        <v>7793</v>
      </c>
      <c r="C4284" t="s">
        <v>7794</v>
      </c>
      <c r="D4284" t="s">
        <v>19</v>
      </c>
      <c r="E4284" t="s">
        <v>20</v>
      </c>
      <c r="F4284" t="str">
        <f>"43615-4403"</f>
        <v>43615-4403</v>
      </c>
      <c r="G4284" t="str">
        <f>"637573"</f>
        <v>637573</v>
      </c>
      <c r="H4284" s="2">
        <f>10</f>
        <v>10</v>
      </c>
      <c r="I4284" t="s">
        <v>27</v>
      </c>
      <c r="J4284" t="s">
        <v>61</v>
      </c>
      <c r="K4284" t="str">
        <f>"120875"</f>
        <v>120875</v>
      </c>
    </row>
    <row r="4285" spans="1:11" x14ac:dyDescent="0.25">
      <c r="A4285">
        <v>2023</v>
      </c>
      <c r="B4285" t="s">
        <v>7823</v>
      </c>
      <c r="C4285" t="s">
        <v>7824</v>
      </c>
      <c r="D4285" t="s">
        <v>19</v>
      </c>
      <c r="E4285" t="s">
        <v>20</v>
      </c>
      <c r="F4285" t="str">
        <f>"43606"</f>
        <v>43606</v>
      </c>
      <c r="G4285" t="str">
        <f>"638581"</f>
        <v>638581</v>
      </c>
      <c r="H4285" s="2">
        <f>6.85</f>
        <v>6.85</v>
      </c>
      <c r="I4285" t="s">
        <v>27</v>
      </c>
      <c r="J4285" t="s">
        <v>61</v>
      </c>
      <c r="K4285" t="str">
        <f>"334153"</f>
        <v>334153</v>
      </c>
    </row>
    <row r="4286" spans="1:11" x14ac:dyDescent="0.25">
      <c r="A4286">
        <v>2023</v>
      </c>
      <c r="B4286" t="s">
        <v>7823</v>
      </c>
      <c r="C4286" t="s">
        <v>7824</v>
      </c>
      <c r="D4286" t="s">
        <v>19</v>
      </c>
      <c r="E4286" t="s">
        <v>20</v>
      </c>
      <c r="F4286" t="str">
        <f>"43606"</f>
        <v>43606</v>
      </c>
      <c r="G4286" t="str">
        <f>"638581"</f>
        <v>638581</v>
      </c>
      <c r="H4286" s="2">
        <f>8.85</f>
        <v>8.85</v>
      </c>
      <c r="I4286" t="s">
        <v>27</v>
      </c>
      <c r="J4286" t="s">
        <v>61</v>
      </c>
      <c r="K4286" t="str">
        <f>"334040"</f>
        <v>334040</v>
      </c>
    </row>
    <row r="4287" spans="1:11" x14ac:dyDescent="0.25">
      <c r="A4287">
        <v>2023</v>
      </c>
      <c r="B4287" t="s">
        <v>7831</v>
      </c>
      <c r="C4287" t="s">
        <v>7832</v>
      </c>
      <c r="D4287" t="s">
        <v>19</v>
      </c>
      <c r="E4287" t="s">
        <v>20</v>
      </c>
      <c r="F4287" t="str">
        <f>"43611-1617"</f>
        <v>43611-1617</v>
      </c>
      <c r="G4287" t="str">
        <f>"637573"</f>
        <v>637573</v>
      </c>
      <c r="H4287" s="2">
        <f>10</f>
        <v>10</v>
      </c>
      <c r="I4287" t="s">
        <v>27</v>
      </c>
      <c r="J4287" t="s">
        <v>61</v>
      </c>
      <c r="K4287" t="str">
        <f>"120928"</f>
        <v>120928</v>
      </c>
    </row>
    <row r="4288" spans="1:11" x14ac:dyDescent="0.25">
      <c r="A4288">
        <v>2023</v>
      </c>
      <c r="B4288" t="s">
        <v>7867</v>
      </c>
      <c r="C4288" t="s">
        <v>7868</v>
      </c>
      <c r="D4288" t="s">
        <v>19</v>
      </c>
      <c r="E4288" t="s">
        <v>20</v>
      </c>
      <c r="F4288" t="str">
        <f>"43604"</f>
        <v>43604</v>
      </c>
      <c r="G4288" t="str">
        <f>"632483"</f>
        <v>632483</v>
      </c>
      <c r="H4288" s="2">
        <f>19.35</f>
        <v>19.350000000000001</v>
      </c>
      <c r="I4288" t="s">
        <v>27</v>
      </c>
      <c r="J4288" t="s">
        <v>108</v>
      </c>
      <c r="K4288" t="str">
        <f>"40791"</f>
        <v>40791</v>
      </c>
    </row>
    <row r="4289" spans="1:11" x14ac:dyDescent="0.25">
      <c r="A4289">
        <v>2023</v>
      </c>
      <c r="B4289" t="s">
        <v>7869</v>
      </c>
      <c r="C4289" t="s">
        <v>7870</v>
      </c>
      <c r="D4289" t="s">
        <v>19</v>
      </c>
      <c r="E4289" t="s">
        <v>20</v>
      </c>
      <c r="F4289" t="str">
        <f>"43610"</f>
        <v>43610</v>
      </c>
      <c r="G4289" t="str">
        <f>"Je10162023"</f>
        <v>Je10162023</v>
      </c>
      <c r="H4289" s="2">
        <f>81.2</f>
        <v>81.2</v>
      </c>
      <c r="I4289" t="s">
        <v>15</v>
      </c>
      <c r="J4289" t="s">
        <v>93</v>
      </c>
      <c r="K4289" t="str">
        <f>"60087036"</f>
        <v>60087036</v>
      </c>
    </row>
    <row r="4290" spans="1:11" x14ac:dyDescent="0.25">
      <c r="A4290">
        <v>2023</v>
      </c>
      <c r="B4290" t="s">
        <v>7874</v>
      </c>
      <c r="C4290" t="s">
        <v>7875</v>
      </c>
      <c r="D4290" t="s">
        <v>125</v>
      </c>
      <c r="E4290" t="s">
        <v>20</v>
      </c>
      <c r="F4290" t="str">
        <f>"43537"</f>
        <v>43537</v>
      </c>
      <c r="G4290" t="str">
        <f>"632483"</f>
        <v>632483</v>
      </c>
      <c r="H4290" s="2">
        <f>2.5</f>
        <v>2.5</v>
      </c>
      <c r="I4290" t="s">
        <v>27</v>
      </c>
      <c r="J4290" t="s">
        <v>108</v>
      </c>
      <c r="K4290" t="str">
        <f>"39118"</f>
        <v>39118</v>
      </c>
    </row>
    <row r="4291" spans="1:11" x14ac:dyDescent="0.25">
      <c r="A4291">
        <v>2023</v>
      </c>
      <c r="B4291" t="s">
        <v>7900</v>
      </c>
      <c r="C4291" t="s">
        <v>7901</v>
      </c>
      <c r="D4291" t="s">
        <v>128</v>
      </c>
      <c r="E4291" t="s">
        <v>20</v>
      </c>
      <c r="F4291" t="str">
        <f>"43619"</f>
        <v>43619</v>
      </c>
      <c r="G4291" t="str">
        <f>"632482"</f>
        <v>632482</v>
      </c>
      <c r="H4291" s="2">
        <f>17.19</f>
        <v>17.190000000000001</v>
      </c>
      <c r="I4291" t="s">
        <v>27</v>
      </c>
      <c r="J4291" t="s">
        <v>157</v>
      </c>
      <c r="K4291" t="str">
        <f>"522040"</f>
        <v>522040</v>
      </c>
    </row>
    <row r="4292" spans="1:11" x14ac:dyDescent="0.25">
      <c r="A4292">
        <v>2023</v>
      </c>
      <c r="B4292" t="s">
        <v>7921</v>
      </c>
      <c r="C4292" t="s">
        <v>7922</v>
      </c>
      <c r="D4292" t="s">
        <v>19</v>
      </c>
      <c r="E4292" t="s">
        <v>20</v>
      </c>
      <c r="F4292" t="str">
        <f>"43604"</f>
        <v>43604</v>
      </c>
      <c r="G4292" t="str">
        <f>"632483"</f>
        <v>632483</v>
      </c>
      <c r="H4292" s="2">
        <f>20</f>
        <v>20</v>
      </c>
      <c r="I4292" t="s">
        <v>27</v>
      </c>
      <c r="J4292" t="s">
        <v>108</v>
      </c>
      <c r="K4292" t="str">
        <f>"38575"</f>
        <v>38575</v>
      </c>
    </row>
    <row r="4293" spans="1:11" x14ac:dyDescent="0.25">
      <c r="A4293">
        <v>2023</v>
      </c>
      <c r="B4293" t="s">
        <v>7923</v>
      </c>
      <c r="C4293" t="s">
        <v>7924</v>
      </c>
      <c r="D4293" t="s">
        <v>19</v>
      </c>
      <c r="E4293" t="s">
        <v>20</v>
      </c>
      <c r="F4293" t="str">
        <f>"43609-2107"</f>
        <v>43609-2107</v>
      </c>
      <c r="G4293" t="str">
        <f>"637573"</f>
        <v>637573</v>
      </c>
      <c r="H4293" s="2">
        <f>30</f>
        <v>30</v>
      </c>
      <c r="I4293" t="s">
        <v>27</v>
      </c>
      <c r="J4293" t="s">
        <v>61</v>
      </c>
      <c r="K4293" t="str">
        <f>"120106"</f>
        <v>120106</v>
      </c>
    </row>
    <row r="4294" spans="1:11" x14ac:dyDescent="0.25">
      <c r="A4294">
        <v>2023</v>
      </c>
      <c r="B4294" t="s">
        <v>7927</v>
      </c>
      <c r="C4294" t="s">
        <v>7928</v>
      </c>
      <c r="D4294" t="s">
        <v>19</v>
      </c>
      <c r="E4294" t="s">
        <v>20</v>
      </c>
      <c r="F4294" t="str">
        <f>"43609"</f>
        <v>43609</v>
      </c>
      <c r="G4294" t="str">
        <f>"632482"</f>
        <v>632482</v>
      </c>
      <c r="H4294" s="2">
        <f>50</f>
        <v>50</v>
      </c>
      <c r="I4294" t="s">
        <v>27</v>
      </c>
      <c r="J4294" t="s">
        <v>157</v>
      </c>
      <c r="K4294" t="str">
        <f>"520981"</f>
        <v>520981</v>
      </c>
    </row>
    <row r="4295" spans="1:11" x14ac:dyDescent="0.25">
      <c r="A4295">
        <v>2023</v>
      </c>
      <c r="B4295" t="s">
        <v>7931</v>
      </c>
      <c r="C4295" t="s">
        <v>7932</v>
      </c>
      <c r="D4295" t="s">
        <v>58</v>
      </c>
      <c r="E4295" t="s">
        <v>20</v>
      </c>
      <c r="F4295" t="str">
        <f>"43616"</f>
        <v>43616</v>
      </c>
      <c r="G4295" t="str">
        <f>"Je10162023"</f>
        <v>Je10162023</v>
      </c>
      <c r="H4295" s="2">
        <f>160</f>
        <v>160</v>
      </c>
      <c r="I4295" t="s">
        <v>15</v>
      </c>
      <c r="J4295" t="s">
        <v>93</v>
      </c>
      <c r="K4295" t="str">
        <f>"60091169"</f>
        <v>60091169</v>
      </c>
    </row>
    <row r="4296" spans="1:11" x14ac:dyDescent="0.25">
      <c r="A4296">
        <v>2023</v>
      </c>
      <c r="B4296" t="s">
        <v>7933</v>
      </c>
      <c r="C4296" t="s">
        <v>7121</v>
      </c>
      <c r="D4296" t="s">
        <v>19</v>
      </c>
      <c r="E4296" t="s">
        <v>20</v>
      </c>
      <c r="F4296" t="str">
        <f>"43614"</f>
        <v>43614</v>
      </c>
      <c r="G4296" t="str">
        <f>"Je012023"</f>
        <v>Je012023</v>
      </c>
      <c r="H4296" s="2">
        <f>160</f>
        <v>160</v>
      </c>
      <c r="I4296" t="s">
        <v>15</v>
      </c>
      <c r="J4296" t="s">
        <v>397</v>
      </c>
      <c r="K4296" t="str">
        <f>"60059538"</f>
        <v>60059538</v>
      </c>
    </row>
    <row r="4297" spans="1:11" x14ac:dyDescent="0.25">
      <c r="A4297">
        <v>2023</v>
      </c>
      <c r="B4297" t="s">
        <v>7938</v>
      </c>
      <c r="C4297" t="s">
        <v>7939</v>
      </c>
      <c r="D4297" t="s">
        <v>19</v>
      </c>
      <c r="E4297" t="s">
        <v>20</v>
      </c>
      <c r="F4297" t="str">
        <f>"43606"</f>
        <v>43606</v>
      </c>
      <c r="G4297" t="str">
        <f>"Je12142023"</f>
        <v>Je12142023</v>
      </c>
      <c r="H4297" s="2">
        <f>43.42</f>
        <v>43.42</v>
      </c>
      <c r="I4297" t="s">
        <v>15</v>
      </c>
      <c r="J4297" t="s">
        <v>176</v>
      </c>
      <c r="K4297" t="str">
        <f>"60096729"</f>
        <v>60096729</v>
      </c>
    </row>
    <row r="4298" spans="1:11" x14ac:dyDescent="0.25">
      <c r="A4298">
        <v>2023</v>
      </c>
      <c r="B4298" t="s">
        <v>7947</v>
      </c>
      <c r="C4298" t="s">
        <v>7948</v>
      </c>
      <c r="D4298" t="s">
        <v>19</v>
      </c>
      <c r="E4298" t="s">
        <v>20</v>
      </c>
      <c r="F4298" t="str">
        <f>"43609"</f>
        <v>43609</v>
      </c>
      <c r="G4298" t="str">
        <f>"Je12142023"</f>
        <v>Je12142023</v>
      </c>
      <c r="H4298" s="2">
        <f>19.68</f>
        <v>19.68</v>
      </c>
      <c r="I4298" t="s">
        <v>15</v>
      </c>
      <c r="J4298" t="s">
        <v>176</v>
      </c>
      <c r="K4298" t="str">
        <f>"60095697"</f>
        <v>60095697</v>
      </c>
    </row>
    <row r="4299" spans="1:11" x14ac:dyDescent="0.25">
      <c r="A4299">
        <v>2023</v>
      </c>
      <c r="B4299" t="s">
        <v>7951</v>
      </c>
      <c r="C4299" t="s">
        <v>7952</v>
      </c>
      <c r="D4299" t="s">
        <v>19</v>
      </c>
      <c r="E4299" t="s">
        <v>20</v>
      </c>
      <c r="F4299" t="str">
        <f>"43623-1313"</f>
        <v>43623-1313</v>
      </c>
      <c r="G4299" t="str">
        <f>"637573"</f>
        <v>637573</v>
      </c>
      <c r="H4299" s="2">
        <f>40</f>
        <v>40</v>
      </c>
      <c r="I4299" t="s">
        <v>27</v>
      </c>
      <c r="J4299" t="s">
        <v>61</v>
      </c>
      <c r="K4299" t="str">
        <f>"120860"</f>
        <v>120860</v>
      </c>
    </row>
    <row r="4300" spans="1:11" x14ac:dyDescent="0.25">
      <c r="A4300">
        <v>2023</v>
      </c>
      <c r="B4300" t="s">
        <v>7974</v>
      </c>
      <c r="C4300" t="s">
        <v>7975</v>
      </c>
      <c r="D4300" t="s">
        <v>7976</v>
      </c>
      <c r="E4300" t="s">
        <v>20</v>
      </c>
      <c r="F4300" t="str">
        <f>"44646"</f>
        <v>44646</v>
      </c>
      <c r="G4300" t="str">
        <f>"589300"</f>
        <v>589300</v>
      </c>
      <c r="H4300" s="2">
        <f>44.5</f>
        <v>44.5</v>
      </c>
      <c r="I4300" t="s">
        <v>148</v>
      </c>
      <c r="J4300" t="s">
        <v>7977</v>
      </c>
      <c r="K4300" t="str">
        <f>"26023"</f>
        <v>26023</v>
      </c>
    </row>
    <row r="4301" spans="1:11" x14ac:dyDescent="0.25">
      <c r="A4301">
        <v>2023</v>
      </c>
      <c r="B4301" t="s">
        <v>7978</v>
      </c>
      <c r="C4301" t="s">
        <v>7979</v>
      </c>
      <c r="D4301" t="s">
        <v>58</v>
      </c>
      <c r="E4301" t="s">
        <v>20</v>
      </c>
      <c r="F4301" t="str">
        <f>"43616"</f>
        <v>43616</v>
      </c>
      <c r="G4301" t="str">
        <f>"632483"</f>
        <v>632483</v>
      </c>
      <c r="H4301" s="2">
        <f>6.4</f>
        <v>6.4</v>
      </c>
      <c r="I4301" t="s">
        <v>27</v>
      </c>
      <c r="J4301" t="s">
        <v>108</v>
      </c>
      <c r="K4301" t="str">
        <f>"38654"</f>
        <v>38654</v>
      </c>
    </row>
    <row r="4302" spans="1:11" x14ac:dyDescent="0.25">
      <c r="A4302">
        <v>2023</v>
      </c>
      <c r="B4302" t="s">
        <v>8036</v>
      </c>
      <c r="C4302" t="s">
        <v>8037</v>
      </c>
      <c r="D4302" t="s">
        <v>19</v>
      </c>
      <c r="E4302" t="s">
        <v>20</v>
      </c>
      <c r="F4302" t="str">
        <f>"43606-3318"</f>
        <v>43606-3318</v>
      </c>
      <c r="G4302" t="str">
        <f>"637573"</f>
        <v>637573</v>
      </c>
      <c r="H4302" s="2">
        <f>10</f>
        <v>10</v>
      </c>
      <c r="I4302" t="s">
        <v>27</v>
      </c>
      <c r="J4302" t="s">
        <v>61</v>
      </c>
      <c r="K4302" t="str">
        <f>"120980"</f>
        <v>120980</v>
      </c>
    </row>
    <row r="4303" spans="1:11" x14ac:dyDescent="0.25">
      <c r="A4303">
        <v>2023</v>
      </c>
      <c r="B4303" t="s">
        <v>8041</v>
      </c>
      <c r="C4303" t="s">
        <v>7631</v>
      </c>
      <c r="D4303" t="s">
        <v>50</v>
      </c>
      <c r="E4303" t="s">
        <v>20</v>
      </c>
      <c r="F4303" t="str">
        <f>"43560"</f>
        <v>43560</v>
      </c>
      <c r="G4303" t="str">
        <f>"632483"</f>
        <v>632483</v>
      </c>
      <c r="H4303" s="2">
        <f>92</f>
        <v>92</v>
      </c>
      <c r="I4303" t="s">
        <v>27</v>
      </c>
      <c r="J4303" t="s">
        <v>108</v>
      </c>
      <c r="K4303" t="str">
        <f>"39461"</f>
        <v>39461</v>
      </c>
    </row>
    <row r="4304" spans="1:11" x14ac:dyDescent="0.25">
      <c r="A4304">
        <v>2023</v>
      </c>
      <c r="B4304" t="s">
        <v>8057</v>
      </c>
      <c r="C4304" t="s">
        <v>8058</v>
      </c>
      <c r="D4304" t="s">
        <v>19</v>
      </c>
      <c r="E4304" t="s">
        <v>20</v>
      </c>
      <c r="F4304" t="str">
        <f>"43604"</f>
        <v>43604</v>
      </c>
      <c r="G4304" t="str">
        <f>"589300"</f>
        <v>589300</v>
      </c>
      <c r="H4304" s="2">
        <f>27</f>
        <v>27</v>
      </c>
      <c r="I4304" t="s">
        <v>148</v>
      </c>
      <c r="J4304" t="s">
        <v>8059</v>
      </c>
      <c r="K4304" t="str">
        <f>"26023"</f>
        <v>26023</v>
      </c>
    </row>
    <row r="4305" spans="1:11" x14ac:dyDescent="0.25">
      <c r="A4305">
        <v>2023</v>
      </c>
      <c r="B4305" t="s">
        <v>8075</v>
      </c>
      <c r="C4305" t="s">
        <v>8066</v>
      </c>
      <c r="D4305" t="s">
        <v>19</v>
      </c>
      <c r="E4305" t="s">
        <v>20</v>
      </c>
      <c r="F4305" t="str">
        <f>"43615-3980"</f>
        <v>43615-3980</v>
      </c>
      <c r="G4305" t="str">
        <f>"637573"</f>
        <v>637573</v>
      </c>
      <c r="H4305" s="2">
        <f>10</f>
        <v>10</v>
      </c>
      <c r="I4305" t="s">
        <v>27</v>
      </c>
      <c r="J4305" t="s">
        <v>61</v>
      </c>
      <c r="K4305" t="str">
        <f>"120912"</f>
        <v>120912</v>
      </c>
    </row>
    <row r="4306" spans="1:11" x14ac:dyDescent="0.25">
      <c r="A4306">
        <v>2023</v>
      </c>
      <c r="B4306" t="s">
        <v>8095</v>
      </c>
      <c r="C4306" t="s">
        <v>8096</v>
      </c>
      <c r="D4306" t="s">
        <v>19</v>
      </c>
      <c r="E4306" t="s">
        <v>20</v>
      </c>
      <c r="F4306" t="str">
        <f>"43607"</f>
        <v>43607</v>
      </c>
      <c r="G4306" t="str">
        <f>"637573"</f>
        <v>637573</v>
      </c>
      <c r="H4306" s="2">
        <f>40</f>
        <v>40</v>
      </c>
      <c r="I4306" t="s">
        <v>27</v>
      </c>
      <c r="J4306" t="s">
        <v>61</v>
      </c>
      <c r="K4306" t="str">
        <f>"119126"</f>
        <v>119126</v>
      </c>
    </row>
    <row r="4307" spans="1:11" x14ac:dyDescent="0.25">
      <c r="A4307">
        <v>2023</v>
      </c>
      <c r="B4307" t="s">
        <v>8097</v>
      </c>
      <c r="C4307" t="s">
        <v>8098</v>
      </c>
      <c r="D4307" t="s">
        <v>19</v>
      </c>
      <c r="E4307" t="s">
        <v>20</v>
      </c>
      <c r="F4307" t="str">
        <f>"43604"</f>
        <v>43604</v>
      </c>
      <c r="G4307" t="str">
        <f>"632482"</f>
        <v>632482</v>
      </c>
      <c r="H4307" s="2">
        <f>17.19</f>
        <v>17.190000000000001</v>
      </c>
      <c r="I4307" t="s">
        <v>27</v>
      </c>
      <c r="J4307" t="s">
        <v>157</v>
      </c>
      <c r="K4307" t="str">
        <f>"522041"</f>
        <v>522041</v>
      </c>
    </row>
    <row r="4308" spans="1:11" x14ac:dyDescent="0.25">
      <c r="A4308">
        <v>2023</v>
      </c>
      <c r="B4308" t="s">
        <v>8099</v>
      </c>
      <c r="C4308" t="s">
        <v>1731</v>
      </c>
      <c r="D4308" t="s">
        <v>19</v>
      </c>
      <c r="E4308" t="s">
        <v>20</v>
      </c>
      <c r="F4308" t="str">
        <f>"43604"</f>
        <v>43604</v>
      </c>
      <c r="G4308" t="str">
        <f>"632482"</f>
        <v>632482</v>
      </c>
      <c r="H4308" s="2">
        <f>17.19</f>
        <v>17.190000000000001</v>
      </c>
      <c r="I4308" t="s">
        <v>27</v>
      </c>
      <c r="J4308" t="s">
        <v>157</v>
      </c>
      <c r="K4308" t="str">
        <f>"522042"</f>
        <v>522042</v>
      </c>
    </row>
    <row r="4309" spans="1:11" x14ac:dyDescent="0.25">
      <c r="A4309">
        <v>2023</v>
      </c>
      <c r="B4309" t="s">
        <v>8105</v>
      </c>
      <c r="C4309" t="s">
        <v>8106</v>
      </c>
      <c r="D4309" t="s">
        <v>19</v>
      </c>
      <c r="E4309" t="s">
        <v>20</v>
      </c>
      <c r="F4309" t="str">
        <f>"43606"</f>
        <v>43606</v>
      </c>
      <c r="G4309" t="str">
        <f>"632482"</f>
        <v>632482</v>
      </c>
      <c r="H4309" s="2">
        <f>105.56</f>
        <v>105.56</v>
      </c>
      <c r="I4309" t="s">
        <v>27</v>
      </c>
      <c r="J4309" t="s">
        <v>157</v>
      </c>
      <c r="K4309" t="str">
        <f>"521948"</f>
        <v>521948</v>
      </c>
    </row>
    <row r="4310" spans="1:11" x14ac:dyDescent="0.25">
      <c r="A4310">
        <v>2023</v>
      </c>
      <c r="B4310" t="s">
        <v>8111</v>
      </c>
      <c r="C4310" t="s">
        <v>8112</v>
      </c>
      <c r="D4310" t="s">
        <v>19</v>
      </c>
      <c r="E4310" t="s">
        <v>20</v>
      </c>
      <c r="F4310" t="str">
        <f>"43608"</f>
        <v>43608</v>
      </c>
      <c r="G4310" t="str">
        <f>"Je12142023"</f>
        <v>Je12142023</v>
      </c>
      <c r="H4310" s="2">
        <f>20</f>
        <v>20</v>
      </c>
      <c r="I4310" t="s">
        <v>15</v>
      </c>
      <c r="J4310" t="s">
        <v>176</v>
      </c>
      <c r="K4310" t="str">
        <f>"60101579"</f>
        <v>60101579</v>
      </c>
    </row>
    <row r="4311" spans="1:11" x14ac:dyDescent="0.25">
      <c r="A4311">
        <v>2023</v>
      </c>
      <c r="B4311" t="s">
        <v>8117</v>
      </c>
      <c r="C4311" t="s">
        <v>8118</v>
      </c>
      <c r="D4311" t="s">
        <v>19</v>
      </c>
      <c r="E4311" t="s">
        <v>20</v>
      </c>
      <c r="F4311" t="str">
        <f>"43620"</f>
        <v>43620</v>
      </c>
      <c r="G4311" t="str">
        <f>"Je12142023"</f>
        <v>Je12142023</v>
      </c>
      <c r="H4311" s="2">
        <f>77.86</f>
        <v>77.86</v>
      </c>
      <c r="I4311" t="s">
        <v>15</v>
      </c>
      <c r="J4311" t="s">
        <v>176</v>
      </c>
      <c r="K4311" t="str">
        <f>"60100095"</f>
        <v>60100095</v>
      </c>
    </row>
    <row r="4312" spans="1:11" x14ac:dyDescent="0.25">
      <c r="A4312">
        <v>2023</v>
      </c>
      <c r="B4312" t="s">
        <v>8121</v>
      </c>
      <c r="C4312" t="s">
        <v>8122</v>
      </c>
      <c r="D4312" t="s">
        <v>19</v>
      </c>
      <c r="E4312" t="s">
        <v>20</v>
      </c>
      <c r="F4312" t="str">
        <f>"43609"</f>
        <v>43609</v>
      </c>
      <c r="G4312" t="str">
        <f>"632482"</f>
        <v>632482</v>
      </c>
      <c r="H4312" s="2">
        <f>35.71</f>
        <v>35.71</v>
      </c>
      <c r="I4312" t="s">
        <v>27</v>
      </c>
      <c r="J4312" t="s">
        <v>157</v>
      </c>
      <c r="K4312" t="str">
        <f>"521613"</f>
        <v>521613</v>
      </c>
    </row>
    <row r="4313" spans="1:11" x14ac:dyDescent="0.25">
      <c r="A4313">
        <v>2023</v>
      </c>
      <c r="B4313" t="s">
        <v>8129</v>
      </c>
      <c r="C4313" t="s">
        <v>8130</v>
      </c>
      <c r="D4313" t="s">
        <v>19</v>
      </c>
      <c r="E4313" t="s">
        <v>20</v>
      </c>
      <c r="F4313" t="str">
        <f>"43613"</f>
        <v>43613</v>
      </c>
      <c r="G4313" t="str">
        <f>"Je012023"</f>
        <v>Je012023</v>
      </c>
      <c r="H4313" s="2">
        <f>160</f>
        <v>160</v>
      </c>
      <c r="I4313" t="s">
        <v>15</v>
      </c>
      <c r="J4313" t="s">
        <v>397</v>
      </c>
      <c r="K4313" t="str">
        <f>"60064877"</f>
        <v>60064877</v>
      </c>
    </row>
    <row r="4314" spans="1:11" x14ac:dyDescent="0.25">
      <c r="A4314">
        <v>2023</v>
      </c>
      <c r="B4314" t="s">
        <v>8137</v>
      </c>
      <c r="C4314" t="s">
        <v>8138</v>
      </c>
      <c r="D4314" t="s">
        <v>19</v>
      </c>
      <c r="E4314" t="s">
        <v>20</v>
      </c>
      <c r="F4314" t="str">
        <f>"43607"</f>
        <v>43607</v>
      </c>
      <c r="G4314" t="str">
        <f>"632482"</f>
        <v>632482</v>
      </c>
      <c r="H4314" s="2">
        <f>100</f>
        <v>100</v>
      </c>
      <c r="I4314" t="s">
        <v>27</v>
      </c>
      <c r="J4314" t="s">
        <v>157</v>
      </c>
      <c r="K4314" t="str">
        <f>"522526"</f>
        <v>522526</v>
      </c>
    </row>
    <row r="4315" spans="1:11" x14ac:dyDescent="0.25">
      <c r="A4315">
        <v>2023</v>
      </c>
      <c r="B4315" t="s">
        <v>8148</v>
      </c>
      <c r="C4315" t="s">
        <v>8149</v>
      </c>
      <c r="D4315" t="s">
        <v>19</v>
      </c>
      <c r="E4315" t="s">
        <v>20</v>
      </c>
      <c r="F4315" t="str">
        <f>"43623"</f>
        <v>43623</v>
      </c>
      <c r="G4315" t="str">
        <f>"632482"</f>
        <v>632482</v>
      </c>
      <c r="H4315" s="2">
        <f>25</f>
        <v>25</v>
      </c>
      <c r="I4315" t="s">
        <v>27</v>
      </c>
      <c r="J4315" t="s">
        <v>157</v>
      </c>
      <c r="K4315" t="str">
        <f>"522211"</f>
        <v>522211</v>
      </c>
    </row>
    <row r="4316" spans="1:11" x14ac:dyDescent="0.25">
      <c r="A4316">
        <v>2023</v>
      </c>
      <c r="B4316" t="s">
        <v>8150</v>
      </c>
      <c r="C4316" t="s">
        <v>8151</v>
      </c>
      <c r="D4316" t="s">
        <v>19</v>
      </c>
      <c r="E4316" t="s">
        <v>20</v>
      </c>
      <c r="F4316" t="str">
        <f>"43615"</f>
        <v>43615</v>
      </c>
      <c r="G4316" t="str">
        <f>"Je012023"</f>
        <v>Je012023</v>
      </c>
      <c r="H4316" s="2">
        <f>170</f>
        <v>170</v>
      </c>
      <c r="I4316" t="s">
        <v>15</v>
      </c>
      <c r="J4316" t="s">
        <v>397</v>
      </c>
      <c r="K4316" t="str">
        <f>"60059557"</f>
        <v>60059557</v>
      </c>
    </row>
    <row r="4317" spans="1:11" x14ac:dyDescent="0.25">
      <c r="A4317">
        <v>2023</v>
      </c>
      <c r="B4317" t="s">
        <v>8152</v>
      </c>
      <c r="C4317" t="s">
        <v>8153</v>
      </c>
      <c r="D4317" t="s">
        <v>19</v>
      </c>
      <c r="E4317" t="s">
        <v>20</v>
      </c>
      <c r="F4317" t="str">
        <f>"43606"</f>
        <v>43606</v>
      </c>
      <c r="G4317" t="str">
        <f>"Je12142023"</f>
        <v>Je12142023</v>
      </c>
      <c r="H4317" s="2">
        <f>35</f>
        <v>35</v>
      </c>
      <c r="I4317" t="s">
        <v>15</v>
      </c>
      <c r="J4317" t="s">
        <v>176</v>
      </c>
      <c r="K4317" t="str">
        <f>"60104091"</f>
        <v>60104091</v>
      </c>
    </row>
    <row r="4318" spans="1:11" x14ac:dyDescent="0.25">
      <c r="A4318">
        <v>2023</v>
      </c>
      <c r="B4318" t="s">
        <v>8164</v>
      </c>
      <c r="C4318" t="s">
        <v>8165</v>
      </c>
      <c r="D4318" t="s">
        <v>19</v>
      </c>
      <c r="E4318" t="s">
        <v>20</v>
      </c>
      <c r="F4318" t="str">
        <f>"43611"</f>
        <v>43611</v>
      </c>
      <c r="G4318" t="str">
        <f>"Je12142023"</f>
        <v>Je12142023</v>
      </c>
      <c r="H4318" s="2">
        <f>35</f>
        <v>35</v>
      </c>
      <c r="I4318" t="s">
        <v>15</v>
      </c>
      <c r="J4318" t="s">
        <v>176</v>
      </c>
      <c r="K4318" t="str">
        <f>"60104101"</f>
        <v>60104101</v>
      </c>
    </row>
    <row r="4319" spans="1:11" x14ac:dyDescent="0.25">
      <c r="A4319">
        <v>2023</v>
      </c>
      <c r="B4319" t="s">
        <v>8166</v>
      </c>
      <c r="C4319" t="s">
        <v>8167</v>
      </c>
      <c r="D4319" t="s">
        <v>19</v>
      </c>
      <c r="E4319" t="s">
        <v>20</v>
      </c>
      <c r="F4319" t="str">
        <f>"43614"</f>
        <v>43614</v>
      </c>
      <c r="G4319" t="str">
        <f>"Je12142023"</f>
        <v>Je12142023</v>
      </c>
      <c r="H4319" s="2">
        <f>218.64</f>
        <v>218.64</v>
      </c>
      <c r="I4319" t="s">
        <v>15</v>
      </c>
      <c r="J4319" t="s">
        <v>176</v>
      </c>
      <c r="K4319" t="str">
        <f>"60097817"</f>
        <v>60097817</v>
      </c>
    </row>
    <row r="4320" spans="1:11" x14ac:dyDescent="0.25">
      <c r="A4320">
        <v>2023</v>
      </c>
      <c r="B4320" t="s">
        <v>8174</v>
      </c>
      <c r="C4320" t="s">
        <v>8175</v>
      </c>
      <c r="D4320" t="s">
        <v>125</v>
      </c>
      <c r="E4320" t="s">
        <v>20</v>
      </c>
      <c r="F4320" t="str">
        <f>"43537-3052"</f>
        <v>43537-3052</v>
      </c>
      <c r="G4320" t="str">
        <f>"637573"</f>
        <v>637573</v>
      </c>
      <c r="H4320" s="2">
        <f>20</f>
        <v>20</v>
      </c>
      <c r="I4320" t="s">
        <v>27</v>
      </c>
      <c r="J4320" t="s">
        <v>61</v>
      </c>
      <c r="K4320" t="str">
        <f>"119232"</f>
        <v>119232</v>
      </c>
    </row>
    <row r="4321" spans="1:11" x14ac:dyDescent="0.25">
      <c r="A4321">
        <v>2023</v>
      </c>
      <c r="B4321" t="s">
        <v>8178</v>
      </c>
      <c r="C4321" t="s">
        <v>8179</v>
      </c>
      <c r="D4321" t="s">
        <v>8180</v>
      </c>
      <c r="E4321" t="s">
        <v>462</v>
      </c>
      <c r="F4321" t="str">
        <f>"33431"</f>
        <v>33431</v>
      </c>
      <c r="G4321" t="str">
        <f>"632482"</f>
        <v>632482</v>
      </c>
      <c r="H4321" s="2">
        <f>439.2</f>
        <v>439.2</v>
      </c>
      <c r="I4321" t="s">
        <v>27</v>
      </c>
      <c r="J4321" t="s">
        <v>157</v>
      </c>
      <c r="K4321" t="str">
        <f>"522240"</f>
        <v>522240</v>
      </c>
    </row>
    <row r="4322" spans="1:11" x14ac:dyDescent="0.25">
      <c r="A4322">
        <v>2023</v>
      </c>
      <c r="B4322" t="s">
        <v>8178</v>
      </c>
      <c r="C4322" t="s">
        <v>8179</v>
      </c>
      <c r="D4322" t="s">
        <v>8180</v>
      </c>
      <c r="E4322" t="s">
        <v>462</v>
      </c>
      <c r="F4322" t="str">
        <f>"33431"</f>
        <v>33431</v>
      </c>
      <c r="G4322" t="str">
        <f>"632482"</f>
        <v>632482</v>
      </c>
      <c r="H4322" s="2">
        <f>246.3</f>
        <v>246.3</v>
      </c>
      <c r="I4322" t="s">
        <v>27</v>
      </c>
      <c r="J4322" t="s">
        <v>157</v>
      </c>
      <c r="K4322" t="str">
        <f>"521942"</f>
        <v>521942</v>
      </c>
    </row>
    <row r="4323" spans="1:11" x14ac:dyDescent="0.25">
      <c r="A4323">
        <v>2023</v>
      </c>
      <c r="B4323" t="s">
        <v>8181</v>
      </c>
      <c r="C4323" t="s">
        <v>8182</v>
      </c>
      <c r="D4323" t="s">
        <v>19</v>
      </c>
      <c r="E4323" t="s">
        <v>20</v>
      </c>
      <c r="F4323" t="str">
        <f>"43613-3315"</f>
        <v>43613-3315</v>
      </c>
      <c r="G4323" t="str">
        <f>"637573"</f>
        <v>637573</v>
      </c>
      <c r="H4323" s="2">
        <f>40</f>
        <v>40</v>
      </c>
      <c r="I4323" t="s">
        <v>27</v>
      </c>
      <c r="J4323" t="s">
        <v>61</v>
      </c>
      <c r="K4323" t="str">
        <f>"119419"</f>
        <v>119419</v>
      </c>
    </row>
    <row r="4324" spans="1:11" x14ac:dyDescent="0.25">
      <c r="A4324">
        <v>2023</v>
      </c>
      <c r="B4324" t="s">
        <v>8187</v>
      </c>
      <c r="C4324" t="s">
        <v>8188</v>
      </c>
      <c r="D4324" t="s">
        <v>50</v>
      </c>
      <c r="E4324" t="s">
        <v>20</v>
      </c>
      <c r="F4324" t="str">
        <f>"43560-9027"</f>
        <v>43560-9027</v>
      </c>
      <c r="G4324" t="str">
        <f>"637573"</f>
        <v>637573</v>
      </c>
      <c r="H4324" s="2">
        <f>10</f>
        <v>10</v>
      </c>
      <c r="I4324" t="s">
        <v>27</v>
      </c>
      <c r="J4324" t="s">
        <v>61</v>
      </c>
      <c r="K4324" t="str">
        <f>"118928"</f>
        <v>118928</v>
      </c>
    </row>
    <row r="4325" spans="1:11" x14ac:dyDescent="0.25">
      <c r="A4325">
        <v>2023</v>
      </c>
      <c r="B4325" t="s">
        <v>8197</v>
      </c>
      <c r="C4325" t="s">
        <v>8198</v>
      </c>
      <c r="D4325" t="s">
        <v>19</v>
      </c>
      <c r="E4325" t="s">
        <v>20</v>
      </c>
      <c r="F4325" t="str">
        <f>"43613-3280"</f>
        <v>43613-3280</v>
      </c>
      <c r="G4325" t="str">
        <f>"637573"</f>
        <v>637573</v>
      </c>
      <c r="H4325" s="2">
        <f>20</f>
        <v>20</v>
      </c>
      <c r="I4325" t="s">
        <v>27</v>
      </c>
      <c r="J4325" t="s">
        <v>61</v>
      </c>
      <c r="K4325" t="str">
        <f>"119859"</f>
        <v>119859</v>
      </c>
    </row>
    <row r="4326" spans="1:11" x14ac:dyDescent="0.25">
      <c r="A4326">
        <v>2023</v>
      </c>
      <c r="B4326" t="s">
        <v>8209</v>
      </c>
      <c r="C4326" t="s">
        <v>8210</v>
      </c>
      <c r="D4326" t="s">
        <v>50</v>
      </c>
      <c r="E4326" t="s">
        <v>20</v>
      </c>
      <c r="F4326" t="str">
        <f>"43560"</f>
        <v>43560</v>
      </c>
      <c r="G4326" t="str">
        <f>"632482"</f>
        <v>632482</v>
      </c>
      <c r="H4326" s="2">
        <f>17.19</f>
        <v>17.190000000000001</v>
      </c>
      <c r="I4326" t="s">
        <v>27</v>
      </c>
      <c r="J4326" t="s">
        <v>157</v>
      </c>
      <c r="K4326" t="str">
        <f>"522043"</f>
        <v>522043</v>
      </c>
    </row>
    <row r="4327" spans="1:11" x14ac:dyDescent="0.25">
      <c r="A4327">
        <v>2023</v>
      </c>
      <c r="B4327" t="s">
        <v>8213</v>
      </c>
      <c r="C4327" t="s">
        <v>8214</v>
      </c>
      <c r="D4327" t="s">
        <v>120</v>
      </c>
      <c r="E4327" t="s">
        <v>14</v>
      </c>
      <c r="F4327" t="str">
        <f>"49501"</f>
        <v>49501</v>
      </c>
      <c r="G4327" t="str">
        <f>"632482"</f>
        <v>632482</v>
      </c>
      <c r="H4327" s="2">
        <f>169.39</f>
        <v>169.39</v>
      </c>
      <c r="I4327" t="s">
        <v>27</v>
      </c>
      <c r="J4327" t="s">
        <v>157</v>
      </c>
      <c r="K4327" t="str">
        <f>"522233"</f>
        <v>522233</v>
      </c>
    </row>
    <row r="4328" spans="1:11" x14ac:dyDescent="0.25">
      <c r="A4328">
        <v>2023</v>
      </c>
      <c r="B4328" t="s">
        <v>8254</v>
      </c>
      <c r="C4328" t="s">
        <v>8255</v>
      </c>
      <c r="D4328" t="s">
        <v>19</v>
      </c>
      <c r="E4328" t="s">
        <v>20</v>
      </c>
      <c r="F4328" t="str">
        <f>"43607-3214"</f>
        <v>43607-3214</v>
      </c>
      <c r="G4328" t="str">
        <f>"637573"</f>
        <v>637573</v>
      </c>
      <c r="H4328" s="2">
        <f>10</f>
        <v>10</v>
      </c>
      <c r="I4328" t="s">
        <v>27</v>
      </c>
      <c r="J4328" t="s">
        <v>61</v>
      </c>
      <c r="K4328" t="str">
        <f>"118618"</f>
        <v>118618</v>
      </c>
    </row>
    <row r="4329" spans="1:11" x14ac:dyDescent="0.25">
      <c r="A4329">
        <v>2023</v>
      </c>
      <c r="B4329" t="s">
        <v>8260</v>
      </c>
      <c r="C4329" t="s">
        <v>8261</v>
      </c>
      <c r="D4329" t="s">
        <v>19</v>
      </c>
      <c r="E4329" t="s">
        <v>20</v>
      </c>
      <c r="F4329" t="str">
        <f>"43611"</f>
        <v>43611</v>
      </c>
      <c r="G4329" t="str">
        <f>"Je12142023"</f>
        <v>Je12142023</v>
      </c>
      <c r="H4329" s="2">
        <f>20</f>
        <v>20</v>
      </c>
      <c r="I4329" t="s">
        <v>15</v>
      </c>
      <c r="J4329" t="s">
        <v>176</v>
      </c>
      <c r="K4329" t="str">
        <f>"60101625"</f>
        <v>60101625</v>
      </c>
    </row>
    <row r="4330" spans="1:11" x14ac:dyDescent="0.25">
      <c r="A4330">
        <v>2023</v>
      </c>
      <c r="B4330" t="s">
        <v>8266</v>
      </c>
      <c r="C4330" t="s">
        <v>8267</v>
      </c>
      <c r="D4330" t="s">
        <v>58</v>
      </c>
      <c r="E4330" t="s">
        <v>20</v>
      </c>
      <c r="F4330" t="str">
        <f>"43616-1022"</f>
        <v>43616-1022</v>
      </c>
      <c r="G4330" t="str">
        <f>"637573"</f>
        <v>637573</v>
      </c>
      <c r="H4330" s="2">
        <f>10</f>
        <v>10</v>
      </c>
      <c r="I4330" t="s">
        <v>27</v>
      </c>
      <c r="J4330" t="s">
        <v>61</v>
      </c>
      <c r="K4330" t="str">
        <f>"119816"</f>
        <v>119816</v>
      </c>
    </row>
    <row r="4331" spans="1:11" x14ac:dyDescent="0.25">
      <c r="A4331">
        <v>2023</v>
      </c>
      <c r="B4331" t="s">
        <v>8270</v>
      </c>
      <c r="C4331" t="s">
        <v>8271</v>
      </c>
      <c r="D4331" t="s">
        <v>19</v>
      </c>
      <c r="E4331" t="s">
        <v>20</v>
      </c>
      <c r="F4331" t="str">
        <f>"43608-2603"</f>
        <v>43608-2603</v>
      </c>
      <c r="G4331" t="str">
        <f>"Je04112023"</f>
        <v>Je04112023</v>
      </c>
      <c r="H4331" s="2">
        <f>3000</f>
        <v>3000</v>
      </c>
      <c r="I4331" t="s">
        <v>15</v>
      </c>
      <c r="J4331" t="s">
        <v>412</v>
      </c>
      <c r="K4331" t="str">
        <f>"60075034"</f>
        <v>60075034</v>
      </c>
    </row>
    <row r="4332" spans="1:11" x14ac:dyDescent="0.25">
      <c r="A4332">
        <v>2023</v>
      </c>
      <c r="B4332" t="s">
        <v>8292</v>
      </c>
      <c r="C4332" t="s">
        <v>8293</v>
      </c>
      <c r="D4332" t="s">
        <v>19</v>
      </c>
      <c r="E4332" t="s">
        <v>20</v>
      </c>
      <c r="F4332" t="str">
        <f>"43617"</f>
        <v>43617</v>
      </c>
      <c r="G4332" t="str">
        <f>"Je12142023"</f>
        <v>Je12142023</v>
      </c>
      <c r="H4332" s="2">
        <f>35</f>
        <v>35</v>
      </c>
      <c r="I4332" t="s">
        <v>15</v>
      </c>
      <c r="J4332" t="s">
        <v>176</v>
      </c>
      <c r="K4332" t="str">
        <f>"60104114"</f>
        <v>60104114</v>
      </c>
    </row>
    <row r="4333" spans="1:11" x14ac:dyDescent="0.25">
      <c r="A4333">
        <v>2023</v>
      </c>
      <c r="B4333" t="s">
        <v>8296</v>
      </c>
      <c r="C4333" t="s">
        <v>927</v>
      </c>
      <c r="D4333" t="s">
        <v>922</v>
      </c>
      <c r="E4333" t="s">
        <v>923</v>
      </c>
      <c r="F4333" t="str">
        <f>"90012"</f>
        <v>90012</v>
      </c>
      <c r="G4333" t="str">
        <f>"632514"</f>
        <v>632514</v>
      </c>
      <c r="H4333" s="2">
        <f>5</f>
        <v>5</v>
      </c>
      <c r="I4333" t="s">
        <v>27</v>
      </c>
      <c r="J4333" t="s">
        <v>195</v>
      </c>
      <c r="K4333" t="str">
        <f>"11004236"</f>
        <v>11004236</v>
      </c>
    </row>
    <row r="4334" spans="1:11" x14ac:dyDescent="0.25">
      <c r="A4334">
        <v>2023</v>
      </c>
      <c r="B4334" t="s">
        <v>8296</v>
      </c>
      <c r="C4334" t="s">
        <v>927</v>
      </c>
      <c r="D4334" t="s">
        <v>922</v>
      </c>
      <c r="E4334" t="s">
        <v>923</v>
      </c>
      <c r="F4334" t="str">
        <f>"90012"</f>
        <v>90012</v>
      </c>
      <c r="G4334" t="str">
        <f>"632514"</f>
        <v>632514</v>
      </c>
      <c r="H4334" s="2">
        <f>1</f>
        <v>1</v>
      </c>
      <c r="I4334" t="s">
        <v>27</v>
      </c>
      <c r="J4334" t="s">
        <v>195</v>
      </c>
      <c r="K4334" t="str">
        <f>"11004237"</f>
        <v>11004237</v>
      </c>
    </row>
    <row r="4335" spans="1:11" x14ac:dyDescent="0.25">
      <c r="A4335">
        <v>2023</v>
      </c>
      <c r="B4335" t="s">
        <v>8296</v>
      </c>
      <c r="C4335" t="s">
        <v>927</v>
      </c>
      <c r="D4335" t="s">
        <v>922</v>
      </c>
      <c r="E4335" t="s">
        <v>923</v>
      </c>
      <c r="F4335" t="str">
        <f>"90012"</f>
        <v>90012</v>
      </c>
      <c r="G4335" t="str">
        <f>"632514"</f>
        <v>632514</v>
      </c>
      <c r="H4335" s="2">
        <f>1</f>
        <v>1</v>
      </c>
      <c r="I4335" t="s">
        <v>27</v>
      </c>
      <c r="J4335" t="s">
        <v>195</v>
      </c>
      <c r="K4335" t="str">
        <f>"11004238"</f>
        <v>11004238</v>
      </c>
    </row>
    <row r="4336" spans="1:11" x14ac:dyDescent="0.25">
      <c r="A4336">
        <v>2023</v>
      </c>
      <c r="B4336" t="s">
        <v>8296</v>
      </c>
      <c r="C4336" t="s">
        <v>927</v>
      </c>
      <c r="D4336" t="s">
        <v>922</v>
      </c>
      <c r="E4336" t="s">
        <v>923</v>
      </c>
      <c r="F4336" t="str">
        <f>"90012"</f>
        <v>90012</v>
      </c>
      <c r="G4336" t="str">
        <f>"632514"</f>
        <v>632514</v>
      </c>
      <c r="H4336" s="2">
        <f>165</f>
        <v>165</v>
      </c>
      <c r="I4336" t="s">
        <v>27</v>
      </c>
      <c r="J4336" t="s">
        <v>195</v>
      </c>
      <c r="K4336" t="str">
        <f>"11004111"</f>
        <v>11004111</v>
      </c>
    </row>
    <row r="4337" spans="1:11" x14ac:dyDescent="0.25">
      <c r="A4337">
        <v>2023</v>
      </c>
      <c r="B4337" t="s">
        <v>8306</v>
      </c>
      <c r="C4337" t="s">
        <v>8307</v>
      </c>
      <c r="D4337" t="s">
        <v>105</v>
      </c>
      <c r="E4337" t="s">
        <v>20</v>
      </c>
      <c r="F4337" t="str">
        <f>"43528"</f>
        <v>43528</v>
      </c>
      <c r="G4337" t="str">
        <f>"632483"</f>
        <v>632483</v>
      </c>
      <c r="H4337" s="2">
        <f>10.05</f>
        <v>10.050000000000001</v>
      </c>
      <c r="I4337" t="s">
        <v>27</v>
      </c>
      <c r="J4337" t="s">
        <v>108</v>
      </c>
      <c r="K4337" t="str">
        <f>"38980"</f>
        <v>38980</v>
      </c>
    </row>
    <row r="4338" spans="1:11" x14ac:dyDescent="0.25">
      <c r="A4338">
        <v>2023</v>
      </c>
      <c r="B4338" t="s">
        <v>8308</v>
      </c>
      <c r="C4338" t="s">
        <v>8309</v>
      </c>
      <c r="D4338" t="s">
        <v>19</v>
      </c>
      <c r="E4338" t="s">
        <v>20</v>
      </c>
      <c r="F4338" t="str">
        <f>"43613-4804"</f>
        <v>43613-4804</v>
      </c>
      <c r="G4338" t="str">
        <f>"637573"</f>
        <v>637573</v>
      </c>
      <c r="H4338" s="2">
        <f>10</f>
        <v>10</v>
      </c>
      <c r="I4338" t="s">
        <v>27</v>
      </c>
      <c r="J4338" t="s">
        <v>61</v>
      </c>
      <c r="K4338" t="str">
        <f>"118801"</f>
        <v>118801</v>
      </c>
    </row>
    <row r="4339" spans="1:11" x14ac:dyDescent="0.25">
      <c r="A4339">
        <v>2023</v>
      </c>
      <c r="B4339" t="s">
        <v>8310</v>
      </c>
      <c r="C4339" t="s">
        <v>1718</v>
      </c>
      <c r="D4339" t="s">
        <v>105</v>
      </c>
      <c r="E4339" t="s">
        <v>20</v>
      </c>
      <c r="F4339" t="str">
        <f>"43528"</f>
        <v>43528</v>
      </c>
      <c r="G4339" t="str">
        <f>"632483"</f>
        <v>632483</v>
      </c>
      <c r="H4339" s="2">
        <f>20</f>
        <v>20</v>
      </c>
      <c r="I4339" t="s">
        <v>27</v>
      </c>
      <c r="J4339" t="s">
        <v>108</v>
      </c>
      <c r="K4339" t="str">
        <f>"40281"</f>
        <v>40281</v>
      </c>
    </row>
    <row r="4340" spans="1:11" x14ac:dyDescent="0.25">
      <c r="A4340">
        <v>2023</v>
      </c>
      <c r="B4340" t="s">
        <v>8344</v>
      </c>
      <c r="C4340" t="s">
        <v>2377</v>
      </c>
      <c r="D4340" t="s">
        <v>19</v>
      </c>
      <c r="E4340" t="s">
        <v>20</v>
      </c>
      <c r="F4340" t="str">
        <f>"43604"</f>
        <v>43604</v>
      </c>
      <c r="G4340" t="str">
        <f>"638581"</f>
        <v>638581</v>
      </c>
      <c r="H4340" s="2">
        <f>4.3</f>
        <v>4.3</v>
      </c>
      <c r="I4340" t="s">
        <v>27</v>
      </c>
      <c r="J4340" t="s">
        <v>61</v>
      </c>
      <c r="K4340" t="str">
        <f>"334230"</f>
        <v>334230</v>
      </c>
    </row>
    <row r="4341" spans="1:11" x14ac:dyDescent="0.25">
      <c r="A4341">
        <v>2023</v>
      </c>
      <c r="B4341" t="s">
        <v>8360</v>
      </c>
      <c r="C4341" t="s">
        <v>8361</v>
      </c>
      <c r="D4341" t="s">
        <v>19</v>
      </c>
      <c r="E4341" t="s">
        <v>20</v>
      </c>
      <c r="F4341" t="str">
        <f>"43607"</f>
        <v>43607</v>
      </c>
      <c r="G4341" t="str">
        <f>"637573"</f>
        <v>637573</v>
      </c>
      <c r="H4341" s="2">
        <f>10</f>
        <v>10</v>
      </c>
      <c r="I4341" t="s">
        <v>27</v>
      </c>
      <c r="J4341" t="s">
        <v>61</v>
      </c>
      <c r="K4341" t="str">
        <f>"120570"</f>
        <v>120570</v>
      </c>
    </row>
    <row r="4342" spans="1:11" x14ac:dyDescent="0.25">
      <c r="A4342">
        <v>2023</v>
      </c>
      <c r="B4342" t="s">
        <v>8362</v>
      </c>
      <c r="C4342" t="s">
        <v>8363</v>
      </c>
      <c r="D4342" t="s">
        <v>125</v>
      </c>
      <c r="E4342" t="s">
        <v>20</v>
      </c>
      <c r="F4342" t="str">
        <f>"43537"</f>
        <v>43537</v>
      </c>
      <c r="G4342" t="str">
        <f>"589300"</f>
        <v>589300</v>
      </c>
      <c r="H4342" s="2">
        <f>5</f>
        <v>5</v>
      </c>
      <c r="I4342" t="s">
        <v>148</v>
      </c>
      <c r="J4342" t="s">
        <v>8364</v>
      </c>
      <c r="K4342" t="str">
        <f>"26023"</f>
        <v>26023</v>
      </c>
    </row>
    <row r="4343" spans="1:11" x14ac:dyDescent="0.25">
      <c r="A4343">
        <v>2023</v>
      </c>
      <c r="B4343" t="s">
        <v>8377</v>
      </c>
      <c r="C4343" t="s">
        <v>8378</v>
      </c>
      <c r="D4343" t="s">
        <v>19</v>
      </c>
      <c r="E4343" t="s">
        <v>20</v>
      </c>
      <c r="F4343" t="str">
        <f>"43623-1920"</f>
        <v>43623-1920</v>
      </c>
      <c r="G4343" t="str">
        <f>"637573"</f>
        <v>637573</v>
      </c>
      <c r="H4343" s="2">
        <f>10</f>
        <v>10</v>
      </c>
      <c r="I4343" t="s">
        <v>27</v>
      </c>
      <c r="J4343" t="s">
        <v>61</v>
      </c>
      <c r="K4343" t="str">
        <f>"118802"</f>
        <v>118802</v>
      </c>
    </row>
    <row r="4344" spans="1:11" x14ac:dyDescent="0.25">
      <c r="A4344">
        <v>2023</v>
      </c>
      <c r="B4344" t="s">
        <v>8382</v>
      </c>
      <c r="C4344" t="s">
        <v>8383</v>
      </c>
      <c r="D4344" t="s">
        <v>19</v>
      </c>
      <c r="E4344" t="s">
        <v>20</v>
      </c>
      <c r="F4344" t="str">
        <f>"43605-3743"</f>
        <v>43605-3743</v>
      </c>
      <c r="G4344" t="str">
        <f>"637573"</f>
        <v>637573</v>
      </c>
      <c r="H4344" s="2">
        <f>10</f>
        <v>10</v>
      </c>
      <c r="I4344" t="s">
        <v>27</v>
      </c>
      <c r="J4344" t="s">
        <v>61</v>
      </c>
      <c r="K4344" t="str">
        <f>"120418"</f>
        <v>120418</v>
      </c>
    </row>
    <row r="4345" spans="1:11" x14ac:dyDescent="0.25">
      <c r="A4345">
        <v>2023</v>
      </c>
      <c r="B4345" t="s">
        <v>8390</v>
      </c>
      <c r="C4345" t="s">
        <v>8391</v>
      </c>
      <c r="D4345" t="s">
        <v>19</v>
      </c>
      <c r="E4345" t="s">
        <v>20</v>
      </c>
      <c r="F4345" t="str">
        <f>"43615"</f>
        <v>43615</v>
      </c>
      <c r="G4345" t="str">
        <f>"632483"</f>
        <v>632483</v>
      </c>
      <c r="H4345" s="2">
        <f>45.02</f>
        <v>45.02</v>
      </c>
      <c r="I4345" t="s">
        <v>27</v>
      </c>
      <c r="J4345" t="s">
        <v>108</v>
      </c>
      <c r="K4345" t="str">
        <f>"40688"</f>
        <v>40688</v>
      </c>
    </row>
    <row r="4346" spans="1:11" x14ac:dyDescent="0.25">
      <c r="A4346">
        <v>2023</v>
      </c>
      <c r="B4346" t="s">
        <v>8409</v>
      </c>
      <c r="C4346" t="s">
        <v>8410</v>
      </c>
      <c r="D4346" t="s">
        <v>19</v>
      </c>
      <c r="E4346" t="s">
        <v>20</v>
      </c>
      <c r="F4346" t="str">
        <f>"43612"</f>
        <v>43612</v>
      </c>
      <c r="G4346" t="str">
        <f>"Je10162023"</f>
        <v>Je10162023</v>
      </c>
      <c r="H4346" s="2">
        <f>0.4</f>
        <v>0.4</v>
      </c>
      <c r="I4346" t="s">
        <v>15</v>
      </c>
      <c r="J4346" t="s">
        <v>93</v>
      </c>
      <c r="K4346" t="str">
        <f>"60087027"</f>
        <v>60087027</v>
      </c>
    </row>
    <row r="4347" spans="1:11" x14ac:dyDescent="0.25">
      <c r="A4347">
        <v>2023</v>
      </c>
      <c r="B4347" t="s">
        <v>8413</v>
      </c>
      <c r="C4347" t="s">
        <v>8414</v>
      </c>
      <c r="D4347" t="s">
        <v>19</v>
      </c>
      <c r="E4347" t="s">
        <v>20</v>
      </c>
      <c r="F4347" t="str">
        <f>"43623"</f>
        <v>43623</v>
      </c>
      <c r="G4347" t="str">
        <f>"638581"</f>
        <v>638581</v>
      </c>
      <c r="H4347" s="2">
        <f>16.3</f>
        <v>16.3</v>
      </c>
      <c r="I4347" t="s">
        <v>27</v>
      </c>
      <c r="J4347" t="s">
        <v>61</v>
      </c>
      <c r="K4347" t="str">
        <f>"333868"</f>
        <v>333868</v>
      </c>
    </row>
    <row r="4348" spans="1:11" x14ac:dyDescent="0.25">
      <c r="A4348">
        <v>2023</v>
      </c>
      <c r="B4348" t="s">
        <v>8415</v>
      </c>
      <c r="C4348" t="s">
        <v>8416</v>
      </c>
      <c r="D4348" t="s">
        <v>19</v>
      </c>
      <c r="E4348" t="s">
        <v>20</v>
      </c>
      <c r="F4348" t="str">
        <f>"43608-1913"</f>
        <v>43608-1913</v>
      </c>
      <c r="G4348" t="str">
        <f>"637573"</f>
        <v>637573</v>
      </c>
      <c r="H4348" s="2">
        <f>10</f>
        <v>10</v>
      </c>
      <c r="I4348" t="s">
        <v>27</v>
      </c>
      <c r="J4348" t="s">
        <v>61</v>
      </c>
      <c r="K4348" t="str">
        <f>"119704"</f>
        <v>119704</v>
      </c>
    </row>
    <row r="4349" spans="1:11" x14ac:dyDescent="0.25">
      <c r="A4349">
        <v>2023</v>
      </c>
      <c r="B4349" t="s">
        <v>8420</v>
      </c>
      <c r="C4349" t="s">
        <v>8421</v>
      </c>
      <c r="D4349" t="s">
        <v>19</v>
      </c>
      <c r="E4349" t="s">
        <v>20</v>
      </c>
      <c r="F4349" t="str">
        <f>"43612-4515"</f>
        <v>43612-4515</v>
      </c>
      <c r="G4349" t="str">
        <f>"637573"</f>
        <v>637573</v>
      </c>
      <c r="H4349" s="2">
        <f>10</f>
        <v>10</v>
      </c>
      <c r="I4349" t="s">
        <v>27</v>
      </c>
      <c r="J4349" t="s">
        <v>61</v>
      </c>
      <c r="K4349" t="str">
        <f>"120382"</f>
        <v>120382</v>
      </c>
    </row>
    <row r="4350" spans="1:11" x14ac:dyDescent="0.25">
      <c r="A4350">
        <v>2023</v>
      </c>
      <c r="B4350" t="s">
        <v>8432</v>
      </c>
      <c r="C4350" t="s">
        <v>8433</v>
      </c>
      <c r="D4350" t="s">
        <v>64</v>
      </c>
      <c r="E4350" t="s">
        <v>20</v>
      </c>
      <c r="F4350" t="str">
        <f>"43566-1700"</f>
        <v>43566-1700</v>
      </c>
      <c r="G4350" t="str">
        <f>"637573"</f>
        <v>637573</v>
      </c>
      <c r="H4350" s="2">
        <f>10</f>
        <v>10</v>
      </c>
      <c r="I4350" t="s">
        <v>27</v>
      </c>
      <c r="J4350" t="s">
        <v>61</v>
      </c>
      <c r="K4350" t="str">
        <f>"120157"</f>
        <v>120157</v>
      </c>
    </row>
    <row r="4351" spans="1:11" x14ac:dyDescent="0.25">
      <c r="A4351">
        <v>2023</v>
      </c>
      <c r="B4351" t="s">
        <v>8434</v>
      </c>
      <c r="C4351" t="s">
        <v>8435</v>
      </c>
      <c r="D4351" t="s">
        <v>19</v>
      </c>
      <c r="E4351" t="s">
        <v>20</v>
      </c>
      <c r="F4351" t="str">
        <f>"43611"</f>
        <v>43611</v>
      </c>
      <c r="G4351" t="str">
        <f>"632483"</f>
        <v>632483</v>
      </c>
      <c r="H4351" s="2">
        <f>31.75</f>
        <v>31.75</v>
      </c>
      <c r="I4351" t="s">
        <v>27</v>
      </c>
      <c r="J4351" t="s">
        <v>108</v>
      </c>
      <c r="K4351" t="str">
        <f>"40326"</f>
        <v>40326</v>
      </c>
    </row>
    <row r="4352" spans="1:11" x14ac:dyDescent="0.25">
      <c r="A4352">
        <v>2023</v>
      </c>
      <c r="B4352" t="s">
        <v>8445</v>
      </c>
      <c r="C4352" t="s">
        <v>8446</v>
      </c>
      <c r="D4352" t="s">
        <v>19</v>
      </c>
      <c r="E4352" t="s">
        <v>20</v>
      </c>
      <c r="F4352" t="str">
        <f>"43613-1201"</f>
        <v>43613-1201</v>
      </c>
      <c r="G4352" t="str">
        <f>"637573"</f>
        <v>637573</v>
      </c>
      <c r="H4352" s="2">
        <f>10</f>
        <v>10</v>
      </c>
      <c r="I4352" t="s">
        <v>27</v>
      </c>
      <c r="J4352" t="s">
        <v>61</v>
      </c>
      <c r="K4352" t="str">
        <f>"120201"</f>
        <v>120201</v>
      </c>
    </row>
    <row r="4353" spans="1:11" x14ac:dyDescent="0.25">
      <c r="A4353">
        <v>2023</v>
      </c>
      <c r="B4353" t="s">
        <v>8457</v>
      </c>
      <c r="C4353" t="s">
        <v>8458</v>
      </c>
      <c r="D4353" t="s">
        <v>19</v>
      </c>
      <c r="E4353" t="s">
        <v>20</v>
      </c>
      <c r="F4353" t="str">
        <f>"43612-1214"</f>
        <v>43612-1214</v>
      </c>
      <c r="G4353" t="str">
        <f>"637573"</f>
        <v>637573</v>
      </c>
      <c r="H4353" s="2">
        <f>60</f>
        <v>60</v>
      </c>
      <c r="I4353" t="s">
        <v>27</v>
      </c>
      <c r="J4353" t="s">
        <v>61</v>
      </c>
      <c r="K4353" t="str">
        <f>"120906"</f>
        <v>120906</v>
      </c>
    </row>
    <row r="4354" spans="1:11" x14ac:dyDescent="0.25">
      <c r="A4354">
        <v>2023</v>
      </c>
      <c r="B4354" t="s">
        <v>8476</v>
      </c>
      <c r="C4354" t="s">
        <v>8477</v>
      </c>
      <c r="D4354" t="s">
        <v>19</v>
      </c>
      <c r="E4354" t="s">
        <v>20</v>
      </c>
      <c r="F4354" t="str">
        <f>"43614"</f>
        <v>43614</v>
      </c>
      <c r="G4354" t="str">
        <f>"638581"</f>
        <v>638581</v>
      </c>
      <c r="H4354" s="2">
        <f>11.14</f>
        <v>11.14</v>
      </c>
      <c r="I4354" t="s">
        <v>27</v>
      </c>
      <c r="J4354" t="s">
        <v>61</v>
      </c>
      <c r="K4354" t="str">
        <f>"334158"</f>
        <v>334158</v>
      </c>
    </row>
    <row r="4355" spans="1:11" x14ac:dyDescent="0.25">
      <c r="A4355">
        <v>2023</v>
      </c>
      <c r="B4355" t="s">
        <v>8522</v>
      </c>
      <c r="C4355" t="s">
        <v>8523</v>
      </c>
      <c r="D4355" t="s">
        <v>19</v>
      </c>
      <c r="E4355" t="s">
        <v>20</v>
      </c>
      <c r="F4355" t="str">
        <f>"43615-1855"</f>
        <v>43615-1855</v>
      </c>
      <c r="G4355" t="str">
        <f>"637573"</f>
        <v>637573</v>
      </c>
      <c r="H4355" s="2">
        <f>10</f>
        <v>10</v>
      </c>
      <c r="I4355" t="s">
        <v>27</v>
      </c>
      <c r="J4355" t="s">
        <v>61</v>
      </c>
      <c r="K4355" t="str">
        <f>"119622"</f>
        <v>119622</v>
      </c>
    </row>
    <row r="4356" spans="1:11" x14ac:dyDescent="0.25">
      <c r="A4356">
        <v>2023</v>
      </c>
      <c r="B4356" t="s">
        <v>8534</v>
      </c>
      <c r="C4356" t="s">
        <v>8535</v>
      </c>
      <c r="D4356" t="s">
        <v>19</v>
      </c>
      <c r="E4356" t="s">
        <v>20</v>
      </c>
      <c r="F4356" t="str">
        <f>"43614"</f>
        <v>43614</v>
      </c>
      <c r="G4356" t="str">
        <f>"637573"</f>
        <v>637573</v>
      </c>
      <c r="H4356" s="2">
        <f>10</f>
        <v>10</v>
      </c>
      <c r="I4356" t="s">
        <v>27</v>
      </c>
      <c r="J4356" t="s">
        <v>61</v>
      </c>
      <c r="K4356" t="str">
        <f>"120571"</f>
        <v>120571</v>
      </c>
    </row>
    <row r="4357" spans="1:11" x14ac:dyDescent="0.25">
      <c r="A4357">
        <v>2023</v>
      </c>
      <c r="B4357" t="s">
        <v>8552</v>
      </c>
      <c r="C4357" t="s">
        <v>8553</v>
      </c>
      <c r="D4357" t="s">
        <v>19</v>
      </c>
      <c r="E4357" t="s">
        <v>20</v>
      </c>
      <c r="F4357" t="str">
        <f>"43606"</f>
        <v>43606</v>
      </c>
      <c r="G4357" t="str">
        <f>"632482"</f>
        <v>632482</v>
      </c>
      <c r="H4357" s="2">
        <f>25</f>
        <v>25</v>
      </c>
      <c r="I4357" t="s">
        <v>27</v>
      </c>
      <c r="J4357" t="s">
        <v>157</v>
      </c>
      <c r="K4357" t="str">
        <f>"522215"</f>
        <v>522215</v>
      </c>
    </row>
    <row r="4358" spans="1:11" x14ac:dyDescent="0.25">
      <c r="A4358">
        <v>2023</v>
      </c>
      <c r="B4358" t="s">
        <v>8567</v>
      </c>
      <c r="C4358" t="s">
        <v>4373</v>
      </c>
      <c r="D4358" t="s">
        <v>422</v>
      </c>
      <c r="E4358" t="s">
        <v>20</v>
      </c>
      <c r="F4358" t="str">
        <f>"44132"</f>
        <v>44132</v>
      </c>
      <c r="G4358" t="str">
        <f>"632483"</f>
        <v>632483</v>
      </c>
      <c r="H4358" s="2">
        <f>11.1</f>
        <v>11.1</v>
      </c>
      <c r="I4358" t="s">
        <v>27</v>
      </c>
      <c r="J4358" t="s">
        <v>108</v>
      </c>
      <c r="K4358" t="str">
        <f>"40144"</f>
        <v>40144</v>
      </c>
    </row>
    <row r="4359" spans="1:11" x14ac:dyDescent="0.25">
      <c r="A4359">
        <v>2023</v>
      </c>
      <c r="B4359" t="s">
        <v>8572</v>
      </c>
      <c r="C4359" t="s">
        <v>8573</v>
      </c>
      <c r="D4359" t="s">
        <v>111</v>
      </c>
      <c r="E4359" t="s">
        <v>20</v>
      </c>
      <c r="F4359" t="str">
        <f>"43215"</f>
        <v>43215</v>
      </c>
      <c r="G4359" t="str">
        <f>"632483"</f>
        <v>632483</v>
      </c>
      <c r="H4359" s="2">
        <f>20</f>
        <v>20</v>
      </c>
      <c r="I4359" t="s">
        <v>27</v>
      </c>
      <c r="J4359" t="s">
        <v>108</v>
      </c>
      <c r="K4359" t="str">
        <f>"40695"</f>
        <v>40695</v>
      </c>
    </row>
    <row r="4360" spans="1:11" x14ac:dyDescent="0.25">
      <c r="A4360">
        <v>2023</v>
      </c>
      <c r="B4360" t="s">
        <v>8602</v>
      </c>
      <c r="C4360" t="s">
        <v>8603</v>
      </c>
      <c r="D4360" t="s">
        <v>19</v>
      </c>
      <c r="E4360" t="s">
        <v>20</v>
      </c>
      <c r="F4360" t="str">
        <f>"43620-1510"</f>
        <v>43620-1510</v>
      </c>
      <c r="G4360" t="str">
        <f>"637573"</f>
        <v>637573</v>
      </c>
      <c r="H4360" s="2">
        <f>20</f>
        <v>20</v>
      </c>
      <c r="I4360" t="s">
        <v>27</v>
      </c>
      <c r="J4360" t="s">
        <v>61</v>
      </c>
      <c r="K4360" t="str">
        <f>"120419"</f>
        <v>120419</v>
      </c>
    </row>
    <row r="4361" spans="1:11" x14ac:dyDescent="0.25">
      <c r="A4361">
        <v>2023</v>
      </c>
      <c r="B4361" t="s">
        <v>8608</v>
      </c>
      <c r="C4361" t="s">
        <v>8609</v>
      </c>
      <c r="D4361" t="s">
        <v>19</v>
      </c>
      <c r="E4361" t="s">
        <v>20</v>
      </c>
      <c r="F4361" t="str">
        <f>"43617-2240"</f>
        <v>43617-2240</v>
      </c>
      <c r="G4361" t="str">
        <f>"637573"</f>
        <v>637573</v>
      </c>
      <c r="H4361" s="2">
        <f>30</f>
        <v>30</v>
      </c>
      <c r="I4361" t="s">
        <v>27</v>
      </c>
      <c r="J4361" t="s">
        <v>61</v>
      </c>
      <c r="K4361" t="str">
        <f>"119151"</f>
        <v>119151</v>
      </c>
    </row>
    <row r="4362" spans="1:11" x14ac:dyDescent="0.25">
      <c r="A4362">
        <v>2023</v>
      </c>
      <c r="B4362" t="s">
        <v>8608</v>
      </c>
      <c r="C4362" t="s">
        <v>8609</v>
      </c>
      <c r="D4362" t="s">
        <v>19</v>
      </c>
      <c r="E4362" t="s">
        <v>20</v>
      </c>
      <c r="F4362" t="str">
        <f>"43617-2240"</f>
        <v>43617-2240</v>
      </c>
      <c r="G4362" t="str">
        <f>"637573"</f>
        <v>637573</v>
      </c>
      <c r="H4362" s="2">
        <f>20</f>
        <v>20</v>
      </c>
      <c r="I4362" t="s">
        <v>27</v>
      </c>
      <c r="J4362" t="s">
        <v>61</v>
      </c>
      <c r="K4362" t="str">
        <f>"119018"</f>
        <v>119018</v>
      </c>
    </row>
    <row r="4363" spans="1:11" x14ac:dyDescent="0.25">
      <c r="A4363">
        <v>2023</v>
      </c>
      <c r="B4363" t="s">
        <v>8631</v>
      </c>
      <c r="C4363" t="s">
        <v>8632</v>
      </c>
      <c r="D4363" t="s">
        <v>19</v>
      </c>
      <c r="E4363" t="s">
        <v>20</v>
      </c>
      <c r="F4363" t="str">
        <f>"43606"</f>
        <v>43606</v>
      </c>
      <c r="G4363" t="str">
        <f>"Je012023"</f>
        <v>Je012023</v>
      </c>
      <c r="H4363" s="2">
        <f>220</f>
        <v>220</v>
      </c>
      <c r="I4363" t="s">
        <v>15</v>
      </c>
      <c r="J4363" t="s">
        <v>397</v>
      </c>
      <c r="K4363" t="str">
        <f>"60064936"</f>
        <v>60064936</v>
      </c>
    </row>
    <row r="4364" spans="1:11" x14ac:dyDescent="0.25">
      <c r="A4364">
        <v>2023</v>
      </c>
      <c r="B4364" t="s">
        <v>8641</v>
      </c>
      <c r="C4364" t="s">
        <v>8642</v>
      </c>
      <c r="D4364" t="s">
        <v>19</v>
      </c>
      <c r="E4364" t="s">
        <v>20</v>
      </c>
      <c r="F4364" t="str">
        <f>"43615"</f>
        <v>43615</v>
      </c>
      <c r="G4364" t="str">
        <f>"632482"</f>
        <v>632482</v>
      </c>
      <c r="H4364" s="2">
        <f>35</f>
        <v>35</v>
      </c>
      <c r="I4364" t="s">
        <v>27</v>
      </c>
      <c r="J4364" t="s">
        <v>157</v>
      </c>
      <c r="K4364" t="str">
        <f>"521124"</f>
        <v>521124</v>
      </c>
    </row>
    <row r="4365" spans="1:11" x14ac:dyDescent="0.25">
      <c r="A4365">
        <v>2023</v>
      </c>
      <c r="B4365" t="s">
        <v>8641</v>
      </c>
      <c r="C4365" t="s">
        <v>8642</v>
      </c>
      <c r="D4365" t="s">
        <v>19</v>
      </c>
      <c r="E4365" t="s">
        <v>20</v>
      </c>
      <c r="F4365" t="str">
        <f>"43615"</f>
        <v>43615</v>
      </c>
      <c r="G4365" t="str">
        <f>"632482"</f>
        <v>632482</v>
      </c>
      <c r="H4365" s="2">
        <f>20</f>
        <v>20</v>
      </c>
      <c r="I4365" t="s">
        <v>27</v>
      </c>
      <c r="J4365" t="s">
        <v>157</v>
      </c>
      <c r="K4365" t="str">
        <f>"520651"</f>
        <v>520651</v>
      </c>
    </row>
    <row r="4366" spans="1:11" x14ac:dyDescent="0.25">
      <c r="A4366">
        <v>2023</v>
      </c>
      <c r="B4366" t="s">
        <v>8641</v>
      </c>
      <c r="C4366" t="s">
        <v>8642</v>
      </c>
      <c r="D4366" t="s">
        <v>19</v>
      </c>
      <c r="E4366" t="s">
        <v>20</v>
      </c>
      <c r="F4366" t="str">
        <f>"43615"</f>
        <v>43615</v>
      </c>
      <c r="G4366" t="str">
        <f>"632482"</f>
        <v>632482</v>
      </c>
      <c r="H4366" s="2">
        <f>30</f>
        <v>30</v>
      </c>
      <c r="I4366" t="s">
        <v>27</v>
      </c>
      <c r="J4366" t="s">
        <v>157</v>
      </c>
      <c r="K4366" t="str">
        <f>"522301"</f>
        <v>522301</v>
      </c>
    </row>
    <row r="4367" spans="1:11" x14ac:dyDescent="0.25">
      <c r="A4367">
        <v>2023</v>
      </c>
      <c r="B4367" t="s">
        <v>8643</v>
      </c>
      <c r="C4367" t="s">
        <v>8644</v>
      </c>
      <c r="D4367" t="s">
        <v>19</v>
      </c>
      <c r="E4367" t="s">
        <v>20</v>
      </c>
      <c r="F4367" t="str">
        <f>"43604"</f>
        <v>43604</v>
      </c>
      <c r="G4367" t="str">
        <f>"Je12142023"</f>
        <v>Je12142023</v>
      </c>
      <c r="H4367" s="2">
        <f>23.88</f>
        <v>23.88</v>
      </c>
      <c r="I4367" t="s">
        <v>15</v>
      </c>
      <c r="J4367" t="s">
        <v>176</v>
      </c>
      <c r="K4367" t="str">
        <f>"60096943"</f>
        <v>60096943</v>
      </c>
    </row>
    <row r="4368" spans="1:11" x14ac:dyDescent="0.25">
      <c r="A4368">
        <v>2023</v>
      </c>
      <c r="B4368" t="s">
        <v>8651</v>
      </c>
      <c r="C4368" t="s">
        <v>8650</v>
      </c>
      <c r="D4368" t="s">
        <v>105</v>
      </c>
      <c r="E4368" t="s">
        <v>20</v>
      </c>
      <c r="F4368" t="str">
        <f>"43528"</f>
        <v>43528</v>
      </c>
      <c r="G4368" t="str">
        <f>"632514"</f>
        <v>632514</v>
      </c>
      <c r="H4368" s="2">
        <f>3.41</f>
        <v>3.41</v>
      </c>
      <c r="I4368" t="s">
        <v>27</v>
      </c>
      <c r="J4368" t="s">
        <v>195</v>
      </c>
      <c r="K4368" t="str">
        <f>"11004381"</f>
        <v>11004381</v>
      </c>
    </row>
    <row r="4369" spans="1:11" x14ac:dyDescent="0.25">
      <c r="A4369">
        <v>2023</v>
      </c>
      <c r="B4369" t="s">
        <v>8659</v>
      </c>
      <c r="C4369" t="s">
        <v>8660</v>
      </c>
      <c r="D4369" t="s">
        <v>19</v>
      </c>
      <c r="E4369" t="s">
        <v>20</v>
      </c>
      <c r="F4369" t="str">
        <f>"43607"</f>
        <v>43607</v>
      </c>
      <c r="G4369" t="str">
        <f>"632514"</f>
        <v>632514</v>
      </c>
      <c r="H4369" s="2">
        <f>9.5</f>
        <v>9.5</v>
      </c>
      <c r="I4369" t="s">
        <v>27</v>
      </c>
      <c r="J4369" t="s">
        <v>195</v>
      </c>
      <c r="K4369" t="str">
        <f>"33011961"</f>
        <v>33011961</v>
      </c>
    </row>
    <row r="4370" spans="1:11" x14ac:dyDescent="0.25">
      <c r="A4370">
        <v>2023</v>
      </c>
      <c r="B4370" t="s">
        <v>8661</v>
      </c>
      <c r="C4370" t="s">
        <v>8662</v>
      </c>
      <c r="D4370" t="s">
        <v>1074</v>
      </c>
      <c r="E4370" t="s">
        <v>20</v>
      </c>
      <c r="F4370" t="str">
        <f>"43551"</f>
        <v>43551</v>
      </c>
      <c r="G4370" t="str">
        <f>"632514"</f>
        <v>632514</v>
      </c>
      <c r="H4370" s="2">
        <f>12.75</f>
        <v>12.75</v>
      </c>
      <c r="I4370" t="s">
        <v>27</v>
      </c>
      <c r="J4370" t="s">
        <v>195</v>
      </c>
      <c r="K4370" t="str">
        <f>"44009865"</f>
        <v>44009865</v>
      </c>
    </row>
    <row r="4371" spans="1:11" x14ac:dyDescent="0.25">
      <c r="A4371">
        <v>2023</v>
      </c>
      <c r="B4371" t="s">
        <v>8663</v>
      </c>
      <c r="C4371" t="s">
        <v>8664</v>
      </c>
      <c r="D4371" t="s">
        <v>323</v>
      </c>
      <c r="E4371" t="s">
        <v>20</v>
      </c>
      <c r="F4371" t="str">
        <f>"43571"</f>
        <v>43571</v>
      </c>
      <c r="G4371" t="str">
        <f>"632482"</f>
        <v>632482</v>
      </c>
      <c r="H4371" s="2">
        <f>17.19</f>
        <v>17.190000000000001</v>
      </c>
      <c r="I4371" t="s">
        <v>27</v>
      </c>
      <c r="J4371" t="s">
        <v>157</v>
      </c>
      <c r="K4371" t="str">
        <f>"522048"</f>
        <v>522048</v>
      </c>
    </row>
    <row r="4372" spans="1:11" x14ac:dyDescent="0.25">
      <c r="A4372">
        <v>2023</v>
      </c>
      <c r="B4372" t="s">
        <v>8667</v>
      </c>
      <c r="C4372" t="s">
        <v>8668</v>
      </c>
      <c r="D4372" t="s">
        <v>19</v>
      </c>
      <c r="E4372" t="s">
        <v>20</v>
      </c>
      <c r="F4372" t="str">
        <f>"43615"</f>
        <v>43615</v>
      </c>
      <c r="G4372" t="str">
        <f>"Je12142023"</f>
        <v>Je12142023</v>
      </c>
      <c r="H4372" s="2">
        <f>35</f>
        <v>35</v>
      </c>
      <c r="I4372" t="s">
        <v>15</v>
      </c>
      <c r="J4372" t="s">
        <v>176</v>
      </c>
      <c r="K4372" t="str">
        <f>"60104171"</f>
        <v>60104171</v>
      </c>
    </row>
    <row r="4373" spans="1:11" x14ac:dyDescent="0.25">
      <c r="A4373">
        <v>2023</v>
      </c>
      <c r="B4373" t="s">
        <v>8685</v>
      </c>
      <c r="C4373" t="s">
        <v>8686</v>
      </c>
      <c r="D4373" t="s">
        <v>19</v>
      </c>
      <c r="E4373" t="s">
        <v>20</v>
      </c>
      <c r="F4373" t="str">
        <f>"43612"</f>
        <v>43612</v>
      </c>
      <c r="G4373" t="str">
        <f>"632482"</f>
        <v>632482</v>
      </c>
      <c r="H4373" s="2">
        <f>761.57</f>
        <v>761.57</v>
      </c>
      <c r="I4373" t="s">
        <v>27</v>
      </c>
      <c r="J4373" t="s">
        <v>157</v>
      </c>
      <c r="K4373" t="str">
        <f>"522164"</f>
        <v>522164</v>
      </c>
    </row>
    <row r="4374" spans="1:11" x14ac:dyDescent="0.25">
      <c r="A4374">
        <v>2023</v>
      </c>
      <c r="B4374" t="s">
        <v>8689</v>
      </c>
      <c r="C4374" t="s">
        <v>8690</v>
      </c>
      <c r="D4374" t="s">
        <v>19</v>
      </c>
      <c r="E4374" t="s">
        <v>20</v>
      </c>
      <c r="F4374" t="str">
        <f>"43620"</f>
        <v>43620</v>
      </c>
      <c r="G4374" t="str">
        <f>"638581"</f>
        <v>638581</v>
      </c>
      <c r="H4374" s="2">
        <f>49.58</f>
        <v>49.58</v>
      </c>
      <c r="I4374" t="s">
        <v>27</v>
      </c>
      <c r="J4374" t="s">
        <v>61</v>
      </c>
      <c r="K4374" t="str">
        <f>"334162"</f>
        <v>334162</v>
      </c>
    </row>
    <row r="4375" spans="1:11" x14ac:dyDescent="0.25">
      <c r="A4375">
        <v>2023</v>
      </c>
      <c r="B4375" t="s">
        <v>8703</v>
      </c>
      <c r="C4375" t="s">
        <v>8704</v>
      </c>
      <c r="D4375" t="s">
        <v>19</v>
      </c>
      <c r="E4375" t="s">
        <v>20</v>
      </c>
      <c r="F4375" t="str">
        <f>"43607"</f>
        <v>43607</v>
      </c>
      <c r="G4375" t="str">
        <f>"632482"</f>
        <v>632482</v>
      </c>
      <c r="H4375" s="2">
        <f>112.49</f>
        <v>112.49</v>
      </c>
      <c r="I4375" t="s">
        <v>27</v>
      </c>
      <c r="J4375" t="s">
        <v>157</v>
      </c>
      <c r="K4375" t="str">
        <f>"521042"</f>
        <v>521042</v>
      </c>
    </row>
    <row r="4376" spans="1:11" x14ac:dyDescent="0.25">
      <c r="A4376">
        <v>2023</v>
      </c>
      <c r="B4376" t="s">
        <v>8707</v>
      </c>
      <c r="C4376" t="s">
        <v>8708</v>
      </c>
      <c r="D4376" t="s">
        <v>19</v>
      </c>
      <c r="E4376" t="s">
        <v>20</v>
      </c>
      <c r="F4376" t="str">
        <f>"43604"</f>
        <v>43604</v>
      </c>
      <c r="G4376" t="str">
        <f>"638581"</f>
        <v>638581</v>
      </c>
      <c r="H4376" s="2">
        <f>4.85</f>
        <v>4.8499999999999996</v>
      </c>
      <c r="I4376" t="s">
        <v>27</v>
      </c>
      <c r="J4376" t="s">
        <v>61</v>
      </c>
      <c r="K4376" t="str">
        <f>"334065"</f>
        <v>334065</v>
      </c>
    </row>
    <row r="4377" spans="1:11" x14ac:dyDescent="0.25">
      <c r="A4377">
        <v>2023</v>
      </c>
      <c r="B4377" t="s">
        <v>8715</v>
      </c>
      <c r="C4377" t="s">
        <v>8716</v>
      </c>
      <c r="D4377" t="s">
        <v>50</v>
      </c>
      <c r="E4377" t="s">
        <v>20</v>
      </c>
      <c r="F4377" t="str">
        <f>"43560-3910"</f>
        <v>43560-3910</v>
      </c>
      <c r="G4377" t="str">
        <f>"637573"</f>
        <v>637573</v>
      </c>
      <c r="H4377" s="2">
        <f>10</f>
        <v>10</v>
      </c>
      <c r="I4377" t="s">
        <v>27</v>
      </c>
      <c r="J4377" t="s">
        <v>61</v>
      </c>
      <c r="K4377" t="str">
        <f>"119591"</f>
        <v>119591</v>
      </c>
    </row>
    <row r="4378" spans="1:11" x14ac:dyDescent="0.25">
      <c r="A4378">
        <v>2023</v>
      </c>
      <c r="B4378" t="s">
        <v>8723</v>
      </c>
      <c r="C4378" t="s">
        <v>8724</v>
      </c>
      <c r="D4378" t="s">
        <v>19</v>
      </c>
      <c r="E4378" t="s">
        <v>20</v>
      </c>
      <c r="F4378" t="str">
        <f>"43610-1319"</f>
        <v>43610-1319</v>
      </c>
      <c r="G4378" t="str">
        <f>"637573"</f>
        <v>637573</v>
      </c>
      <c r="H4378" s="2">
        <f>20</f>
        <v>20</v>
      </c>
      <c r="I4378" t="s">
        <v>27</v>
      </c>
      <c r="J4378" t="s">
        <v>61</v>
      </c>
      <c r="K4378" t="str">
        <f>"119523"</f>
        <v>119523</v>
      </c>
    </row>
    <row r="4379" spans="1:11" x14ac:dyDescent="0.25">
      <c r="A4379">
        <v>2023</v>
      </c>
      <c r="B4379" t="s">
        <v>8760</v>
      </c>
      <c r="C4379" t="s">
        <v>8761</v>
      </c>
      <c r="D4379" t="s">
        <v>19</v>
      </c>
      <c r="E4379" t="s">
        <v>20</v>
      </c>
      <c r="F4379" t="str">
        <f>"43617-1211"</f>
        <v>43617-1211</v>
      </c>
      <c r="G4379" t="str">
        <f>"637573"</f>
        <v>637573</v>
      </c>
      <c r="H4379" s="2">
        <f>10</f>
        <v>10</v>
      </c>
      <c r="I4379" t="s">
        <v>27</v>
      </c>
      <c r="J4379" t="s">
        <v>61</v>
      </c>
      <c r="K4379" t="str">
        <f>"120572"</f>
        <v>120572</v>
      </c>
    </row>
    <row r="4380" spans="1:11" x14ac:dyDescent="0.25">
      <c r="A4380">
        <v>2023</v>
      </c>
      <c r="B4380" t="s">
        <v>8775</v>
      </c>
      <c r="C4380" t="s">
        <v>8776</v>
      </c>
      <c r="D4380" t="s">
        <v>19</v>
      </c>
      <c r="E4380" t="s">
        <v>20</v>
      </c>
      <c r="F4380" t="str">
        <f>"43613"</f>
        <v>43613</v>
      </c>
      <c r="G4380" t="str">
        <f>"Je12142023"</f>
        <v>Je12142023</v>
      </c>
      <c r="H4380" s="2">
        <f>55.83</f>
        <v>55.83</v>
      </c>
      <c r="I4380" t="s">
        <v>15</v>
      </c>
      <c r="J4380" t="s">
        <v>176</v>
      </c>
      <c r="K4380" t="str">
        <f>"60098748"</f>
        <v>60098748</v>
      </c>
    </row>
    <row r="4381" spans="1:11" x14ac:dyDescent="0.25">
      <c r="A4381">
        <v>2023</v>
      </c>
      <c r="B4381" t="s">
        <v>8777</v>
      </c>
      <c r="C4381" t="s">
        <v>8778</v>
      </c>
      <c r="D4381" t="s">
        <v>19</v>
      </c>
      <c r="E4381" t="s">
        <v>20</v>
      </c>
      <c r="F4381" t="str">
        <f>"43607"</f>
        <v>43607</v>
      </c>
      <c r="G4381" t="str">
        <f>"Je06132023"</f>
        <v>Je06132023</v>
      </c>
      <c r="H4381" s="2">
        <f>36</f>
        <v>36</v>
      </c>
      <c r="I4381" t="s">
        <v>15</v>
      </c>
      <c r="J4381" t="s">
        <v>16</v>
      </c>
      <c r="K4381" t="str">
        <f>"60077229"</f>
        <v>60077229</v>
      </c>
    </row>
    <row r="4382" spans="1:11" x14ac:dyDescent="0.25">
      <c r="A4382">
        <v>2023</v>
      </c>
      <c r="B4382" t="s">
        <v>8795</v>
      </c>
      <c r="C4382" t="s">
        <v>3120</v>
      </c>
      <c r="D4382" t="s">
        <v>58</v>
      </c>
      <c r="E4382" t="s">
        <v>20</v>
      </c>
      <c r="F4382" t="str">
        <f>"43616-3022"</f>
        <v>43616-3022</v>
      </c>
      <c r="G4382" t="str">
        <f>"637573"</f>
        <v>637573</v>
      </c>
      <c r="H4382" s="2">
        <f>30</f>
        <v>30</v>
      </c>
      <c r="I4382" t="s">
        <v>27</v>
      </c>
      <c r="J4382" t="s">
        <v>61</v>
      </c>
      <c r="K4382" t="str">
        <f>"119563"</f>
        <v>119563</v>
      </c>
    </row>
    <row r="4383" spans="1:11" x14ac:dyDescent="0.25">
      <c r="A4383">
        <v>2023</v>
      </c>
      <c r="B4383" t="s">
        <v>8795</v>
      </c>
      <c r="C4383" t="s">
        <v>3120</v>
      </c>
      <c r="D4383" t="s">
        <v>58</v>
      </c>
      <c r="E4383" t="s">
        <v>20</v>
      </c>
      <c r="F4383" t="str">
        <f>"43616-3022"</f>
        <v>43616-3022</v>
      </c>
      <c r="G4383" t="str">
        <f>"637573"</f>
        <v>637573</v>
      </c>
      <c r="H4383" s="2">
        <f>30</f>
        <v>30</v>
      </c>
      <c r="I4383" t="s">
        <v>27</v>
      </c>
      <c r="J4383" t="s">
        <v>61</v>
      </c>
      <c r="K4383" t="str">
        <f>"119608"</f>
        <v>119608</v>
      </c>
    </row>
    <row r="4384" spans="1:11" x14ac:dyDescent="0.25">
      <c r="A4384">
        <v>2023</v>
      </c>
      <c r="B4384" t="s">
        <v>8796</v>
      </c>
      <c r="C4384" t="s">
        <v>8797</v>
      </c>
      <c r="D4384" t="s">
        <v>8798</v>
      </c>
      <c r="E4384" t="s">
        <v>20</v>
      </c>
      <c r="F4384" t="str">
        <f>"45385"</f>
        <v>45385</v>
      </c>
      <c r="G4384" t="str">
        <f>"Je04112023"</f>
        <v>Je04112023</v>
      </c>
      <c r="H4384" s="2">
        <f>14.85</f>
        <v>14.85</v>
      </c>
      <c r="I4384" t="s">
        <v>15</v>
      </c>
      <c r="J4384" t="s">
        <v>412</v>
      </c>
      <c r="K4384" t="str">
        <f>"60074156"</f>
        <v>60074156</v>
      </c>
    </row>
    <row r="4385" spans="1:11" x14ac:dyDescent="0.25">
      <c r="A4385">
        <v>2023</v>
      </c>
      <c r="B4385" t="s">
        <v>8799</v>
      </c>
      <c r="C4385" t="s">
        <v>8800</v>
      </c>
      <c r="D4385" t="s">
        <v>19</v>
      </c>
      <c r="E4385" t="s">
        <v>20</v>
      </c>
      <c r="F4385" t="str">
        <f>"43605-3631"</f>
        <v>43605-3631</v>
      </c>
      <c r="G4385" t="str">
        <f>"637573"</f>
        <v>637573</v>
      </c>
      <c r="H4385" s="2">
        <f>10</f>
        <v>10</v>
      </c>
      <c r="I4385" t="s">
        <v>27</v>
      </c>
      <c r="J4385" t="s">
        <v>61</v>
      </c>
      <c r="K4385" t="str">
        <f>"118550"</f>
        <v>118550</v>
      </c>
    </row>
    <row r="4386" spans="1:11" x14ac:dyDescent="0.25">
      <c r="A4386">
        <v>2023</v>
      </c>
      <c r="B4386" t="s">
        <v>8809</v>
      </c>
      <c r="C4386" t="s">
        <v>8810</v>
      </c>
      <c r="D4386" t="s">
        <v>19</v>
      </c>
      <c r="E4386" t="s">
        <v>20</v>
      </c>
      <c r="F4386" t="str">
        <f>"43605-2916"</f>
        <v>43605-2916</v>
      </c>
      <c r="G4386" t="str">
        <f>"637573"</f>
        <v>637573</v>
      </c>
      <c r="H4386" s="2">
        <f>10</f>
        <v>10</v>
      </c>
      <c r="I4386" t="s">
        <v>27</v>
      </c>
      <c r="J4386" t="s">
        <v>61</v>
      </c>
      <c r="K4386" t="str">
        <f>"120267"</f>
        <v>120267</v>
      </c>
    </row>
    <row r="4387" spans="1:11" x14ac:dyDescent="0.25">
      <c r="A4387">
        <v>2023</v>
      </c>
      <c r="B4387" t="s">
        <v>8813</v>
      </c>
      <c r="C4387" t="s">
        <v>8814</v>
      </c>
      <c r="D4387" t="s">
        <v>323</v>
      </c>
      <c r="E4387" t="s">
        <v>20</v>
      </c>
      <c r="F4387" t="str">
        <f>"43571-9641"</f>
        <v>43571-9641</v>
      </c>
      <c r="G4387" t="str">
        <f>"637573"</f>
        <v>637573</v>
      </c>
      <c r="H4387" s="2">
        <f>20</f>
        <v>20</v>
      </c>
      <c r="I4387" t="s">
        <v>27</v>
      </c>
      <c r="J4387" t="s">
        <v>61</v>
      </c>
      <c r="K4387" t="str">
        <f>"120977"</f>
        <v>120977</v>
      </c>
    </row>
    <row r="4388" spans="1:11" x14ac:dyDescent="0.25">
      <c r="A4388">
        <v>2023</v>
      </c>
      <c r="B4388" t="s">
        <v>8815</v>
      </c>
      <c r="C4388" t="s">
        <v>8816</v>
      </c>
      <c r="D4388" t="s">
        <v>19</v>
      </c>
      <c r="E4388" t="s">
        <v>20</v>
      </c>
      <c r="F4388" t="str">
        <f>"43611-1025"</f>
        <v>43611-1025</v>
      </c>
      <c r="G4388" t="str">
        <f>"637573"</f>
        <v>637573</v>
      </c>
      <c r="H4388" s="2">
        <f>10</f>
        <v>10</v>
      </c>
      <c r="I4388" t="s">
        <v>27</v>
      </c>
      <c r="J4388" t="s">
        <v>61</v>
      </c>
      <c r="K4388" t="str">
        <f>"119799"</f>
        <v>119799</v>
      </c>
    </row>
    <row r="4389" spans="1:11" x14ac:dyDescent="0.25">
      <c r="A4389">
        <v>2023</v>
      </c>
      <c r="B4389" t="s">
        <v>8817</v>
      </c>
      <c r="C4389" t="s">
        <v>8818</v>
      </c>
      <c r="D4389" t="s">
        <v>19</v>
      </c>
      <c r="E4389" t="s">
        <v>20</v>
      </c>
      <c r="F4389" t="str">
        <f>"43606-1854"</f>
        <v>43606-1854</v>
      </c>
      <c r="G4389" t="str">
        <f>"637573"</f>
        <v>637573</v>
      </c>
      <c r="H4389" s="2">
        <f>10</f>
        <v>10</v>
      </c>
      <c r="I4389" t="s">
        <v>27</v>
      </c>
      <c r="J4389" t="s">
        <v>61</v>
      </c>
      <c r="K4389" t="str">
        <f>"120642"</f>
        <v>120642</v>
      </c>
    </row>
    <row r="4390" spans="1:11" x14ac:dyDescent="0.25">
      <c r="A4390">
        <v>2023</v>
      </c>
      <c r="B4390" t="s">
        <v>8819</v>
      </c>
      <c r="C4390" t="s">
        <v>8820</v>
      </c>
      <c r="D4390" t="s">
        <v>19</v>
      </c>
      <c r="E4390" t="s">
        <v>20</v>
      </c>
      <c r="F4390" t="str">
        <f>"43615"</f>
        <v>43615</v>
      </c>
      <c r="G4390" t="str">
        <f>"589332"</f>
        <v>589332</v>
      </c>
      <c r="H4390" s="2">
        <f>7.12</f>
        <v>7.12</v>
      </c>
      <c r="I4390" t="s">
        <v>519</v>
      </c>
      <c r="J4390" t="s">
        <v>519</v>
      </c>
      <c r="K4390" t="str">
        <f>"15097"</f>
        <v>15097</v>
      </c>
    </row>
    <row r="4391" spans="1:11" x14ac:dyDescent="0.25">
      <c r="A4391">
        <v>2023</v>
      </c>
      <c r="B4391" t="s">
        <v>8866</v>
      </c>
      <c r="C4391" t="s">
        <v>8867</v>
      </c>
      <c r="D4391" t="s">
        <v>323</v>
      </c>
      <c r="E4391" t="s">
        <v>20</v>
      </c>
      <c r="F4391" t="str">
        <f>"43571-9799"</f>
        <v>43571-9799</v>
      </c>
      <c r="G4391" t="str">
        <f>"637573"</f>
        <v>637573</v>
      </c>
      <c r="H4391" s="2">
        <f>10</f>
        <v>10</v>
      </c>
      <c r="I4391" t="s">
        <v>27</v>
      </c>
      <c r="J4391" t="s">
        <v>61</v>
      </c>
      <c r="K4391" t="str">
        <f>"120452"</f>
        <v>120452</v>
      </c>
    </row>
    <row r="4392" spans="1:11" x14ac:dyDescent="0.25">
      <c r="A4392">
        <v>2023</v>
      </c>
      <c r="B4392" t="s">
        <v>8890</v>
      </c>
      <c r="C4392" t="s">
        <v>8891</v>
      </c>
      <c r="D4392" t="s">
        <v>19</v>
      </c>
      <c r="E4392" t="s">
        <v>20</v>
      </c>
      <c r="F4392" t="str">
        <f>"43612-1726"</f>
        <v>43612-1726</v>
      </c>
      <c r="G4392" t="str">
        <f>"637573"</f>
        <v>637573</v>
      </c>
      <c r="H4392" s="2">
        <f>10</f>
        <v>10</v>
      </c>
      <c r="I4392" t="s">
        <v>27</v>
      </c>
      <c r="J4392" t="s">
        <v>61</v>
      </c>
      <c r="K4392" t="str">
        <f>"120614"</f>
        <v>120614</v>
      </c>
    </row>
    <row r="4393" spans="1:11" x14ac:dyDescent="0.25">
      <c r="A4393">
        <v>2023</v>
      </c>
      <c r="B4393" t="s">
        <v>8916</v>
      </c>
      <c r="C4393" t="s">
        <v>8917</v>
      </c>
      <c r="D4393" t="s">
        <v>19</v>
      </c>
      <c r="E4393" t="s">
        <v>20</v>
      </c>
      <c r="F4393" t="str">
        <f>"43612"</f>
        <v>43612</v>
      </c>
      <c r="G4393" t="str">
        <f>"Je12142023"</f>
        <v>Je12142023</v>
      </c>
      <c r="H4393" s="2">
        <f>208.16</f>
        <v>208.16</v>
      </c>
      <c r="I4393" t="s">
        <v>15</v>
      </c>
      <c r="J4393" t="s">
        <v>176</v>
      </c>
      <c r="K4393" t="str">
        <f>"60100501"</f>
        <v>60100501</v>
      </c>
    </row>
    <row r="4394" spans="1:11" x14ac:dyDescent="0.25">
      <c r="A4394">
        <v>2023</v>
      </c>
      <c r="B4394" t="s">
        <v>8938</v>
      </c>
      <c r="C4394" t="s">
        <v>8939</v>
      </c>
      <c r="D4394" t="s">
        <v>19</v>
      </c>
      <c r="E4394" t="s">
        <v>20</v>
      </c>
      <c r="F4394" t="str">
        <f>"43605"</f>
        <v>43605</v>
      </c>
      <c r="G4394" t="str">
        <f>"Je012023"</f>
        <v>Je012023</v>
      </c>
      <c r="H4394" s="2">
        <f>20.58</f>
        <v>20.58</v>
      </c>
      <c r="I4394" t="s">
        <v>15</v>
      </c>
      <c r="J4394" t="s">
        <v>397</v>
      </c>
      <c r="K4394" t="str">
        <f>"60061489"</f>
        <v>60061489</v>
      </c>
    </row>
    <row r="4395" spans="1:11" x14ac:dyDescent="0.25">
      <c r="A4395">
        <v>2023</v>
      </c>
      <c r="B4395" t="s">
        <v>8953</v>
      </c>
      <c r="C4395" t="s">
        <v>8954</v>
      </c>
      <c r="D4395" t="s">
        <v>13</v>
      </c>
      <c r="E4395" t="s">
        <v>14</v>
      </c>
      <c r="F4395" t="str">
        <f>"49267"</f>
        <v>49267</v>
      </c>
      <c r="G4395" t="str">
        <f t="shared" ref="G4395:G4400" si="146">"632482"</f>
        <v>632482</v>
      </c>
      <c r="H4395" s="2">
        <f>17.19</f>
        <v>17.190000000000001</v>
      </c>
      <c r="I4395" t="s">
        <v>27</v>
      </c>
      <c r="J4395" t="s">
        <v>157</v>
      </c>
      <c r="K4395" t="str">
        <f>"522049"</f>
        <v>522049</v>
      </c>
    </row>
    <row r="4396" spans="1:11" x14ac:dyDescent="0.25">
      <c r="A4396">
        <v>2023</v>
      </c>
      <c r="B4396" t="s">
        <v>8960</v>
      </c>
      <c r="C4396" t="s">
        <v>2634</v>
      </c>
      <c r="D4396" t="s">
        <v>19</v>
      </c>
      <c r="E4396" t="s">
        <v>20</v>
      </c>
      <c r="F4396" t="str">
        <f>"43615"</f>
        <v>43615</v>
      </c>
      <c r="G4396" t="str">
        <f t="shared" si="146"/>
        <v>632482</v>
      </c>
      <c r="H4396" s="2">
        <f>17.19</f>
        <v>17.190000000000001</v>
      </c>
      <c r="I4396" t="s">
        <v>27</v>
      </c>
      <c r="J4396" t="s">
        <v>157</v>
      </c>
      <c r="K4396" t="str">
        <f>"522050"</f>
        <v>522050</v>
      </c>
    </row>
    <row r="4397" spans="1:11" x14ac:dyDescent="0.25">
      <c r="A4397">
        <v>2023</v>
      </c>
      <c r="B4397" t="s">
        <v>8960</v>
      </c>
      <c r="C4397" t="s">
        <v>2634</v>
      </c>
      <c r="D4397" t="s">
        <v>19</v>
      </c>
      <c r="E4397" t="s">
        <v>20</v>
      </c>
      <c r="F4397" t="str">
        <f>"43615"</f>
        <v>43615</v>
      </c>
      <c r="G4397" t="str">
        <f t="shared" si="146"/>
        <v>632482</v>
      </c>
      <c r="H4397" s="2">
        <f>17.19</f>
        <v>17.190000000000001</v>
      </c>
      <c r="I4397" t="s">
        <v>27</v>
      </c>
      <c r="J4397" t="s">
        <v>157</v>
      </c>
      <c r="K4397" t="str">
        <f>"522051"</f>
        <v>522051</v>
      </c>
    </row>
    <row r="4398" spans="1:11" x14ac:dyDescent="0.25">
      <c r="A4398">
        <v>2023</v>
      </c>
      <c r="B4398" t="s">
        <v>8961</v>
      </c>
      <c r="C4398" t="s">
        <v>8962</v>
      </c>
      <c r="D4398" t="s">
        <v>19</v>
      </c>
      <c r="E4398" t="s">
        <v>20</v>
      </c>
      <c r="F4398" t="str">
        <f>"43613"</f>
        <v>43613</v>
      </c>
      <c r="G4398" t="str">
        <f t="shared" si="146"/>
        <v>632482</v>
      </c>
      <c r="H4398" s="2">
        <f>17.19</f>
        <v>17.190000000000001</v>
      </c>
      <c r="I4398" t="s">
        <v>27</v>
      </c>
      <c r="J4398" t="s">
        <v>157</v>
      </c>
      <c r="K4398" t="str">
        <f>"522054"</f>
        <v>522054</v>
      </c>
    </row>
    <row r="4399" spans="1:11" x14ac:dyDescent="0.25">
      <c r="A4399">
        <v>2023</v>
      </c>
      <c r="B4399" t="s">
        <v>8963</v>
      </c>
      <c r="C4399" t="s">
        <v>2634</v>
      </c>
      <c r="D4399" t="s">
        <v>19</v>
      </c>
      <c r="E4399" t="s">
        <v>20</v>
      </c>
      <c r="F4399" t="str">
        <f>"43615"</f>
        <v>43615</v>
      </c>
      <c r="G4399" t="str">
        <f t="shared" si="146"/>
        <v>632482</v>
      </c>
      <c r="H4399" s="2">
        <f>17.19</f>
        <v>17.190000000000001</v>
      </c>
      <c r="I4399" t="s">
        <v>27</v>
      </c>
      <c r="J4399" t="s">
        <v>157</v>
      </c>
      <c r="K4399" t="str">
        <f>"522055"</f>
        <v>522055</v>
      </c>
    </row>
    <row r="4400" spans="1:11" x14ac:dyDescent="0.25">
      <c r="A4400">
        <v>2023</v>
      </c>
      <c r="B4400" t="s">
        <v>8964</v>
      </c>
      <c r="C4400" t="s">
        <v>8965</v>
      </c>
      <c r="D4400" t="s">
        <v>8966</v>
      </c>
      <c r="E4400" t="s">
        <v>14</v>
      </c>
      <c r="F4400" t="str">
        <f>"48144"</f>
        <v>48144</v>
      </c>
      <c r="G4400" t="str">
        <f t="shared" si="146"/>
        <v>632482</v>
      </c>
      <c r="H4400" s="2">
        <f>160</f>
        <v>160</v>
      </c>
      <c r="I4400" t="s">
        <v>27</v>
      </c>
      <c r="J4400" t="s">
        <v>157</v>
      </c>
      <c r="K4400" t="str">
        <f>"521172"</f>
        <v>521172</v>
      </c>
    </row>
    <row r="4401" spans="1:11" x14ac:dyDescent="0.25">
      <c r="A4401">
        <v>2023</v>
      </c>
      <c r="B4401" t="s">
        <v>8967</v>
      </c>
      <c r="C4401" t="s">
        <v>8968</v>
      </c>
      <c r="D4401" t="s">
        <v>19</v>
      </c>
      <c r="E4401" t="s">
        <v>20</v>
      </c>
      <c r="F4401" t="str">
        <f>"43614"</f>
        <v>43614</v>
      </c>
      <c r="G4401" t="str">
        <f>"Je012023"</f>
        <v>Je012023</v>
      </c>
      <c r="H4401" s="2">
        <f>15</f>
        <v>15</v>
      </c>
      <c r="I4401" t="s">
        <v>15</v>
      </c>
      <c r="J4401" t="s">
        <v>397</v>
      </c>
      <c r="K4401" t="str">
        <f>"60060228"</f>
        <v>60060228</v>
      </c>
    </row>
    <row r="4402" spans="1:11" x14ac:dyDescent="0.25">
      <c r="A4402">
        <v>2023</v>
      </c>
      <c r="B4402" t="s">
        <v>8979</v>
      </c>
      <c r="C4402" t="s">
        <v>8980</v>
      </c>
      <c r="D4402" t="s">
        <v>899</v>
      </c>
      <c r="E4402" t="s">
        <v>20</v>
      </c>
      <c r="F4402" t="str">
        <f>"43412"</f>
        <v>43412</v>
      </c>
      <c r="G4402" t="str">
        <f>"Je12142023"</f>
        <v>Je12142023</v>
      </c>
      <c r="H4402" s="2">
        <f>1.9</f>
        <v>1.9</v>
      </c>
      <c r="I4402" t="s">
        <v>15</v>
      </c>
      <c r="J4402" t="s">
        <v>176</v>
      </c>
      <c r="K4402" t="str">
        <f>"60098322"</f>
        <v>60098322</v>
      </c>
    </row>
    <row r="4403" spans="1:11" x14ac:dyDescent="0.25">
      <c r="A4403">
        <v>2023</v>
      </c>
      <c r="B4403" t="s">
        <v>8979</v>
      </c>
      <c r="C4403" t="s">
        <v>8980</v>
      </c>
      <c r="D4403" t="s">
        <v>899</v>
      </c>
      <c r="E4403" t="s">
        <v>20</v>
      </c>
      <c r="F4403" t="str">
        <f>"43412"</f>
        <v>43412</v>
      </c>
      <c r="G4403" t="str">
        <f>"Je12142023"</f>
        <v>Je12142023</v>
      </c>
      <c r="H4403" s="2">
        <f>65.94</f>
        <v>65.94</v>
      </c>
      <c r="I4403" t="s">
        <v>15</v>
      </c>
      <c r="J4403" t="s">
        <v>176</v>
      </c>
      <c r="K4403" t="str">
        <f>"60098323"</f>
        <v>60098323</v>
      </c>
    </row>
    <row r="4404" spans="1:11" x14ac:dyDescent="0.25">
      <c r="A4404">
        <v>2023</v>
      </c>
      <c r="B4404" t="s">
        <v>8984</v>
      </c>
      <c r="C4404" t="s">
        <v>8985</v>
      </c>
      <c r="D4404" t="s">
        <v>125</v>
      </c>
      <c r="E4404" t="s">
        <v>20</v>
      </c>
      <c r="F4404" t="str">
        <f>"43537"</f>
        <v>43537</v>
      </c>
      <c r="G4404" t="str">
        <f>"632482"</f>
        <v>632482</v>
      </c>
      <c r="H4404" s="2">
        <f>112.5</f>
        <v>112.5</v>
      </c>
      <c r="I4404" t="s">
        <v>27</v>
      </c>
      <c r="J4404" t="s">
        <v>157</v>
      </c>
      <c r="K4404" t="str">
        <f>"522660"</f>
        <v>522660</v>
      </c>
    </row>
    <row r="4405" spans="1:11" x14ac:dyDescent="0.25">
      <c r="A4405">
        <v>2023</v>
      </c>
      <c r="B4405" t="s">
        <v>8984</v>
      </c>
      <c r="C4405" t="s">
        <v>8985</v>
      </c>
      <c r="D4405" t="s">
        <v>125</v>
      </c>
      <c r="E4405" t="s">
        <v>20</v>
      </c>
      <c r="F4405" t="str">
        <f>"43537"</f>
        <v>43537</v>
      </c>
      <c r="G4405" t="str">
        <f>"632482"</f>
        <v>632482</v>
      </c>
      <c r="H4405" s="2">
        <f>112.5</f>
        <v>112.5</v>
      </c>
      <c r="I4405" t="s">
        <v>27</v>
      </c>
      <c r="J4405" t="s">
        <v>157</v>
      </c>
      <c r="K4405" t="str">
        <f>"522375"</f>
        <v>522375</v>
      </c>
    </row>
    <row r="4406" spans="1:11" x14ac:dyDescent="0.25">
      <c r="A4406">
        <v>2023</v>
      </c>
      <c r="B4406" t="s">
        <v>8986</v>
      </c>
      <c r="C4406" t="s">
        <v>8987</v>
      </c>
      <c r="D4406" t="s">
        <v>19</v>
      </c>
      <c r="E4406" t="s">
        <v>20</v>
      </c>
      <c r="F4406" t="str">
        <f>"43604"</f>
        <v>43604</v>
      </c>
      <c r="G4406" t="str">
        <f>"632482"</f>
        <v>632482</v>
      </c>
      <c r="H4406" s="2">
        <f>20</f>
        <v>20</v>
      </c>
      <c r="I4406" t="s">
        <v>27</v>
      </c>
      <c r="J4406" t="s">
        <v>157</v>
      </c>
      <c r="K4406" t="str">
        <f>"521238"</f>
        <v>521238</v>
      </c>
    </row>
    <row r="4407" spans="1:11" x14ac:dyDescent="0.25">
      <c r="A4407">
        <v>2023</v>
      </c>
      <c r="B4407" t="s">
        <v>8990</v>
      </c>
      <c r="C4407" t="s">
        <v>8991</v>
      </c>
      <c r="D4407" t="s">
        <v>8992</v>
      </c>
      <c r="E4407" t="s">
        <v>20</v>
      </c>
      <c r="F4407" t="str">
        <f>"44122"</f>
        <v>44122</v>
      </c>
      <c r="G4407" t="str">
        <f>"632482"</f>
        <v>632482</v>
      </c>
      <c r="H4407" s="2">
        <f>359.1</f>
        <v>359.1</v>
      </c>
      <c r="I4407" t="s">
        <v>27</v>
      </c>
      <c r="J4407" t="s">
        <v>157</v>
      </c>
      <c r="K4407" t="str">
        <f>"522370"</f>
        <v>522370</v>
      </c>
    </row>
    <row r="4408" spans="1:11" x14ac:dyDescent="0.25">
      <c r="A4408">
        <v>2023</v>
      </c>
      <c r="B4408" t="s">
        <v>8993</v>
      </c>
      <c r="C4408" t="s">
        <v>8994</v>
      </c>
      <c r="D4408" t="s">
        <v>111</v>
      </c>
      <c r="E4408" t="s">
        <v>20</v>
      </c>
      <c r="F4408" t="str">
        <f>"43229"</f>
        <v>43229</v>
      </c>
      <c r="G4408" t="str">
        <f>"632482"</f>
        <v>632482</v>
      </c>
      <c r="H4408" s="2">
        <f>57</f>
        <v>57</v>
      </c>
      <c r="I4408" t="s">
        <v>27</v>
      </c>
      <c r="J4408" t="s">
        <v>157</v>
      </c>
      <c r="K4408" t="str">
        <f>"524117"</f>
        <v>524117</v>
      </c>
    </row>
    <row r="4409" spans="1:11" x14ac:dyDescent="0.25">
      <c r="A4409">
        <v>2023</v>
      </c>
      <c r="B4409" t="s">
        <v>8999</v>
      </c>
      <c r="C4409" t="s">
        <v>9000</v>
      </c>
      <c r="D4409" t="s">
        <v>111</v>
      </c>
      <c r="E4409" t="s">
        <v>20</v>
      </c>
      <c r="F4409" t="str">
        <f>"43215"</f>
        <v>43215</v>
      </c>
      <c r="G4409" t="str">
        <f>"Je04112023"</f>
        <v>Je04112023</v>
      </c>
      <c r="H4409" s="2">
        <f>400</f>
        <v>400</v>
      </c>
      <c r="I4409" t="s">
        <v>15</v>
      </c>
      <c r="J4409" t="s">
        <v>412</v>
      </c>
      <c r="K4409" t="str">
        <f>"60070710"</f>
        <v>60070710</v>
      </c>
    </row>
    <row r="4410" spans="1:11" x14ac:dyDescent="0.25">
      <c r="A4410">
        <v>2023</v>
      </c>
      <c r="B4410" t="s">
        <v>9001</v>
      </c>
      <c r="C4410" t="s">
        <v>9002</v>
      </c>
      <c r="D4410" t="s">
        <v>9003</v>
      </c>
      <c r="E4410" t="s">
        <v>20</v>
      </c>
      <c r="F4410" t="str">
        <f>"44512-1633"</f>
        <v>44512-1633</v>
      </c>
      <c r="G4410" t="str">
        <f>"Je012023"</f>
        <v>Je012023</v>
      </c>
      <c r="H4410" s="2">
        <f>275</f>
        <v>275</v>
      </c>
      <c r="I4410" t="s">
        <v>15</v>
      </c>
      <c r="J4410" t="s">
        <v>397</v>
      </c>
      <c r="K4410" t="str">
        <f>"60059890"</f>
        <v>60059890</v>
      </c>
    </row>
    <row r="4411" spans="1:11" x14ac:dyDescent="0.25">
      <c r="A4411">
        <v>2023</v>
      </c>
      <c r="B4411" t="s">
        <v>9001</v>
      </c>
      <c r="C4411" t="s">
        <v>9002</v>
      </c>
      <c r="D4411" t="s">
        <v>9003</v>
      </c>
      <c r="E4411" t="s">
        <v>20</v>
      </c>
      <c r="F4411" t="str">
        <f>"44512-1633"</f>
        <v>44512-1633</v>
      </c>
      <c r="G4411" t="str">
        <f>"Je012023"</f>
        <v>Je012023</v>
      </c>
      <c r="H4411" s="2">
        <f>275</f>
        <v>275</v>
      </c>
      <c r="I4411" t="s">
        <v>15</v>
      </c>
      <c r="J4411" t="s">
        <v>397</v>
      </c>
      <c r="K4411" t="str">
        <f>"60059889"</f>
        <v>60059889</v>
      </c>
    </row>
    <row r="4412" spans="1:11" x14ac:dyDescent="0.25">
      <c r="A4412">
        <v>2023</v>
      </c>
      <c r="B4412" t="s">
        <v>9001</v>
      </c>
      <c r="C4412" t="s">
        <v>9002</v>
      </c>
      <c r="D4412" t="s">
        <v>9003</v>
      </c>
      <c r="E4412" t="s">
        <v>20</v>
      </c>
      <c r="F4412" t="str">
        <f>"44512-1633"</f>
        <v>44512-1633</v>
      </c>
      <c r="G4412" t="str">
        <f>"Je012023"</f>
        <v>Je012023</v>
      </c>
      <c r="H4412" s="2">
        <f>275</f>
        <v>275</v>
      </c>
      <c r="I4412" t="s">
        <v>15</v>
      </c>
      <c r="J4412" t="s">
        <v>397</v>
      </c>
      <c r="K4412" t="str">
        <f>"60059891"</f>
        <v>60059891</v>
      </c>
    </row>
    <row r="4413" spans="1:11" x14ac:dyDescent="0.25">
      <c r="A4413">
        <v>2023</v>
      </c>
      <c r="B4413" t="s">
        <v>9001</v>
      </c>
      <c r="C4413" t="s">
        <v>9002</v>
      </c>
      <c r="D4413" t="s">
        <v>9003</v>
      </c>
      <c r="E4413" t="s">
        <v>20</v>
      </c>
      <c r="F4413" t="str">
        <f>"44512-1633"</f>
        <v>44512-1633</v>
      </c>
      <c r="G4413" t="str">
        <f>"Je012023"</f>
        <v>Je012023</v>
      </c>
      <c r="H4413" s="2">
        <f>275</f>
        <v>275</v>
      </c>
      <c r="I4413" t="s">
        <v>15</v>
      </c>
      <c r="J4413" t="s">
        <v>397</v>
      </c>
      <c r="K4413" t="str">
        <f>"60059888"</f>
        <v>60059888</v>
      </c>
    </row>
    <row r="4414" spans="1:11" x14ac:dyDescent="0.25">
      <c r="A4414">
        <v>2023</v>
      </c>
      <c r="B4414" t="s">
        <v>9001</v>
      </c>
      <c r="C4414" t="s">
        <v>9002</v>
      </c>
      <c r="D4414" t="s">
        <v>9003</v>
      </c>
      <c r="E4414" t="s">
        <v>20</v>
      </c>
      <c r="F4414" t="str">
        <f>"44512-1633"</f>
        <v>44512-1633</v>
      </c>
      <c r="G4414" t="str">
        <f>"Je012023"</f>
        <v>Je012023</v>
      </c>
      <c r="H4414" s="2">
        <f>275</f>
        <v>275</v>
      </c>
      <c r="I4414" t="s">
        <v>15</v>
      </c>
      <c r="J4414" t="s">
        <v>397</v>
      </c>
      <c r="K4414" t="str">
        <f>"60059892"</f>
        <v>60059892</v>
      </c>
    </row>
    <row r="4415" spans="1:11" x14ac:dyDescent="0.25">
      <c r="A4415">
        <v>2023</v>
      </c>
      <c r="B4415" t="s">
        <v>9007</v>
      </c>
      <c r="C4415" t="s">
        <v>9011</v>
      </c>
      <c r="D4415" t="s">
        <v>111</v>
      </c>
      <c r="E4415" t="s">
        <v>20</v>
      </c>
      <c r="F4415" t="str">
        <f>"43229"</f>
        <v>43229</v>
      </c>
      <c r="G4415" t="str">
        <f>"632482"</f>
        <v>632482</v>
      </c>
      <c r="H4415" s="2">
        <f>15</f>
        <v>15</v>
      </c>
      <c r="I4415" t="s">
        <v>27</v>
      </c>
      <c r="J4415" t="s">
        <v>157</v>
      </c>
      <c r="K4415" t="str">
        <f>"523052"</f>
        <v>523052</v>
      </c>
    </row>
    <row r="4416" spans="1:11" x14ac:dyDescent="0.25">
      <c r="A4416">
        <v>2023</v>
      </c>
      <c r="B4416" t="s">
        <v>9019</v>
      </c>
      <c r="C4416" t="s">
        <v>8985</v>
      </c>
      <c r="D4416" t="s">
        <v>125</v>
      </c>
      <c r="E4416" t="s">
        <v>20</v>
      </c>
      <c r="F4416" t="str">
        <f>"43537"</f>
        <v>43537</v>
      </c>
      <c r="G4416" t="str">
        <f>"632482"</f>
        <v>632482</v>
      </c>
      <c r="H4416" s="2">
        <f>6.93</f>
        <v>6.93</v>
      </c>
      <c r="I4416" t="s">
        <v>27</v>
      </c>
      <c r="J4416" t="s">
        <v>157</v>
      </c>
      <c r="K4416" t="str">
        <f>"521627"</f>
        <v>521627</v>
      </c>
    </row>
    <row r="4417" spans="1:11" x14ac:dyDescent="0.25">
      <c r="A4417">
        <v>2023</v>
      </c>
      <c r="B4417" t="s">
        <v>9020</v>
      </c>
      <c r="C4417" t="s">
        <v>9021</v>
      </c>
      <c r="D4417" t="s">
        <v>19</v>
      </c>
      <c r="E4417" t="s">
        <v>20</v>
      </c>
      <c r="F4417" t="str">
        <f>"43697"</f>
        <v>43697</v>
      </c>
      <c r="G4417" t="str">
        <f>"632482"</f>
        <v>632482</v>
      </c>
      <c r="H4417" s="2">
        <f>583.2</f>
        <v>583.20000000000005</v>
      </c>
      <c r="I4417" t="s">
        <v>27</v>
      </c>
      <c r="J4417" t="s">
        <v>157</v>
      </c>
      <c r="K4417" t="str">
        <f>"523043"</f>
        <v>523043</v>
      </c>
    </row>
    <row r="4418" spans="1:11" x14ac:dyDescent="0.25">
      <c r="A4418">
        <v>2023</v>
      </c>
      <c r="B4418" t="s">
        <v>9022</v>
      </c>
      <c r="C4418" t="s">
        <v>9023</v>
      </c>
      <c r="D4418" t="s">
        <v>9024</v>
      </c>
      <c r="E4418" t="s">
        <v>20</v>
      </c>
      <c r="F4418" t="str">
        <f>"43026"</f>
        <v>43026</v>
      </c>
      <c r="G4418" t="str">
        <f>"Je06132023"</f>
        <v>Je06132023</v>
      </c>
      <c r="H4418" s="2">
        <f>269.28</f>
        <v>269.27999999999997</v>
      </c>
      <c r="I4418" t="s">
        <v>15</v>
      </c>
      <c r="J4418" t="s">
        <v>16</v>
      </c>
      <c r="K4418" t="str">
        <f>"60082513"</f>
        <v>60082513</v>
      </c>
    </row>
    <row r="4419" spans="1:11" x14ac:dyDescent="0.25">
      <c r="A4419">
        <v>2023</v>
      </c>
      <c r="B4419" t="s">
        <v>9022</v>
      </c>
      <c r="C4419" t="s">
        <v>9025</v>
      </c>
      <c r="D4419" t="s">
        <v>9024</v>
      </c>
      <c r="E4419" t="s">
        <v>20</v>
      </c>
      <c r="F4419" t="str">
        <f>"43026-9849"</f>
        <v>43026-9849</v>
      </c>
      <c r="G4419" t="str">
        <f>"Je012023"</f>
        <v>Je012023</v>
      </c>
      <c r="H4419" s="2">
        <f>293.31</f>
        <v>293.31</v>
      </c>
      <c r="I4419" t="s">
        <v>15</v>
      </c>
      <c r="J4419" t="s">
        <v>397</v>
      </c>
      <c r="K4419" t="str">
        <f>"60062906"</f>
        <v>60062906</v>
      </c>
    </row>
    <row r="4420" spans="1:11" x14ac:dyDescent="0.25">
      <c r="A4420">
        <v>2023</v>
      </c>
      <c r="B4420" t="s">
        <v>9031</v>
      </c>
      <c r="C4420" t="s">
        <v>9032</v>
      </c>
      <c r="D4420" t="s">
        <v>19</v>
      </c>
      <c r="E4420" t="s">
        <v>20</v>
      </c>
      <c r="F4420" t="str">
        <f>"43613"</f>
        <v>43613</v>
      </c>
      <c r="G4420" t="str">
        <f>"Je12142023"</f>
        <v>Je12142023</v>
      </c>
      <c r="H4420" s="2">
        <f>273.12</f>
        <v>273.12</v>
      </c>
      <c r="I4420" t="s">
        <v>15</v>
      </c>
      <c r="J4420" t="s">
        <v>176</v>
      </c>
      <c r="K4420" t="str">
        <f>"60098058"</f>
        <v>60098058</v>
      </c>
    </row>
    <row r="4421" spans="1:11" x14ac:dyDescent="0.25">
      <c r="A4421">
        <v>2023</v>
      </c>
      <c r="B4421" t="s">
        <v>9035</v>
      </c>
      <c r="C4421" t="s">
        <v>9036</v>
      </c>
      <c r="D4421" t="s">
        <v>19</v>
      </c>
      <c r="E4421" t="s">
        <v>20</v>
      </c>
      <c r="F4421" t="str">
        <f>"43611"</f>
        <v>43611</v>
      </c>
      <c r="G4421" t="str">
        <f>"632482"</f>
        <v>632482</v>
      </c>
      <c r="H4421" s="2">
        <f>1663.03</f>
        <v>1663.03</v>
      </c>
      <c r="I4421" t="s">
        <v>27</v>
      </c>
      <c r="J4421" t="s">
        <v>157</v>
      </c>
      <c r="K4421" t="str">
        <f>"521101"</f>
        <v>521101</v>
      </c>
    </row>
    <row r="4422" spans="1:11" x14ac:dyDescent="0.25">
      <c r="A4422">
        <v>2023</v>
      </c>
      <c r="B4422" t="s">
        <v>9039</v>
      </c>
      <c r="C4422" t="s">
        <v>9040</v>
      </c>
      <c r="D4422" t="s">
        <v>19</v>
      </c>
      <c r="E4422" t="s">
        <v>20</v>
      </c>
      <c r="F4422" t="str">
        <f>"43611"</f>
        <v>43611</v>
      </c>
      <c r="G4422" t="str">
        <f>"Je12142023"</f>
        <v>Je12142023</v>
      </c>
      <c r="H4422" s="2">
        <f>90.99</f>
        <v>90.99</v>
      </c>
      <c r="I4422" t="s">
        <v>15</v>
      </c>
      <c r="J4422" t="s">
        <v>176</v>
      </c>
      <c r="K4422" t="str">
        <f>"60096224"</f>
        <v>60096224</v>
      </c>
    </row>
    <row r="4423" spans="1:11" x14ac:dyDescent="0.25">
      <c r="A4423">
        <v>2023</v>
      </c>
      <c r="B4423" t="s">
        <v>9041</v>
      </c>
      <c r="C4423" t="s">
        <v>9042</v>
      </c>
      <c r="D4423" t="s">
        <v>50</v>
      </c>
      <c r="E4423" t="s">
        <v>20</v>
      </c>
      <c r="F4423" t="str">
        <f>"43560"</f>
        <v>43560</v>
      </c>
      <c r="G4423" t="str">
        <f>"Je012023"</f>
        <v>Je012023</v>
      </c>
      <c r="H4423" s="2">
        <f>101.13</f>
        <v>101.13</v>
      </c>
      <c r="I4423" t="s">
        <v>15</v>
      </c>
      <c r="J4423" t="s">
        <v>397</v>
      </c>
      <c r="K4423" t="str">
        <f>"60061490"</f>
        <v>60061490</v>
      </c>
    </row>
    <row r="4424" spans="1:11" x14ac:dyDescent="0.25">
      <c r="A4424">
        <v>2023</v>
      </c>
      <c r="B4424" t="s">
        <v>9046</v>
      </c>
      <c r="C4424" t="s">
        <v>9047</v>
      </c>
      <c r="D4424" t="s">
        <v>19</v>
      </c>
      <c r="E4424" t="s">
        <v>20</v>
      </c>
      <c r="F4424" t="str">
        <f>"43615"</f>
        <v>43615</v>
      </c>
      <c r="G4424" t="str">
        <f>"589300"</f>
        <v>589300</v>
      </c>
      <c r="H4424" s="2">
        <f>10</f>
        <v>10</v>
      </c>
      <c r="I4424" t="s">
        <v>148</v>
      </c>
      <c r="J4424" t="s">
        <v>9048</v>
      </c>
      <c r="K4424" t="str">
        <f>"26023"</f>
        <v>26023</v>
      </c>
    </row>
    <row r="4425" spans="1:11" x14ac:dyDescent="0.25">
      <c r="A4425">
        <v>2023</v>
      </c>
      <c r="B4425" t="s">
        <v>9058</v>
      </c>
      <c r="C4425" t="s">
        <v>184</v>
      </c>
      <c r="D4425" t="s">
        <v>19</v>
      </c>
      <c r="E4425" t="s">
        <v>20</v>
      </c>
      <c r="F4425" t="str">
        <f>"43614"</f>
        <v>43614</v>
      </c>
      <c r="G4425" t="str">
        <f>"Je10162023"</f>
        <v>Je10162023</v>
      </c>
      <c r="H4425" s="2">
        <f>49.89</f>
        <v>49.89</v>
      </c>
      <c r="I4425" t="s">
        <v>15</v>
      </c>
      <c r="J4425" t="s">
        <v>93</v>
      </c>
      <c r="K4425" t="str">
        <f>"60089169"</f>
        <v>60089169</v>
      </c>
    </row>
    <row r="4426" spans="1:11" x14ac:dyDescent="0.25">
      <c r="A4426">
        <v>2023</v>
      </c>
      <c r="B4426" t="s">
        <v>9059</v>
      </c>
      <c r="C4426" t="s">
        <v>9061</v>
      </c>
      <c r="D4426" t="s">
        <v>19</v>
      </c>
      <c r="E4426" t="s">
        <v>20</v>
      </c>
      <c r="F4426" t="str">
        <f>"43604"</f>
        <v>43604</v>
      </c>
      <c r="G4426" t="str">
        <f>"638581"</f>
        <v>638581</v>
      </c>
      <c r="H4426" s="2">
        <f>6.33</f>
        <v>6.33</v>
      </c>
      <c r="I4426" t="s">
        <v>27</v>
      </c>
      <c r="J4426" t="s">
        <v>61</v>
      </c>
      <c r="K4426" t="str">
        <f>"334261"</f>
        <v>334261</v>
      </c>
    </row>
    <row r="4427" spans="1:11" x14ac:dyDescent="0.25">
      <c r="A4427">
        <v>2023</v>
      </c>
      <c r="B4427" t="s">
        <v>9068</v>
      </c>
      <c r="C4427" t="s">
        <v>9069</v>
      </c>
      <c r="D4427" t="s">
        <v>19</v>
      </c>
      <c r="E4427" t="s">
        <v>20</v>
      </c>
      <c r="F4427" t="str">
        <f>"43605"</f>
        <v>43605</v>
      </c>
      <c r="G4427" t="str">
        <f>"Je12142023"</f>
        <v>Je12142023</v>
      </c>
      <c r="H4427" s="2">
        <f>58.24</f>
        <v>58.24</v>
      </c>
      <c r="I4427" t="s">
        <v>15</v>
      </c>
      <c r="J4427" t="s">
        <v>176</v>
      </c>
      <c r="K4427" t="str">
        <f>"60096112"</f>
        <v>60096112</v>
      </c>
    </row>
    <row r="4428" spans="1:11" x14ac:dyDescent="0.25">
      <c r="A4428">
        <v>2023</v>
      </c>
      <c r="B4428" t="s">
        <v>9070</v>
      </c>
      <c r="C4428" t="s">
        <v>9071</v>
      </c>
      <c r="D4428" t="s">
        <v>128</v>
      </c>
      <c r="E4428" t="s">
        <v>20</v>
      </c>
      <c r="F4428" t="str">
        <f>"43619"</f>
        <v>43619</v>
      </c>
      <c r="G4428" t="str">
        <f>"632514"</f>
        <v>632514</v>
      </c>
      <c r="H4428" s="2">
        <f>1</f>
        <v>1</v>
      </c>
      <c r="I4428" t="s">
        <v>27</v>
      </c>
      <c r="J4428" t="s">
        <v>195</v>
      </c>
      <c r="K4428" t="str">
        <f>"11004356"</f>
        <v>11004356</v>
      </c>
    </row>
    <row r="4429" spans="1:11" x14ac:dyDescent="0.25">
      <c r="A4429">
        <v>2023</v>
      </c>
      <c r="B4429" t="s">
        <v>9072</v>
      </c>
      <c r="C4429" t="s">
        <v>9073</v>
      </c>
      <c r="D4429" t="s">
        <v>1163</v>
      </c>
      <c r="E4429" t="s">
        <v>20</v>
      </c>
      <c r="F4429" t="str">
        <f>"45247"</f>
        <v>45247</v>
      </c>
      <c r="G4429" t="str">
        <f>"632483"</f>
        <v>632483</v>
      </c>
      <c r="H4429" s="2">
        <f>5000</f>
        <v>5000</v>
      </c>
      <c r="I4429" t="s">
        <v>27</v>
      </c>
      <c r="J4429" t="s">
        <v>108</v>
      </c>
      <c r="K4429" t="str">
        <f>"39291"</f>
        <v>39291</v>
      </c>
    </row>
    <row r="4430" spans="1:11" x14ac:dyDescent="0.25">
      <c r="A4430">
        <v>2023</v>
      </c>
      <c r="B4430" t="s">
        <v>9078</v>
      </c>
      <c r="C4430" t="s">
        <v>9079</v>
      </c>
      <c r="D4430" t="s">
        <v>19</v>
      </c>
      <c r="E4430" t="s">
        <v>20</v>
      </c>
      <c r="F4430" t="str">
        <f>"43611"</f>
        <v>43611</v>
      </c>
      <c r="G4430" t="str">
        <f>"632482"</f>
        <v>632482</v>
      </c>
      <c r="H4430" s="2">
        <f>5</f>
        <v>5</v>
      </c>
      <c r="I4430" t="s">
        <v>27</v>
      </c>
      <c r="J4430" t="s">
        <v>157</v>
      </c>
      <c r="K4430" t="str">
        <f>"521623"</f>
        <v>521623</v>
      </c>
    </row>
    <row r="4431" spans="1:11" x14ac:dyDescent="0.25">
      <c r="A4431">
        <v>2023</v>
      </c>
      <c r="B4431" t="s">
        <v>9097</v>
      </c>
      <c r="C4431" t="s">
        <v>4290</v>
      </c>
      <c r="D4431" t="s">
        <v>58</v>
      </c>
      <c r="E4431" t="s">
        <v>20</v>
      </c>
      <c r="F4431" t="str">
        <f>"43616"</f>
        <v>43616</v>
      </c>
      <c r="G4431" t="str">
        <f>"Je012023"</f>
        <v>Je012023</v>
      </c>
      <c r="H4431" s="2">
        <f>165</f>
        <v>165</v>
      </c>
      <c r="I4431" t="s">
        <v>15</v>
      </c>
      <c r="J4431" t="s">
        <v>397</v>
      </c>
      <c r="K4431" t="str">
        <f>"60064985"</f>
        <v>60064985</v>
      </c>
    </row>
    <row r="4432" spans="1:11" x14ac:dyDescent="0.25">
      <c r="A4432">
        <v>2023</v>
      </c>
      <c r="B4432" t="s">
        <v>9106</v>
      </c>
      <c r="C4432" t="s">
        <v>9107</v>
      </c>
      <c r="D4432" t="s">
        <v>1729</v>
      </c>
      <c r="E4432" t="s">
        <v>20</v>
      </c>
      <c r="F4432" t="str">
        <f>"45458"</f>
        <v>45458</v>
      </c>
      <c r="G4432" t="str">
        <f>"632483"</f>
        <v>632483</v>
      </c>
      <c r="H4432" s="2">
        <f>469.1</f>
        <v>469.1</v>
      </c>
      <c r="I4432" t="s">
        <v>27</v>
      </c>
      <c r="J4432" t="s">
        <v>108</v>
      </c>
      <c r="K4432" t="str">
        <f>"40855"</f>
        <v>40855</v>
      </c>
    </row>
    <row r="4433" spans="1:11" x14ac:dyDescent="0.25">
      <c r="A4433">
        <v>2023</v>
      </c>
      <c r="B4433" t="s">
        <v>9110</v>
      </c>
      <c r="C4433" t="s">
        <v>9111</v>
      </c>
      <c r="D4433" t="s">
        <v>19</v>
      </c>
      <c r="E4433" t="s">
        <v>20</v>
      </c>
      <c r="F4433" t="str">
        <f>"43612"</f>
        <v>43612</v>
      </c>
      <c r="G4433" t="str">
        <f>"632482"</f>
        <v>632482</v>
      </c>
      <c r="H4433" s="2">
        <f>60</f>
        <v>60</v>
      </c>
      <c r="I4433" t="s">
        <v>27</v>
      </c>
      <c r="J4433" t="s">
        <v>157</v>
      </c>
      <c r="K4433" t="str">
        <f>"521773"</f>
        <v>521773</v>
      </c>
    </row>
    <row r="4434" spans="1:11" x14ac:dyDescent="0.25">
      <c r="A4434">
        <v>2023</v>
      </c>
      <c r="B4434" t="s">
        <v>9110</v>
      </c>
      <c r="C4434" t="s">
        <v>9111</v>
      </c>
      <c r="D4434" t="s">
        <v>19</v>
      </c>
      <c r="E4434" t="s">
        <v>20</v>
      </c>
      <c r="F4434" t="str">
        <f>"43612"</f>
        <v>43612</v>
      </c>
      <c r="G4434" t="str">
        <f>"632482"</f>
        <v>632482</v>
      </c>
      <c r="H4434" s="2">
        <f>50</f>
        <v>50</v>
      </c>
      <c r="I4434" t="s">
        <v>27</v>
      </c>
      <c r="J4434" t="s">
        <v>157</v>
      </c>
      <c r="K4434" t="str">
        <f>"520628"</f>
        <v>520628</v>
      </c>
    </row>
    <row r="4435" spans="1:11" x14ac:dyDescent="0.25">
      <c r="A4435">
        <v>2023</v>
      </c>
      <c r="B4435" t="s">
        <v>9146</v>
      </c>
      <c r="C4435" t="s">
        <v>9147</v>
      </c>
      <c r="D4435" t="s">
        <v>19</v>
      </c>
      <c r="E4435" t="s">
        <v>20</v>
      </c>
      <c r="F4435" t="str">
        <f>"43606"</f>
        <v>43606</v>
      </c>
      <c r="G4435" t="str">
        <f>"Je06132023"</f>
        <v>Je06132023</v>
      </c>
      <c r="H4435" s="2">
        <f>20</f>
        <v>20</v>
      </c>
      <c r="I4435" t="s">
        <v>15</v>
      </c>
      <c r="J4435" t="s">
        <v>16</v>
      </c>
      <c r="K4435" t="str">
        <f>"60081769"</f>
        <v>60081769</v>
      </c>
    </row>
    <row r="4436" spans="1:11" x14ac:dyDescent="0.25">
      <c r="A4436">
        <v>2023</v>
      </c>
      <c r="B4436" t="s">
        <v>9153</v>
      </c>
      <c r="C4436" t="s">
        <v>9154</v>
      </c>
      <c r="D4436" t="s">
        <v>19</v>
      </c>
      <c r="E4436" t="s">
        <v>20</v>
      </c>
      <c r="F4436" t="str">
        <f>"43609"</f>
        <v>43609</v>
      </c>
      <c r="G4436" t="str">
        <f>"632514"</f>
        <v>632514</v>
      </c>
      <c r="H4436" s="2">
        <f>1</f>
        <v>1</v>
      </c>
      <c r="I4436" t="s">
        <v>27</v>
      </c>
      <c r="J4436" t="s">
        <v>195</v>
      </c>
      <c r="K4436" t="str">
        <f>"33011210"</f>
        <v>33011210</v>
      </c>
    </row>
    <row r="4437" spans="1:11" x14ac:dyDescent="0.25">
      <c r="A4437">
        <v>2023</v>
      </c>
      <c r="B4437" t="s">
        <v>9158</v>
      </c>
      <c r="C4437" t="s">
        <v>9159</v>
      </c>
      <c r="D4437" t="s">
        <v>50</v>
      </c>
      <c r="E4437" t="s">
        <v>20</v>
      </c>
      <c r="F4437" t="str">
        <f>"43560"</f>
        <v>43560</v>
      </c>
      <c r="G4437" t="str">
        <f>"Je12142023"</f>
        <v>Je12142023</v>
      </c>
      <c r="H4437" s="2">
        <f>35</f>
        <v>35</v>
      </c>
      <c r="I4437" t="s">
        <v>15</v>
      </c>
      <c r="J4437" t="s">
        <v>176</v>
      </c>
      <c r="K4437" t="str">
        <f>"60104225"</f>
        <v>60104225</v>
      </c>
    </row>
    <row r="4438" spans="1:11" x14ac:dyDescent="0.25">
      <c r="A4438">
        <v>2023</v>
      </c>
      <c r="B4438" t="s">
        <v>9164</v>
      </c>
      <c r="C4438" t="s">
        <v>9165</v>
      </c>
      <c r="D4438" t="s">
        <v>58</v>
      </c>
      <c r="E4438" t="s">
        <v>20</v>
      </c>
      <c r="F4438" t="str">
        <f>"43616"</f>
        <v>43616</v>
      </c>
      <c r="G4438" t="str">
        <f>"632482"</f>
        <v>632482</v>
      </c>
      <c r="H4438" s="2">
        <f>60</f>
        <v>60</v>
      </c>
      <c r="I4438" t="s">
        <v>27</v>
      </c>
      <c r="J4438" t="s">
        <v>157</v>
      </c>
      <c r="K4438" t="str">
        <f>"521667"</f>
        <v>521667</v>
      </c>
    </row>
    <row r="4439" spans="1:11" x14ac:dyDescent="0.25">
      <c r="A4439">
        <v>2023</v>
      </c>
      <c r="B4439" t="s">
        <v>9173</v>
      </c>
      <c r="C4439" t="s">
        <v>9174</v>
      </c>
      <c r="D4439" t="s">
        <v>1286</v>
      </c>
      <c r="E4439" t="s">
        <v>20</v>
      </c>
      <c r="F4439" t="str">
        <f>"43567"</f>
        <v>43567</v>
      </c>
      <c r="G4439" t="str">
        <f>"632482"</f>
        <v>632482</v>
      </c>
      <c r="H4439" s="2">
        <f>200</f>
        <v>200</v>
      </c>
      <c r="I4439" t="s">
        <v>27</v>
      </c>
      <c r="J4439" t="s">
        <v>157</v>
      </c>
      <c r="K4439" t="str">
        <f>"522870"</f>
        <v>522870</v>
      </c>
    </row>
    <row r="4440" spans="1:11" x14ac:dyDescent="0.25">
      <c r="A4440">
        <v>2023</v>
      </c>
      <c r="B4440" t="s">
        <v>9189</v>
      </c>
      <c r="C4440" t="s">
        <v>9190</v>
      </c>
      <c r="D4440" t="s">
        <v>19</v>
      </c>
      <c r="E4440" t="s">
        <v>20</v>
      </c>
      <c r="F4440" t="str">
        <f>"43607-1666"</f>
        <v>43607-1666</v>
      </c>
      <c r="G4440" t="str">
        <f>"637573"</f>
        <v>637573</v>
      </c>
      <c r="H4440" s="2">
        <f>10</f>
        <v>10</v>
      </c>
      <c r="I4440" t="s">
        <v>27</v>
      </c>
      <c r="J4440" t="s">
        <v>61</v>
      </c>
      <c r="K4440" t="str">
        <f>"120268"</f>
        <v>120268</v>
      </c>
    </row>
    <row r="4441" spans="1:11" x14ac:dyDescent="0.25">
      <c r="A4441">
        <v>2023</v>
      </c>
      <c r="B4441" t="s">
        <v>9194</v>
      </c>
      <c r="C4441" t="s">
        <v>9195</v>
      </c>
      <c r="D4441" t="s">
        <v>64</v>
      </c>
      <c r="E4441" t="s">
        <v>20</v>
      </c>
      <c r="F4441" t="str">
        <f>"43566-1069"</f>
        <v>43566-1069</v>
      </c>
      <c r="G4441" t="str">
        <f>"637573"</f>
        <v>637573</v>
      </c>
      <c r="H4441" s="2">
        <f>10</f>
        <v>10</v>
      </c>
      <c r="I4441" t="s">
        <v>27</v>
      </c>
      <c r="J4441" t="s">
        <v>61</v>
      </c>
      <c r="K4441" t="str">
        <f>"119135"</f>
        <v>119135</v>
      </c>
    </row>
    <row r="4442" spans="1:11" x14ac:dyDescent="0.25">
      <c r="A4442">
        <v>2023</v>
      </c>
      <c r="B4442" t="s">
        <v>9207</v>
      </c>
      <c r="C4442" t="s">
        <v>9208</v>
      </c>
      <c r="D4442" t="s">
        <v>19</v>
      </c>
      <c r="E4442" t="s">
        <v>20</v>
      </c>
      <c r="F4442" t="str">
        <f>"43615-3901"</f>
        <v>43615-3901</v>
      </c>
      <c r="G4442" t="str">
        <f>"637573"</f>
        <v>637573</v>
      </c>
      <c r="H4442" s="2">
        <f>20</f>
        <v>20</v>
      </c>
      <c r="I4442" t="s">
        <v>27</v>
      </c>
      <c r="J4442" t="s">
        <v>61</v>
      </c>
      <c r="K4442" t="str">
        <f>"118833"</f>
        <v>118833</v>
      </c>
    </row>
    <row r="4443" spans="1:11" x14ac:dyDescent="0.25">
      <c r="A4443">
        <v>2023</v>
      </c>
      <c r="B4443" t="s">
        <v>9218</v>
      </c>
      <c r="C4443" t="s">
        <v>9219</v>
      </c>
      <c r="D4443" t="s">
        <v>111</v>
      </c>
      <c r="E4443" t="s">
        <v>20</v>
      </c>
      <c r="F4443" t="str">
        <f>"43215"</f>
        <v>43215</v>
      </c>
      <c r="G4443" t="str">
        <f>"632483"</f>
        <v>632483</v>
      </c>
      <c r="H4443" s="2">
        <f>20</f>
        <v>20</v>
      </c>
      <c r="I4443" t="s">
        <v>27</v>
      </c>
      <c r="J4443" t="s">
        <v>108</v>
      </c>
      <c r="K4443" t="str">
        <f>"39917"</f>
        <v>39917</v>
      </c>
    </row>
    <row r="4444" spans="1:11" x14ac:dyDescent="0.25">
      <c r="A4444">
        <v>2023</v>
      </c>
      <c r="B4444" t="s">
        <v>9232</v>
      </c>
      <c r="C4444" t="s">
        <v>9234</v>
      </c>
      <c r="D4444" t="s">
        <v>19</v>
      </c>
      <c r="E4444" t="s">
        <v>20</v>
      </c>
      <c r="F4444" t="str">
        <f t="shared" ref="F4444:F4450" si="147">"43608"</f>
        <v>43608</v>
      </c>
      <c r="G4444" t="str">
        <f t="shared" ref="G4444:G4450" si="148">"632482"</f>
        <v>632482</v>
      </c>
      <c r="H4444" s="2">
        <f>4.55</f>
        <v>4.55</v>
      </c>
      <c r="I4444" t="s">
        <v>27</v>
      </c>
      <c r="J4444" t="s">
        <v>157</v>
      </c>
      <c r="K4444" t="str">
        <f>"520607"</f>
        <v>520607</v>
      </c>
    </row>
    <row r="4445" spans="1:11" x14ac:dyDescent="0.25">
      <c r="A4445">
        <v>2023</v>
      </c>
      <c r="B4445" t="s">
        <v>9232</v>
      </c>
      <c r="C4445" t="s">
        <v>9234</v>
      </c>
      <c r="D4445" t="s">
        <v>19</v>
      </c>
      <c r="E4445" t="s">
        <v>20</v>
      </c>
      <c r="F4445" t="str">
        <f t="shared" si="147"/>
        <v>43608</v>
      </c>
      <c r="G4445" t="str">
        <f t="shared" si="148"/>
        <v>632482</v>
      </c>
      <c r="H4445" s="2">
        <f>2.27</f>
        <v>2.27</v>
      </c>
      <c r="I4445" t="s">
        <v>27</v>
      </c>
      <c r="J4445" t="s">
        <v>157</v>
      </c>
      <c r="K4445" t="str">
        <f>"521081"</f>
        <v>521081</v>
      </c>
    </row>
    <row r="4446" spans="1:11" x14ac:dyDescent="0.25">
      <c r="A4446">
        <v>2023</v>
      </c>
      <c r="B4446" t="s">
        <v>9232</v>
      </c>
      <c r="C4446" t="s">
        <v>9234</v>
      </c>
      <c r="D4446" t="s">
        <v>19</v>
      </c>
      <c r="E4446" t="s">
        <v>20</v>
      </c>
      <c r="F4446" t="str">
        <f t="shared" si="147"/>
        <v>43608</v>
      </c>
      <c r="G4446" t="str">
        <f t="shared" si="148"/>
        <v>632482</v>
      </c>
      <c r="H4446" s="2">
        <f>4.55</f>
        <v>4.55</v>
      </c>
      <c r="I4446" t="s">
        <v>27</v>
      </c>
      <c r="J4446" t="s">
        <v>157</v>
      </c>
      <c r="K4446" t="str">
        <f>"521545"</f>
        <v>521545</v>
      </c>
    </row>
    <row r="4447" spans="1:11" x14ac:dyDescent="0.25">
      <c r="A4447">
        <v>2023</v>
      </c>
      <c r="B4447" t="s">
        <v>9232</v>
      </c>
      <c r="C4447" t="s">
        <v>9234</v>
      </c>
      <c r="D4447" t="s">
        <v>19</v>
      </c>
      <c r="E4447" t="s">
        <v>20</v>
      </c>
      <c r="F4447" t="str">
        <f t="shared" si="147"/>
        <v>43608</v>
      </c>
      <c r="G4447" t="str">
        <f t="shared" si="148"/>
        <v>632482</v>
      </c>
      <c r="H4447" s="2">
        <f>4.55</f>
        <v>4.55</v>
      </c>
      <c r="I4447" t="s">
        <v>27</v>
      </c>
      <c r="J4447" t="s">
        <v>157</v>
      </c>
      <c r="K4447" t="str">
        <f>"521421"</f>
        <v>521421</v>
      </c>
    </row>
    <row r="4448" spans="1:11" x14ac:dyDescent="0.25">
      <c r="A4448">
        <v>2023</v>
      </c>
      <c r="B4448" t="s">
        <v>9232</v>
      </c>
      <c r="C4448" t="s">
        <v>9234</v>
      </c>
      <c r="D4448" t="s">
        <v>19</v>
      </c>
      <c r="E4448" t="s">
        <v>20</v>
      </c>
      <c r="F4448" t="str">
        <f t="shared" si="147"/>
        <v>43608</v>
      </c>
      <c r="G4448" t="str">
        <f t="shared" si="148"/>
        <v>632482</v>
      </c>
      <c r="H4448" s="2">
        <f>1.82</f>
        <v>1.82</v>
      </c>
      <c r="I4448" t="s">
        <v>27</v>
      </c>
      <c r="J4448" t="s">
        <v>157</v>
      </c>
      <c r="K4448" t="str">
        <f>"521858"</f>
        <v>521858</v>
      </c>
    </row>
    <row r="4449" spans="1:11" x14ac:dyDescent="0.25">
      <c r="A4449">
        <v>2023</v>
      </c>
      <c r="B4449" t="s">
        <v>9232</v>
      </c>
      <c r="C4449" t="s">
        <v>9234</v>
      </c>
      <c r="D4449" t="s">
        <v>19</v>
      </c>
      <c r="E4449" t="s">
        <v>20</v>
      </c>
      <c r="F4449" t="str">
        <f t="shared" si="147"/>
        <v>43608</v>
      </c>
      <c r="G4449" t="str">
        <f t="shared" si="148"/>
        <v>632482</v>
      </c>
      <c r="H4449" s="2">
        <f>2.27</f>
        <v>2.27</v>
      </c>
      <c r="I4449" t="s">
        <v>27</v>
      </c>
      <c r="J4449" t="s">
        <v>157</v>
      </c>
      <c r="K4449" t="str">
        <f>"522263"</f>
        <v>522263</v>
      </c>
    </row>
    <row r="4450" spans="1:11" x14ac:dyDescent="0.25">
      <c r="A4450">
        <v>2023</v>
      </c>
      <c r="B4450" t="s">
        <v>9232</v>
      </c>
      <c r="C4450" t="s">
        <v>9234</v>
      </c>
      <c r="D4450" t="s">
        <v>19</v>
      </c>
      <c r="E4450" t="s">
        <v>20</v>
      </c>
      <c r="F4450" t="str">
        <f t="shared" si="147"/>
        <v>43608</v>
      </c>
      <c r="G4450" t="str">
        <f t="shared" si="148"/>
        <v>632482</v>
      </c>
      <c r="H4450" s="2">
        <f>4.55</f>
        <v>4.55</v>
      </c>
      <c r="I4450" t="s">
        <v>27</v>
      </c>
      <c r="J4450" t="s">
        <v>157</v>
      </c>
      <c r="K4450" t="str">
        <f>"520828"</f>
        <v>520828</v>
      </c>
    </row>
    <row r="4451" spans="1:11" x14ac:dyDescent="0.25">
      <c r="A4451">
        <v>2023</v>
      </c>
      <c r="B4451" t="s">
        <v>9237</v>
      </c>
      <c r="C4451" t="s">
        <v>9238</v>
      </c>
      <c r="D4451" t="s">
        <v>19</v>
      </c>
      <c r="E4451" t="s">
        <v>20</v>
      </c>
      <c r="F4451" t="str">
        <f>"43610"</f>
        <v>43610</v>
      </c>
      <c r="G4451" t="str">
        <f>"632514"</f>
        <v>632514</v>
      </c>
      <c r="H4451" s="2">
        <f>4</f>
        <v>4</v>
      </c>
      <c r="I4451" t="s">
        <v>27</v>
      </c>
      <c r="J4451" t="s">
        <v>195</v>
      </c>
      <c r="K4451" t="str">
        <f>"33011836"</f>
        <v>33011836</v>
      </c>
    </row>
    <row r="4452" spans="1:11" x14ac:dyDescent="0.25">
      <c r="A4452">
        <v>2023</v>
      </c>
      <c r="B4452" t="s">
        <v>9244</v>
      </c>
      <c r="C4452" t="s">
        <v>9245</v>
      </c>
      <c r="D4452" t="s">
        <v>58</v>
      </c>
      <c r="E4452" t="s">
        <v>20</v>
      </c>
      <c r="F4452" t="str">
        <f>"43616"</f>
        <v>43616</v>
      </c>
      <c r="G4452" t="str">
        <f>"632483"</f>
        <v>632483</v>
      </c>
      <c r="H4452" s="2">
        <f>9.2</f>
        <v>9.1999999999999993</v>
      </c>
      <c r="I4452" t="s">
        <v>27</v>
      </c>
      <c r="J4452" t="s">
        <v>108</v>
      </c>
      <c r="K4452" t="str">
        <f>"40686"</f>
        <v>40686</v>
      </c>
    </row>
    <row r="4453" spans="1:11" x14ac:dyDescent="0.25">
      <c r="A4453">
        <v>2023</v>
      </c>
      <c r="B4453" t="s">
        <v>9248</v>
      </c>
      <c r="C4453" t="s">
        <v>9249</v>
      </c>
      <c r="D4453" t="s">
        <v>19</v>
      </c>
      <c r="E4453" t="s">
        <v>20</v>
      </c>
      <c r="F4453" t="str">
        <f>"43612-3128"</f>
        <v>43612-3128</v>
      </c>
      <c r="G4453" t="str">
        <f>"637573"</f>
        <v>637573</v>
      </c>
      <c r="H4453" s="2">
        <f>20</f>
        <v>20</v>
      </c>
      <c r="I4453" t="s">
        <v>27</v>
      </c>
      <c r="J4453" t="s">
        <v>61</v>
      </c>
      <c r="K4453" t="str">
        <f>"120700"</f>
        <v>120700</v>
      </c>
    </row>
    <row r="4454" spans="1:11" x14ac:dyDescent="0.25">
      <c r="A4454">
        <v>2023</v>
      </c>
      <c r="B4454" t="s">
        <v>9259</v>
      </c>
      <c r="C4454" t="s">
        <v>9260</v>
      </c>
      <c r="D4454" t="s">
        <v>19</v>
      </c>
      <c r="E4454" t="s">
        <v>20</v>
      </c>
      <c r="F4454" t="str">
        <f>"43609"</f>
        <v>43609</v>
      </c>
      <c r="G4454" t="str">
        <f>"638581"</f>
        <v>638581</v>
      </c>
      <c r="H4454" s="2">
        <f>18.72</f>
        <v>18.72</v>
      </c>
      <c r="I4454" t="s">
        <v>27</v>
      </c>
      <c r="J4454" t="s">
        <v>61</v>
      </c>
      <c r="K4454" t="str">
        <f>"333908"</f>
        <v>333908</v>
      </c>
    </row>
    <row r="4455" spans="1:11" x14ac:dyDescent="0.25">
      <c r="A4455">
        <v>2023</v>
      </c>
      <c r="B4455" t="s">
        <v>9263</v>
      </c>
      <c r="C4455" t="s">
        <v>9264</v>
      </c>
      <c r="D4455" t="s">
        <v>19</v>
      </c>
      <c r="E4455" t="s">
        <v>20</v>
      </c>
      <c r="F4455" t="str">
        <f>"43613-3040"</f>
        <v>43613-3040</v>
      </c>
      <c r="G4455" t="str">
        <f>"637573"</f>
        <v>637573</v>
      </c>
      <c r="H4455" s="2">
        <f>10</f>
        <v>10</v>
      </c>
      <c r="I4455" t="s">
        <v>27</v>
      </c>
      <c r="J4455" t="s">
        <v>61</v>
      </c>
      <c r="K4455" t="str">
        <f>"120575"</f>
        <v>120575</v>
      </c>
    </row>
    <row r="4456" spans="1:11" x14ac:dyDescent="0.25">
      <c r="A4456">
        <v>2023</v>
      </c>
      <c r="B4456" t="s">
        <v>9265</v>
      </c>
      <c r="C4456" t="s">
        <v>9266</v>
      </c>
      <c r="D4456" t="s">
        <v>58</v>
      </c>
      <c r="E4456" t="s">
        <v>20</v>
      </c>
      <c r="F4456" t="str">
        <f>"43616-4610"</f>
        <v>43616-4610</v>
      </c>
      <c r="G4456" t="str">
        <f>"637573"</f>
        <v>637573</v>
      </c>
      <c r="H4456" s="2">
        <f>10</f>
        <v>10</v>
      </c>
      <c r="I4456" t="s">
        <v>27</v>
      </c>
      <c r="J4456" t="s">
        <v>61</v>
      </c>
      <c r="K4456" t="str">
        <f>"120699"</f>
        <v>120699</v>
      </c>
    </row>
    <row r="4457" spans="1:11" x14ac:dyDescent="0.25">
      <c r="A4457">
        <v>2023</v>
      </c>
      <c r="B4457" t="s">
        <v>9267</v>
      </c>
      <c r="C4457" t="s">
        <v>9268</v>
      </c>
      <c r="D4457" t="s">
        <v>19</v>
      </c>
      <c r="E4457" t="s">
        <v>20</v>
      </c>
      <c r="F4457" t="str">
        <f>"43604"</f>
        <v>43604</v>
      </c>
      <c r="G4457" t="str">
        <f>"638581"</f>
        <v>638581</v>
      </c>
      <c r="H4457" s="2">
        <f>2.65</f>
        <v>2.65</v>
      </c>
      <c r="I4457" t="s">
        <v>27</v>
      </c>
      <c r="J4457" t="s">
        <v>61</v>
      </c>
      <c r="K4457" t="str">
        <f>"333814"</f>
        <v>333814</v>
      </c>
    </row>
    <row r="4458" spans="1:11" x14ac:dyDescent="0.25">
      <c r="A4458">
        <v>2023</v>
      </c>
      <c r="B4458" t="s">
        <v>9295</v>
      </c>
      <c r="C4458" t="s">
        <v>9296</v>
      </c>
      <c r="D4458" t="s">
        <v>19</v>
      </c>
      <c r="E4458" t="s">
        <v>20</v>
      </c>
      <c r="F4458" t="str">
        <f>"43615"</f>
        <v>43615</v>
      </c>
      <c r="G4458" t="str">
        <f>"Je12142023"</f>
        <v>Je12142023</v>
      </c>
      <c r="H4458" s="2">
        <f>214.34</f>
        <v>214.34</v>
      </c>
      <c r="I4458" t="s">
        <v>15</v>
      </c>
      <c r="J4458" t="s">
        <v>176</v>
      </c>
      <c r="K4458" t="str">
        <f>"60097223"</f>
        <v>60097223</v>
      </c>
    </row>
    <row r="4459" spans="1:11" x14ac:dyDescent="0.25">
      <c r="A4459">
        <v>2023</v>
      </c>
      <c r="B4459" t="s">
        <v>9304</v>
      </c>
      <c r="C4459" t="s">
        <v>9305</v>
      </c>
      <c r="D4459" t="s">
        <v>9306</v>
      </c>
      <c r="E4459" t="s">
        <v>923</v>
      </c>
      <c r="F4459" t="str">
        <f>"94502"</f>
        <v>94502</v>
      </c>
      <c r="G4459" t="str">
        <f t="shared" ref="G4459:G4466" si="149">"632482"</f>
        <v>632482</v>
      </c>
      <c r="H4459" s="2">
        <f>17.19</f>
        <v>17.190000000000001</v>
      </c>
      <c r="I4459" t="s">
        <v>27</v>
      </c>
      <c r="J4459" t="s">
        <v>157</v>
      </c>
      <c r="K4459" t="str">
        <f>"522058"</f>
        <v>522058</v>
      </c>
    </row>
    <row r="4460" spans="1:11" x14ac:dyDescent="0.25">
      <c r="A4460">
        <v>2023</v>
      </c>
      <c r="B4460" t="s">
        <v>9309</v>
      </c>
      <c r="C4460" t="s">
        <v>9310</v>
      </c>
      <c r="D4460" t="s">
        <v>19</v>
      </c>
      <c r="E4460" t="s">
        <v>20</v>
      </c>
      <c r="F4460" t="str">
        <f t="shared" ref="F4460:F4466" si="150">"43609"</f>
        <v>43609</v>
      </c>
      <c r="G4460" t="str">
        <f t="shared" si="149"/>
        <v>632482</v>
      </c>
      <c r="H4460" s="2">
        <f>4.55</f>
        <v>4.55</v>
      </c>
      <c r="I4460" t="s">
        <v>27</v>
      </c>
      <c r="J4460" t="s">
        <v>157</v>
      </c>
      <c r="K4460" t="str">
        <f>"520826"</f>
        <v>520826</v>
      </c>
    </row>
    <row r="4461" spans="1:11" x14ac:dyDescent="0.25">
      <c r="A4461">
        <v>2023</v>
      </c>
      <c r="B4461" t="s">
        <v>9309</v>
      </c>
      <c r="C4461" t="s">
        <v>9310</v>
      </c>
      <c r="D4461" t="s">
        <v>19</v>
      </c>
      <c r="E4461" t="s">
        <v>20</v>
      </c>
      <c r="F4461" t="str">
        <f t="shared" si="150"/>
        <v>43609</v>
      </c>
      <c r="G4461" t="str">
        <f t="shared" si="149"/>
        <v>632482</v>
      </c>
      <c r="H4461" s="2">
        <f>2.27</f>
        <v>2.27</v>
      </c>
      <c r="I4461" t="s">
        <v>27</v>
      </c>
      <c r="J4461" t="s">
        <v>157</v>
      </c>
      <c r="K4461" t="str">
        <f>"522261"</f>
        <v>522261</v>
      </c>
    </row>
    <row r="4462" spans="1:11" x14ac:dyDescent="0.25">
      <c r="A4462">
        <v>2023</v>
      </c>
      <c r="B4462" t="s">
        <v>9309</v>
      </c>
      <c r="C4462" t="s">
        <v>9310</v>
      </c>
      <c r="D4462" t="s">
        <v>19</v>
      </c>
      <c r="E4462" t="s">
        <v>20</v>
      </c>
      <c r="F4462" t="str">
        <f t="shared" si="150"/>
        <v>43609</v>
      </c>
      <c r="G4462" t="str">
        <f t="shared" si="149"/>
        <v>632482</v>
      </c>
      <c r="H4462" s="2">
        <f>1.82</f>
        <v>1.82</v>
      </c>
      <c r="I4462" t="s">
        <v>27</v>
      </c>
      <c r="J4462" t="s">
        <v>157</v>
      </c>
      <c r="K4462" t="str">
        <f>"521856"</f>
        <v>521856</v>
      </c>
    </row>
    <row r="4463" spans="1:11" x14ac:dyDescent="0.25">
      <c r="A4463">
        <v>2023</v>
      </c>
      <c r="B4463" t="s">
        <v>9309</v>
      </c>
      <c r="C4463" t="s">
        <v>9310</v>
      </c>
      <c r="D4463" t="s">
        <v>19</v>
      </c>
      <c r="E4463" t="s">
        <v>20</v>
      </c>
      <c r="F4463" t="str">
        <f t="shared" si="150"/>
        <v>43609</v>
      </c>
      <c r="G4463" t="str">
        <f t="shared" si="149"/>
        <v>632482</v>
      </c>
      <c r="H4463" s="2">
        <f>4.55</f>
        <v>4.55</v>
      </c>
      <c r="I4463" t="s">
        <v>27</v>
      </c>
      <c r="J4463" t="s">
        <v>157</v>
      </c>
      <c r="K4463" t="str">
        <f>"521419"</f>
        <v>521419</v>
      </c>
    </row>
    <row r="4464" spans="1:11" x14ac:dyDescent="0.25">
      <c r="A4464">
        <v>2023</v>
      </c>
      <c r="B4464" t="s">
        <v>9309</v>
      </c>
      <c r="C4464" t="s">
        <v>9310</v>
      </c>
      <c r="D4464" t="s">
        <v>19</v>
      </c>
      <c r="E4464" t="s">
        <v>20</v>
      </c>
      <c r="F4464" t="str">
        <f t="shared" si="150"/>
        <v>43609</v>
      </c>
      <c r="G4464" t="str">
        <f t="shared" si="149"/>
        <v>632482</v>
      </c>
      <c r="H4464" s="2">
        <f>4.55</f>
        <v>4.55</v>
      </c>
      <c r="I4464" t="s">
        <v>27</v>
      </c>
      <c r="J4464" t="s">
        <v>157</v>
      </c>
      <c r="K4464" t="str">
        <f>"521543"</f>
        <v>521543</v>
      </c>
    </row>
    <row r="4465" spans="1:11" x14ac:dyDescent="0.25">
      <c r="A4465">
        <v>2023</v>
      </c>
      <c r="B4465" t="s">
        <v>9309</v>
      </c>
      <c r="C4465" t="s">
        <v>9310</v>
      </c>
      <c r="D4465" t="s">
        <v>19</v>
      </c>
      <c r="E4465" t="s">
        <v>20</v>
      </c>
      <c r="F4465" t="str">
        <f t="shared" si="150"/>
        <v>43609</v>
      </c>
      <c r="G4465" t="str">
        <f t="shared" si="149"/>
        <v>632482</v>
      </c>
      <c r="H4465" s="2">
        <f>2.27</f>
        <v>2.27</v>
      </c>
      <c r="I4465" t="s">
        <v>27</v>
      </c>
      <c r="J4465" t="s">
        <v>157</v>
      </c>
      <c r="K4465" t="str">
        <f>"521079"</f>
        <v>521079</v>
      </c>
    </row>
    <row r="4466" spans="1:11" x14ac:dyDescent="0.25">
      <c r="A4466">
        <v>2023</v>
      </c>
      <c r="B4466" t="s">
        <v>9309</v>
      </c>
      <c r="C4466" t="s">
        <v>9310</v>
      </c>
      <c r="D4466" t="s">
        <v>19</v>
      </c>
      <c r="E4466" t="s">
        <v>20</v>
      </c>
      <c r="F4466" t="str">
        <f t="shared" si="150"/>
        <v>43609</v>
      </c>
      <c r="G4466" t="str">
        <f t="shared" si="149"/>
        <v>632482</v>
      </c>
      <c r="H4466" s="2">
        <f>4.55</f>
        <v>4.55</v>
      </c>
      <c r="I4466" t="s">
        <v>27</v>
      </c>
      <c r="J4466" t="s">
        <v>157</v>
      </c>
      <c r="K4466" t="str">
        <f>"520605"</f>
        <v>520605</v>
      </c>
    </row>
    <row r="4467" spans="1:11" x14ac:dyDescent="0.25">
      <c r="A4467">
        <v>2023</v>
      </c>
      <c r="B4467" t="s">
        <v>9313</v>
      </c>
      <c r="C4467" t="s">
        <v>9314</v>
      </c>
      <c r="D4467" t="s">
        <v>19</v>
      </c>
      <c r="E4467" t="s">
        <v>20</v>
      </c>
      <c r="F4467" t="str">
        <f>"43607"</f>
        <v>43607</v>
      </c>
      <c r="G4467" t="str">
        <f>"Je12142023"</f>
        <v>Je12142023</v>
      </c>
      <c r="H4467" s="2">
        <f>45.18</f>
        <v>45.18</v>
      </c>
      <c r="I4467" t="s">
        <v>15</v>
      </c>
      <c r="J4467" t="s">
        <v>176</v>
      </c>
      <c r="K4467" t="str">
        <f>"60100111"</f>
        <v>60100111</v>
      </c>
    </row>
    <row r="4468" spans="1:11" x14ac:dyDescent="0.25">
      <c r="A4468">
        <v>2023</v>
      </c>
      <c r="B4468" t="s">
        <v>9320</v>
      </c>
      <c r="C4468" t="s">
        <v>9321</v>
      </c>
      <c r="D4468" t="s">
        <v>316</v>
      </c>
      <c r="E4468" t="s">
        <v>20</v>
      </c>
      <c r="F4468" t="str">
        <f>"45804"</f>
        <v>45804</v>
      </c>
      <c r="G4468" t="str">
        <f>"Je04112023"</f>
        <v>Je04112023</v>
      </c>
      <c r="H4468" s="2">
        <f>14.85</f>
        <v>14.85</v>
      </c>
      <c r="I4468" t="s">
        <v>15</v>
      </c>
      <c r="J4468" t="s">
        <v>412</v>
      </c>
      <c r="K4468" t="str">
        <f>"60074183"</f>
        <v>60074183</v>
      </c>
    </row>
    <row r="4469" spans="1:11" x14ac:dyDescent="0.25">
      <c r="A4469">
        <v>2023</v>
      </c>
      <c r="B4469" t="s">
        <v>9328</v>
      </c>
      <c r="C4469" t="s">
        <v>9329</v>
      </c>
      <c r="D4469" t="s">
        <v>4433</v>
      </c>
      <c r="E4469" t="s">
        <v>20</v>
      </c>
      <c r="F4469" t="str">
        <f>"44720"</f>
        <v>44720</v>
      </c>
      <c r="G4469" t="str">
        <f>"632483"</f>
        <v>632483</v>
      </c>
      <c r="H4469" s="2">
        <f>125</f>
        <v>125</v>
      </c>
      <c r="I4469" t="s">
        <v>27</v>
      </c>
      <c r="J4469" t="s">
        <v>108</v>
      </c>
      <c r="K4469" t="str">
        <f>"39142"</f>
        <v>39142</v>
      </c>
    </row>
    <row r="4470" spans="1:11" x14ac:dyDescent="0.25">
      <c r="A4470">
        <v>2023</v>
      </c>
      <c r="B4470" t="s">
        <v>9335</v>
      </c>
      <c r="C4470" t="s">
        <v>272</v>
      </c>
      <c r="D4470" t="s">
        <v>19</v>
      </c>
      <c r="E4470" t="s">
        <v>20</v>
      </c>
      <c r="F4470" t="str">
        <f>"43623"</f>
        <v>43623</v>
      </c>
      <c r="G4470" t="str">
        <f>"632482"</f>
        <v>632482</v>
      </c>
      <c r="H4470" s="2">
        <f>20</f>
        <v>20</v>
      </c>
      <c r="I4470" t="s">
        <v>27</v>
      </c>
      <c r="J4470" t="s">
        <v>157</v>
      </c>
      <c r="K4470" t="str">
        <f>"522637"</f>
        <v>522637</v>
      </c>
    </row>
    <row r="4471" spans="1:11" x14ac:dyDescent="0.25">
      <c r="A4471">
        <v>2023</v>
      </c>
      <c r="B4471" t="s">
        <v>9356</v>
      </c>
      <c r="C4471" t="s">
        <v>9357</v>
      </c>
      <c r="D4471" t="s">
        <v>19</v>
      </c>
      <c r="E4471" t="s">
        <v>20</v>
      </c>
      <c r="F4471" t="str">
        <f>"43609"</f>
        <v>43609</v>
      </c>
      <c r="G4471" t="str">
        <f>"632514"</f>
        <v>632514</v>
      </c>
      <c r="H4471" s="2">
        <f>16</f>
        <v>16</v>
      </c>
      <c r="I4471" t="s">
        <v>27</v>
      </c>
      <c r="J4471" t="s">
        <v>195</v>
      </c>
      <c r="K4471" t="str">
        <f>"44009438"</f>
        <v>44009438</v>
      </c>
    </row>
    <row r="4472" spans="1:11" x14ac:dyDescent="0.25">
      <c r="A4472">
        <v>2023</v>
      </c>
      <c r="B4472" t="s">
        <v>9360</v>
      </c>
      <c r="C4472" t="s">
        <v>9361</v>
      </c>
      <c r="D4472" t="s">
        <v>4326</v>
      </c>
      <c r="E4472" t="s">
        <v>20</v>
      </c>
      <c r="F4472" t="str">
        <f>"44131"</f>
        <v>44131</v>
      </c>
      <c r="G4472" t="str">
        <f>"632483"</f>
        <v>632483</v>
      </c>
      <c r="H4472" s="2">
        <f>62</f>
        <v>62</v>
      </c>
      <c r="I4472" t="s">
        <v>27</v>
      </c>
      <c r="J4472" t="s">
        <v>108</v>
      </c>
      <c r="K4472" t="str">
        <f>"40337"</f>
        <v>40337</v>
      </c>
    </row>
    <row r="4473" spans="1:11" x14ac:dyDescent="0.25">
      <c r="A4473">
        <v>2023</v>
      </c>
      <c r="B4473" t="s">
        <v>9362</v>
      </c>
      <c r="C4473" t="s">
        <v>1700</v>
      </c>
      <c r="D4473" t="s">
        <v>19</v>
      </c>
      <c r="E4473" t="s">
        <v>20</v>
      </c>
      <c r="F4473" t="str">
        <f>"43604"</f>
        <v>43604</v>
      </c>
      <c r="G4473" t="str">
        <f>"632483"</f>
        <v>632483</v>
      </c>
      <c r="H4473" s="2">
        <f>20</f>
        <v>20</v>
      </c>
      <c r="I4473" t="s">
        <v>27</v>
      </c>
      <c r="J4473" t="s">
        <v>108</v>
      </c>
      <c r="K4473" t="str">
        <f>"39341"</f>
        <v>39341</v>
      </c>
    </row>
    <row r="4474" spans="1:11" x14ac:dyDescent="0.25">
      <c r="A4474">
        <v>2023</v>
      </c>
      <c r="B4474" t="s">
        <v>9369</v>
      </c>
      <c r="C4474" t="s">
        <v>9370</v>
      </c>
      <c r="D4474" t="s">
        <v>19</v>
      </c>
      <c r="E4474" t="s">
        <v>20</v>
      </c>
      <c r="F4474" t="str">
        <f>"43611-2148"</f>
        <v>43611-2148</v>
      </c>
      <c r="G4474" t="str">
        <f>"637573"</f>
        <v>637573</v>
      </c>
      <c r="H4474" s="2">
        <f>10</f>
        <v>10</v>
      </c>
      <c r="I4474" t="s">
        <v>27</v>
      </c>
      <c r="J4474" t="s">
        <v>61</v>
      </c>
      <c r="K4474" t="str">
        <f>"118645"</f>
        <v>118645</v>
      </c>
    </row>
    <row r="4475" spans="1:11" x14ac:dyDescent="0.25">
      <c r="A4475">
        <v>2023</v>
      </c>
      <c r="B4475" t="s">
        <v>9380</v>
      </c>
      <c r="C4475" t="s">
        <v>9381</v>
      </c>
      <c r="D4475" t="s">
        <v>9382</v>
      </c>
      <c r="E4475" t="s">
        <v>462</v>
      </c>
      <c r="F4475" t="str">
        <f>"33064"</f>
        <v>33064</v>
      </c>
      <c r="G4475" t="str">
        <f>"632514"</f>
        <v>632514</v>
      </c>
      <c r="H4475" s="2">
        <f>139.99</f>
        <v>139.99</v>
      </c>
      <c r="I4475" t="s">
        <v>27</v>
      </c>
      <c r="J4475" t="s">
        <v>195</v>
      </c>
      <c r="K4475" t="str">
        <f>"22025323"</f>
        <v>22025323</v>
      </c>
    </row>
    <row r="4476" spans="1:11" x14ac:dyDescent="0.25">
      <c r="A4476">
        <v>2023</v>
      </c>
      <c r="B4476" t="s">
        <v>9383</v>
      </c>
      <c r="C4476" t="s">
        <v>9384</v>
      </c>
      <c r="D4476" t="s">
        <v>19</v>
      </c>
      <c r="E4476" t="s">
        <v>20</v>
      </c>
      <c r="F4476" t="str">
        <f>"43608"</f>
        <v>43608</v>
      </c>
      <c r="G4476" t="str">
        <f>"632514"</f>
        <v>632514</v>
      </c>
      <c r="H4476" s="2">
        <f>2</f>
        <v>2</v>
      </c>
      <c r="I4476" t="s">
        <v>27</v>
      </c>
      <c r="J4476" t="s">
        <v>195</v>
      </c>
      <c r="K4476" t="str">
        <f>"11004112"</f>
        <v>11004112</v>
      </c>
    </row>
    <row r="4477" spans="1:11" x14ac:dyDescent="0.25">
      <c r="A4477">
        <v>2023</v>
      </c>
      <c r="B4477" t="s">
        <v>9389</v>
      </c>
      <c r="C4477" t="s">
        <v>9390</v>
      </c>
      <c r="D4477" t="s">
        <v>323</v>
      </c>
      <c r="E4477" t="s">
        <v>20</v>
      </c>
      <c r="F4477" t="str">
        <f>"43571-9076"</f>
        <v>43571-9076</v>
      </c>
      <c r="G4477" t="str">
        <f>"637573"</f>
        <v>637573</v>
      </c>
      <c r="H4477" s="2">
        <f>10</f>
        <v>10</v>
      </c>
      <c r="I4477" t="s">
        <v>27</v>
      </c>
      <c r="J4477" t="s">
        <v>61</v>
      </c>
      <c r="K4477" t="str">
        <f>"118806"</f>
        <v>118806</v>
      </c>
    </row>
    <row r="4478" spans="1:11" x14ac:dyDescent="0.25">
      <c r="A4478">
        <v>2023</v>
      </c>
      <c r="B4478" t="s">
        <v>9397</v>
      </c>
      <c r="C4478" t="s">
        <v>9398</v>
      </c>
      <c r="D4478" t="s">
        <v>19</v>
      </c>
      <c r="E4478" t="s">
        <v>20</v>
      </c>
      <c r="F4478" t="str">
        <f>"43611"</f>
        <v>43611</v>
      </c>
      <c r="G4478" t="str">
        <f>"Je12142023"</f>
        <v>Je12142023</v>
      </c>
      <c r="H4478" s="2">
        <f>53.74</f>
        <v>53.74</v>
      </c>
      <c r="I4478" t="s">
        <v>15</v>
      </c>
      <c r="J4478" t="s">
        <v>176</v>
      </c>
      <c r="K4478" t="str">
        <f>"60096949"</f>
        <v>60096949</v>
      </c>
    </row>
    <row r="4479" spans="1:11" x14ac:dyDescent="0.25">
      <c r="A4479">
        <v>2023</v>
      </c>
      <c r="B4479" t="s">
        <v>9401</v>
      </c>
      <c r="C4479" t="s">
        <v>9402</v>
      </c>
      <c r="D4479" t="s">
        <v>64</v>
      </c>
      <c r="E4479" t="s">
        <v>20</v>
      </c>
      <c r="F4479" t="str">
        <f>"43566"</f>
        <v>43566</v>
      </c>
      <c r="G4479" t="str">
        <f>"Je12142023"</f>
        <v>Je12142023</v>
      </c>
      <c r="H4479" s="2">
        <f>269.6</f>
        <v>269.60000000000002</v>
      </c>
      <c r="I4479" t="s">
        <v>15</v>
      </c>
      <c r="J4479" t="s">
        <v>176</v>
      </c>
      <c r="K4479" t="str">
        <f>"60097567"</f>
        <v>60097567</v>
      </c>
    </row>
    <row r="4480" spans="1:11" x14ac:dyDescent="0.25">
      <c r="A4480">
        <v>2023</v>
      </c>
      <c r="B4480" t="s">
        <v>9405</v>
      </c>
      <c r="C4480" t="s">
        <v>9406</v>
      </c>
      <c r="D4480" t="s">
        <v>19</v>
      </c>
      <c r="E4480" t="s">
        <v>20</v>
      </c>
      <c r="F4480" t="str">
        <f>"43610"</f>
        <v>43610</v>
      </c>
      <c r="G4480" t="str">
        <f>"Je12142023"</f>
        <v>Je12142023</v>
      </c>
      <c r="H4480" s="2">
        <f>48.28</f>
        <v>48.28</v>
      </c>
      <c r="I4480" t="s">
        <v>15</v>
      </c>
      <c r="J4480" t="s">
        <v>176</v>
      </c>
      <c r="K4480" t="str">
        <f>"60100113"</f>
        <v>60100113</v>
      </c>
    </row>
    <row r="4481" spans="1:11" x14ac:dyDescent="0.25">
      <c r="A4481">
        <v>2023</v>
      </c>
      <c r="B4481" t="s">
        <v>9428</v>
      </c>
      <c r="C4481" t="s">
        <v>9429</v>
      </c>
      <c r="D4481" t="s">
        <v>19</v>
      </c>
      <c r="E4481" t="s">
        <v>20</v>
      </c>
      <c r="F4481" t="str">
        <f>"43613"</f>
        <v>43613</v>
      </c>
      <c r="G4481" t="str">
        <f>"Je12142023"</f>
        <v>Je12142023</v>
      </c>
      <c r="H4481" s="2">
        <f>35</f>
        <v>35</v>
      </c>
      <c r="I4481" t="s">
        <v>15</v>
      </c>
      <c r="J4481" t="s">
        <v>176</v>
      </c>
      <c r="K4481" t="str">
        <f>"60104259"</f>
        <v>60104259</v>
      </c>
    </row>
    <row r="4482" spans="1:11" x14ac:dyDescent="0.25">
      <c r="A4482">
        <v>2023</v>
      </c>
      <c r="B4482" t="s">
        <v>9442</v>
      </c>
      <c r="C4482" t="s">
        <v>9443</v>
      </c>
      <c r="D4482" t="s">
        <v>9444</v>
      </c>
      <c r="E4482" t="s">
        <v>1664</v>
      </c>
      <c r="F4482" t="str">
        <f>"23501"</f>
        <v>23501</v>
      </c>
      <c r="G4482" t="str">
        <f>"632483"</f>
        <v>632483</v>
      </c>
      <c r="H4482" s="2">
        <f>3.1</f>
        <v>3.1</v>
      </c>
      <c r="I4482" t="s">
        <v>27</v>
      </c>
      <c r="J4482" t="s">
        <v>108</v>
      </c>
      <c r="K4482" t="str">
        <f>"38850"</f>
        <v>38850</v>
      </c>
    </row>
    <row r="4483" spans="1:11" x14ac:dyDescent="0.25">
      <c r="A4483">
        <v>2023</v>
      </c>
      <c r="B4483" t="s">
        <v>9457</v>
      </c>
      <c r="C4483" t="s">
        <v>9458</v>
      </c>
      <c r="D4483" t="s">
        <v>19</v>
      </c>
      <c r="E4483" t="s">
        <v>20</v>
      </c>
      <c r="F4483" t="str">
        <f>"43606"</f>
        <v>43606</v>
      </c>
      <c r="G4483" t="str">
        <f>"Je12142023"</f>
        <v>Je12142023</v>
      </c>
      <c r="H4483" s="2">
        <f>407.66</f>
        <v>407.66</v>
      </c>
      <c r="I4483" t="s">
        <v>15</v>
      </c>
      <c r="J4483" t="s">
        <v>176</v>
      </c>
      <c r="K4483" t="str">
        <f>"60100508"</f>
        <v>60100508</v>
      </c>
    </row>
    <row r="4484" spans="1:11" x14ac:dyDescent="0.25">
      <c r="A4484">
        <v>2023</v>
      </c>
      <c r="B4484" t="s">
        <v>9461</v>
      </c>
      <c r="C4484" t="s">
        <v>9462</v>
      </c>
      <c r="D4484" t="s">
        <v>4271</v>
      </c>
      <c r="E4484" t="s">
        <v>14</v>
      </c>
      <c r="F4484" t="str">
        <f>"48144"</f>
        <v>48144</v>
      </c>
      <c r="G4484" t="str">
        <f>"632482"</f>
        <v>632482</v>
      </c>
      <c r="H4484" s="2">
        <f>17.18</f>
        <v>17.18</v>
      </c>
      <c r="I4484" t="s">
        <v>27</v>
      </c>
      <c r="J4484" t="s">
        <v>157</v>
      </c>
      <c r="K4484" t="str">
        <f>"522062"</f>
        <v>522062</v>
      </c>
    </row>
    <row r="4485" spans="1:11" x14ac:dyDescent="0.25">
      <c r="A4485">
        <v>2023</v>
      </c>
      <c r="B4485" t="s">
        <v>9474</v>
      </c>
      <c r="C4485" t="s">
        <v>9476</v>
      </c>
      <c r="D4485" t="s">
        <v>19</v>
      </c>
      <c r="E4485" t="s">
        <v>20</v>
      </c>
      <c r="F4485" t="str">
        <f>"43607"</f>
        <v>43607</v>
      </c>
      <c r="G4485" t="str">
        <f>"Je06132023"</f>
        <v>Je06132023</v>
      </c>
      <c r="H4485" s="2">
        <f>269</f>
        <v>269</v>
      </c>
      <c r="I4485" t="s">
        <v>15</v>
      </c>
      <c r="J4485" t="s">
        <v>16</v>
      </c>
      <c r="K4485" t="str">
        <f>"60084263"</f>
        <v>60084263</v>
      </c>
    </row>
    <row r="4486" spans="1:11" x14ac:dyDescent="0.25">
      <c r="A4486">
        <v>2023</v>
      </c>
      <c r="B4486" t="s">
        <v>9486</v>
      </c>
      <c r="C4486" t="s">
        <v>9487</v>
      </c>
      <c r="D4486" t="s">
        <v>19</v>
      </c>
      <c r="E4486" t="s">
        <v>20</v>
      </c>
      <c r="F4486" t="str">
        <f>"43611"</f>
        <v>43611</v>
      </c>
      <c r="G4486" t="str">
        <f>"632514"</f>
        <v>632514</v>
      </c>
      <c r="H4486" s="2">
        <f>12.49</f>
        <v>12.49</v>
      </c>
      <c r="I4486" t="s">
        <v>27</v>
      </c>
      <c r="J4486" t="s">
        <v>195</v>
      </c>
      <c r="K4486" t="str">
        <f>"33011261"</f>
        <v>33011261</v>
      </c>
    </row>
    <row r="4487" spans="1:11" x14ac:dyDescent="0.25">
      <c r="A4487">
        <v>2023</v>
      </c>
      <c r="B4487" t="s">
        <v>9495</v>
      </c>
      <c r="C4487" t="s">
        <v>9496</v>
      </c>
      <c r="D4487" t="s">
        <v>19</v>
      </c>
      <c r="E4487" t="s">
        <v>20</v>
      </c>
      <c r="F4487" t="str">
        <f>"43613"</f>
        <v>43613</v>
      </c>
      <c r="G4487" t="str">
        <f>"Je12142023"</f>
        <v>Je12142023</v>
      </c>
      <c r="H4487" s="2">
        <f>106.5</f>
        <v>106.5</v>
      </c>
      <c r="I4487" t="s">
        <v>15</v>
      </c>
      <c r="J4487" t="s">
        <v>176</v>
      </c>
      <c r="K4487" t="str">
        <f>"60096961"</f>
        <v>60096961</v>
      </c>
    </row>
    <row r="4488" spans="1:11" x14ac:dyDescent="0.25">
      <c r="A4488">
        <v>2023</v>
      </c>
      <c r="B4488" t="s">
        <v>9509</v>
      </c>
      <c r="C4488" t="s">
        <v>9510</v>
      </c>
      <c r="D4488" t="s">
        <v>899</v>
      </c>
      <c r="E4488" t="s">
        <v>20</v>
      </c>
      <c r="F4488" t="str">
        <f>"43412-9479"</f>
        <v>43412-9479</v>
      </c>
      <c r="G4488" t="str">
        <f>"637573"</f>
        <v>637573</v>
      </c>
      <c r="H4488" s="2">
        <f>10</f>
        <v>10</v>
      </c>
      <c r="I4488" t="s">
        <v>27</v>
      </c>
      <c r="J4488" t="s">
        <v>61</v>
      </c>
      <c r="K4488" t="str">
        <f>"118807"</f>
        <v>118807</v>
      </c>
    </row>
    <row r="4489" spans="1:11" x14ac:dyDescent="0.25">
      <c r="A4489">
        <v>2023</v>
      </c>
      <c r="B4489" t="s">
        <v>9521</v>
      </c>
      <c r="C4489" t="s">
        <v>9522</v>
      </c>
      <c r="D4489" t="s">
        <v>19</v>
      </c>
      <c r="E4489" t="s">
        <v>20</v>
      </c>
      <c r="F4489" t="str">
        <f>"43613"</f>
        <v>43613</v>
      </c>
      <c r="G4489" t="str">
        <f>"Je04112023"</f>
        <v>Je04112023</v>
      </c>
      <c r="H4489" s="2">
        <f>111.37</f>
        <v>111.37</v>
      </c>
      <c r="I4489" t="s">
        <v>15</v>
      </c>
      <c r="J4489" t="s">
        <v>412</v>
      </c>
      <c r="K4489" t="str">
        <f>"60072045"</f>
        <v>60072045</v>
      </c>
    </row>
    <row r="4490" spans="1:11" x14ac:dyDescent="0.25">
      <c r="A4490">
        <v>2023</v>
      </c>
      <c r="B4490" t="s">
        <v>9521</v>
      </c>
      <c r="C4490" t="s">
        <v>9522</v>
      </c>
      <c r="D4490" t="s">
        <v>19</v>
      </c>
      <c r="E4490" t="s">
        <v>20</v>
      </c>
      <c r="F4490" t="str">
        <f>"43613"</f>
        <v>43613</v>
      </c>
      <c r="G4490" t="str">
        <f>"Je04112023"</f>
        <v>Je04112023</v>
      </c>
      <c r="H4490" s="2">
        <f>111.37</f>
        <v>111.37</v>
      </c>
      <c r="I4490" t="s">
        <v>15</v>
      </c>
      <c r="J4490" t="s">
        <v>412</v>
      </c>
      <c r="K4490" t="str">
        <f>"60074190"</f>
        <v>60074190</v>
      </c>
    </row>
    <row r="4491" spans="1:11" x14ac:dyDescent="0.25">
      <c r="A4491">
        <v>2023</v>
      </c>
      <c r="B4491" t="s">
        <v>9541</v>
      </c>
      <c r="C4491" t="s">
        <v>9542</v>
      </c>
      <c r="D4491" t="s">
        <v>19</v>
      </c>
      <c r="E4491" t="s">
        <v>20</v>
      </c>
      <c r="F4491" t="str">
        <f>"43615"</f>
        <v>43615</v>
      </c>
      <c r="G4491" t="str">
        <f>"Je012023"</f>
        <v>Je012023</v>
      </c>
      <c r="H4491" s="2">
        <f>150</f>
        <v>150</v>
      </c>
      <c r="I4491" t="s">
        <v>15</v>
      </c>
      <c r="J4491" t="s">
        <v>397</v>
      </c>
      <c r="K4491" t="str">
        <f>"60065027"</f>
        <v>60065027</v>
      </c>
    </row>
    <row r="4492" spans="1:11" x14ac:dyDescent="0.25">
      <c r="A4492">
        <v>2023</v>
      </c>
      <c r="B4492" t="s">
        <v>9545</v>
      </c>
      <c r="C4492" t="s">
        <v>9546</v>
      </c>
      <c r="D4492" t="s">
        <v>50</v>
      </c>
      <c r="E4492" t="s">
        <v>20</v>
      </c>
      <c r="F4492" t="str">
        <f>"43560"</f>
        <v>43560</v>
      </c>
      <c r="G4492" t="str">
        <f>"Je12142023"</f>
        <v>Je12142023</v>
      </c>
      <c r="H4492" s="2">
        <f>90.56</f>
        <v>90.56</v>
      </c>
      <c r="I4492" t="s">
        <v>15</v>
      </c>
      <c r="J4492" t="s">
        <v>176</v>
      </c>
      <c r="K4492" t="str">
        <f>"60097233"</f>
        <v>60097233</v>
      </c>
    </row>
    <row r="4493" spans="1:11" x14ac:dyDescent="0.25">
      <c r="A4493">
        <v>2023</v>
      </c>
      <c r="B4493" t="s">
        <v>9547</v>
      </c>
      <c r="C4493" t="s">
        <v>9548</v>
      </c>
      <c r="D4493" t="s">
        <v>19</v>
      </c>
      <c r="E4493" t="s">
        <v>20</v>
      </c>
      <c r="F4493" t="str">
        <f>"43609"</f>
        <v>43609</v>
      </c>
      <c r="G4493" t="str">
        <f>"Je12142023"</f>
        <v>Je12142023</v>
      </c>
      <c r="H4493" s="2">
        <f>35</f>
        <v>35</v>
      </c>
      <c r="I4493" t="s">
        <v>15</v>
      </c>
      <c r="J4493" t="s">
        <v>176</v>
      </c>
      <c r="K4493" t="str">
        <f>"60104637"</f>
        <v>60104637</v>
      </c>
    </row>
    <row r="4494" spans="1:11" x14ac:dyDescent="0.25">
      <c r="A4494">
        <v>2023</v>
      </c>
      <c r="B4494" t="s">
        <v>9553</v>
      </c>
      <c r="C4494" t="s">
        <v>9554</v>
      </c>
      <c r="D4494" t="s">
        <v>19</v>
      </c>
      <c r="E4494" t="s">
        <v>20</v>
      </c>
      <c r="F4494" t="str">
        <f>"43612"</f>
        <v>43612</v>
      </c>
      <c r="G4494" t="str">
        <f>"632482"</f>
        <v>632482</v>
      </c>
      <c r="H4494" s="2">
        <f>25</f>
        <v>25</v>
      </c>
      <c r="I4494" t="s">
        <v>27</v>
      </c>
      <c r="J4494" t="s">
        <v>157</v>
      </c>
      <c r="K4494" t="str">
        <f>"522203"</f>
        <v>522203</v>
      </c>
    </row>
    <row r="4495" spans="1:11" x14ac:dyDescent="0.25">
      <c r="A4495">
        <v>2023</v>
      </c>
      <c r="B4495" t="s">
        <v>9559</v>
      </c>
      <c r="C4495" t="s">
        <v>9560</v>
      </c>
      <c r="D4495" t="s">
        <v>19</v>
      </c>
      <c r="E4495" t="s">
        <v>20</v>
      </c>
      <c r="F4495" t="str">
        <f>"43612"</f>
        <v>43612</v>
      </c>
      <c r="G4495" t="str">
        <f>"632483"</f>
        <v>632483</v>
      </c>
      <c r="H4495" s="2">
        <f>75.75</f>
        <v>75.75</v>
      </c>
      <c r="I4495" t="s">
        <v>27</v>
      </c>
      <c r="J4495" t="s">
        <v>108</v>
      </c>
      <c r="K4495" t="str">
        <f>"40857"</f>
        <v>40857</v>
      </c>
    </row>
    <row r="4496" spans="1:11" x14ac:dyDescent="0.25">
      <c r="A4496">
        <v>2023</v>
      </c>
      <c r="B4496" t="s">
        <v>9559</v>
      </c>
      <c r="C4496" t="s">
        <v>9560</v>
      </c>
      <c r="D4496" t="s">
        <v>19</v>
      </c>
      <c r="E4496" t="s">
        <v>20</v>
      </c>
      <c r="F4496" t="str">
        <f>"43612"</f>
        <v>43612</v>
      </c>
      <c r="G4496" t="str">
        <f>"632483"</f>
        <v>632483</v>
      </c>
      <c r="H4496" s="2">
        <f>28</f>
        <v>28</v>
      </c>
      <c r="I4496" t="s">
        <v>27</v>
      </c>
      <c r="J4496" t="s">
        <v>108</v>
      </c>
      <c r="K4496" t="str">
        <f>"40858"</f>
        <v>40858</v>
      </c>
    </row>
    <row r="4497" spans="1:11" x14ac:dyDescent="0.25">
      <c r="A4497">
        <v>2023</v>
      </c>
      <c r="B4497" t="s">
        <v>9571</v>
      </c>
      <c r="C4497" t="s">
        <v>9570</v>
      </c>
      <c r="D4497" t="s">
        <v>19</v>
      </c>
      <c r="E4497" t="s">
        <v>20</v>
      </c>
      <c r="F4497" t="str">
        <f>"43605-1630"</f>
        <v>43605-1630</v>
      </c>
      <c r="G4497" t="str">
        <f>"637573"</f>
        <v>637573</v>
      </c>
      <c r="H4497" s="2">
        <f>20</f>
        <v>20</v>
      </c>
      <c r="I4497" t="s">
        <v>27</v>
      </c>
      <c r="J4497" t="s">
        <v>61</v>
      </c>
      <c r="K4497" t="str">
        <f>"120373"</f>
        <v>120373</v>
      </c>
    </row>
    <row r="4498" spans="1:11" x14ac:dyDescent="0.25">
      <c r="A4498">
        <v>2023</v>
      </c>
      <c r="B4498" t="s">
        <v>9578</v>
      </c>
      <c r="C4498" t="s">
        <v>9579</v>
      </c>
      <c r="D4498" t="s">
        <v>19</v>
      </c>
      <c r="E4498" t="s">
        <v>20</v>
      </c>
      <c r="F4498" t="str">
        <f>"43613"</f>
        <v>43613</v>
      </c>
      <c r="G4498" t="str">
        <f>"589300"</f>
        <v>589300</v>
      </c>
      <c r="H4498" s="2">
        <f>5</f>
        <v>5</v>
      </c>
      <c r="I4498" t="s">
        <v>148</v>
      </c>
      <c r="J4498" t="s">
        <v>9580</v>
      </c>
      <c r="K4498" t="str">
        <f>"26023"</f>
        <v>26023</v>
      </c>
    </row>
    <row r="4499" spans="1:11" x14ac:dyDescent="0.25">
      <c r="A4499">
        <v>2023</v>
      </c>
      <c r="B4499" t="s">
        <v>9581</v>
      </c>
      <c r="C4499" t="s">
        <v>9582</v>
      </c>
      <c r="D4499" t="s">
        <v>19</v>
      </c>
      <c r="E4499" t="s">
        <v>20</v>
      </c>
      <c r="F4499" t="str">
        <f>"43609"</f>
        <v>43609</v>
      </c>
      <c r="G4499" t="str">
        <f>"632483"</f>
        <v>632483</v>
      </c>
      <c r="H4499" s="2">
        <f>2.17</f>
        <v>2.17</v>
      </c>
      <c r="I4499" t="s">
        <v>27</v>
      </c>
      <c r="J4499" t="s">
        <v>108</v>
      </c>
      <c r="K4499" t="str">
        <f>"38721"</f>
        <v>38721</v>
      </c>
    </row>
    <row r="4500" spans="1:11" x14ac:dyDescent="0.25">
      <c r="A4500">
        <v>2023</v>
      </c>
      <c r="B4500" t="s">
        <v>9583</v>
      </c>
      <c r="C4500" t="s">
        <v>9584</v>
      </c>
      <c r="D4500" t="s">
        <v>164</v>
      </c>
      <c r="E4500" t="s">
        <v>20</v>
      </c>
      <c r="F4500" t="str">
        <f>"43558-8900"</f>
        <v>43558-8900</v>
      </c>
      <c r="G4500" t="str">
        <f>"637573"</f>
        <v>637573</v>
      </c>
      <c r="H4500" s="2">
        <f>20</f>
        <v>20</v>
      </c>
      <c r="I4500" t="s">
        <v>27</v>
      </c>
      <c r="J4500" t="s">
        <v>61</v>
      </c>
      <c r="K4500" t="str">
        <f>"119751"</f>
        <v>119751</v>
      </c>
    </row>
    <row r="4501" spans="1:11" x14ac:dyDescent="0.25">
      <c r="A4501">
        <v>2023</v>
      </c>
      <c r="B4501" t="s">
        <v>9589</v>
      </c>
      <c r="C4501" t="s">
        <v>9590</v>
      </c>
      <c r="D4501" t="s">
        <v>9591</v>
      </c>
      <c r="E4501" t="s">
        <v>2122</v>
      </c>
      <c r="F4501" t="str">
        <f>"28115"</f>
        <v>28115</v>
      </c>
      <c r="G4501" t="str">
        <f>"632514"</f>
        <v>632514</v>
      </c>
      <c r="H4501" s="2">
        <f>33.32</f>
        <v>33.32</v>
      </c>
      <c r="I4501" t="s">
        <v>27</v>
      </c>
      <c r="J4501" t="s">
        <v>195</v>
      </c>
      <c r="K4501" t="str">
        <f>"33011391"</f>
        <v>33011391</v>
      </c>
    </row>
    <row r="4502" spans="1:11" x14ac:dyDescent="0.25">
      <c r="A4502">
        <v>2023</v>
      </c>
      <c r="B4502" t="s">
        <v>9592</v>
      </c>
      <c r="C4502" t="s">
        <v>9593</v>
      </c>
      <c r="D4502" t="s">
        <v>19</v>
      </c>
      <c r="E4502" t="s">
        <v>20</v>
      </c>
      <c r="F4502" t="str">
        <f>"43615"</f>
        <v>43615</v>
      </c>
      <c r="G4502" t="str">
        <f>"638581"</f>
        <v>638581</v>
      </c>
      <c r="H4502" s="2">
        <f>350</f>
        <v>350</v>
      </c>
      <c r="I4502" t="s">
        <v>27</v>
      </c>
      <c r="J4502" t="s">
        <v>61</v>
      </c>
      <c r="K4502" t="str">
        <f>"334062"</f>
        <v>334062</v>
      </c>
    </row>
    <row r="4503" spans="1:11" x14ac:dyDescent="0.25">
      <c r="A4503">
        <v>2023</v>
      </c>
      <c r="B4503" t="s">
        <v>9594</v>
      </c>
      <c r="C4503" t="s">
        <v>9595</v>
      </c>
      <c r="D4503" t="s">
        <v>19</v>
      </c>
      <c r="E4503" t="s">
        <v>20</v>
      </c>
      <c r="F4503" t="str">
        <f>"43613-5013"</f>
        <v>43613-5013</v>
      </c>
      <c r="G4503" t="str">
        <f>"637573"</f>
        <v>637573</v>
      </c>
      <c r="H4503" s="2">
        <f>20</f>
        <v>20</v>
      </c>
      <c r="I4503" t="s">
        <v>27</v>
      </c>
      <c r="J4503" t="s">
        <v>61</v>
      </c>
      <c r="K4503" t="str">
        <f>"119068"</f>
        <v>119068</v>
      </c>
    </row>
    <row r="4504" spans="1:11" x14ac:dyDescent="0.25">
      <c r="A4504">
        <v>2023</v>
      </c>
      <c r="B4504" t="s">
        <v>9597</v>
      </c>
      <c r="C4504" t="s">
        <v>8951</v>
      </c>
      <c r="D4504" t="s">
        <v>19</v>
      </c>
      <c r="E4504" t="s">
        <v>20</v>
      </c>
      <c r="F4504" t="str">
        <f>"43611"</f>
        <v>43611</v>
      </c>
      <c r="G4504" t="str">
        <f>"632514"</f>
        <v>632514</v>
      </c>
      <c r="H4504" s="2">
        <f>21.01</f>
        <v>21.01</v>
      </c>
      <c r="I4504" t="s">
        <v>27</v>
      </c>
      <c r="J4504" t="s">
        <v>195</v>
      </c>
      <c r="K4504" t="str">
        <f>"33011618"</f>
        <v>33011618</v>
      </c>
    </row>
    <row r="4505" spans="1:11" x14ac:dyDescent="0.25">
      <c r="A4505">
        <v>2023</v>
      </c>
      <c r="B4505" t="s">
        <v>9617</v>
      </c>
      <c r="C4505" t="s">
        <v>9618</v>
      </c>
      <c r="D4505" t="s">
        <v>125</v>
      </c>
      <c r="E4505" t="s">
        <v>20</v>
      </c>
      <c r="F4505" t="str">
        <f>"43537"</f>
        <v>43537</v>
      </c>
      <c r="G4505" t="str">
        <f>"589300"</f>
        <v>589300</v>
      </c>
      <c r="H4505" s="2">
        <f>10</f>
        <v>10</v>
      </c>
      <c r="I4505" t="s">
        <v>148</v>
      </c>
      <c r="J4505" t="s">
        <v>9619</v>
      </c>
      <c r="K4505" t="str">
        <f>"26023"</f>
        <v>26023</v>
      </c>
    </row>
    <row r="4506" spans="1:11" x14ac:dyDescent="0.25">
      <c r="A4506">
        <v>2023</v>
      </c>
      <c r="B4506" t="s">
        <v>9622</v>
      </c>
      <c r="C4506" t="s">
        <v>9623</v>
      </c>
      <c r="D4506" t="s">
        <v>19</v>
      </c>
      <c r="E4506" t="s">
        <v>20</v>
      </c>
      <c r="F4506" t="str">
        <f>"43613-4722"</f>
        <v>43613-4722</v>
      </c>
      <c r="G4506" t="str">
        <f>"637573"</f>
        <v>637573</v>
      </c>
      <c r="H4506" s="2">
        <f>10</f>
        <v>10</v>
      </c>
      <c r="I4506" t="s">
        <v>27</v>
      </c>
      <c r="J4506" t="s">
        <v>61</v>
      </c>
      <c r="K4506" t="str">
        <f>"119707"</f>
        <v>119707</v>
      </c>
    </row>
    <row r="4507" spans="1:11" x14ac:dyDescent="0.25">
      <c r="A4507">
        <v>2023</v>
      </c>
      <c r="B4507" t="s">
        <v>9639</v>
      </c>
      <c r="C4507" t="s">
        <v>9640</v>
      </c>
      <c r="D4507" t="s">
        <v>19</v>
      </c>
      <c r="E4507" t="s">
        <v>20</v>
      </c>
      <c r="F4507" t="str">
        <f>"43614"</f>
        <v>43614</v>
      </c>
      <c r="G4507" t="str">
        <f>"Je012023"</f>
        <v>Je012023</v>
      </c>
      <c r="H4507" s="2">
        <f>15</f>
        <v>15</v>
      </c>
      <c r="I4507" t="s">
        <v>15</v>
      </c>
      <c r="J4507" t="s">
        <v>397</v>
      </c>
      <c r="K4507" t="str">
        <f>"60060232"</f>
        <v>60060232</v>
      </c>
    </row>
    <row r="4508" spans="1:11" x14ac:dyDescent="0.25">
      <c r="A4508">
        <v>2023</v>
      </c>
      <c r="B4508" t="s">
        <v>9660</v>
      </c>
      <c r="C4508" t="s">
        <v>9661</v>
      </c>
      <c r="D4508" t="s">
        <v>19</v>
      </c>
      <c r="E4508" t="s">
        <v>20</v>
      </c>
      <c r="F4508" t="str">
        <f>"43612-3441"</f>
        <v>43612-3441</v>
      </c>
      <c r="G4508" t="str">
        <f>"637573"</f>
        <v>637573</v>
      </c>
      <c r="H4508" s="2">
        <f>60</f>
        <v>60</v>
      </c>
      <c r="I4508" t="s">
        <v>27</v>
      </c>
      <c r="J4508" t="s">
        <v>61</v>
      </c>
      <c r="K4508" t="str">
        <f>"118623"</f>
        <v>118623</v>
      </c>
    </row>
    <row r="4509" spans="1:11" x14ac:dyDescent="0.25">
      <c r="A4509">
        <v>2023</v>
      </c>
      <c r="B4509" t="s">
        <v>9680</v>
      </c>
      <c r="C4509" t="s">
        <v>9681</v>
      </c>
      <c r="D4509" t="s">
        <v>19</v>
      </c>
      <c r="E4509" t="s">
        <v>20</v>
      </c>
      <c r="F4509" t="str">
        <f>"43615-4256"</f>
        <v>43615-4256</v>
      </c>
      <c r="G4509" t="str">
        <f>"637573"</f>
        <v>637573</v>
      </c>
      <c r="H4509" s="2">
        <f>40</f>
        <v>40</v>
      </c>
      <c r="I4509" t="s">
        <v>27</v>
      </c>
      <c r="J4509" t="s">
        <v>61</v>
      </c>
      <c r="K4509" t="str">
        <f>"119158"</f>
        <v>119158</v>
      </c>
    </row>
    <row r="4510" spans="1:11" x14ac:dyDescent="0.25">
      <c r="A4510">
        <v>2023</v>
      </c>
      <c r="B4510" t="s">
        <v>9687</v>
      </c>
      <c r="C4510" t="s">
        <v>9688</v>
      </c>
      <c r="D4510" t="s">
        <v>19</v>
      </c>
      <c r="E4510" t="s">
        <v>20</v>
      </c>
      <c r="F4510" t="str">
        <f>"43607"</f>
        <v>43607</v>
      </c>
      <c r="G4510" t="str">
        <f>"632482"</f>
        <v>632482</v>
      </c>
      <c r="H4510" s="2">
        <f>25</f>
        <v>25</v>
      </c>
      <c r="I4510" t="s">
        <v>27</v>
      </c>
      <c r="J4510" t="s">
        <v>157</v>
      </c>
      <c r="K4510" t="str">
        <f>"521231"</f>
        <v>521231</v>
      </c>
    </row>
    <row r="4511" spans="1:11" x14ac:dyDescent="0.25">
      <c r="A4511">
        <v>2023</v>
      </c>
      <c r="B4511" t="s">
        <v>9687</v>
      </c>
      <c r="C4511" t="s">
        <v>9688</v>
      </c>
      <c r="D4511" t="s">
        <v>19</v>
      </c>
      <c r="E4511" t="s">
        <v>20</v>
      </c>
      <c r="F4511" t="str">
        <f>"43607"</f>
        <v>43607</v>
      </c>
      <c r="G4511" t="str">
        <f>"632482"</f>
        <v>632482</v>
      </c>
      <c r="H4511" s="2">
        <f>25</f>
        <v>25</v>
      </c>
      <c r="I4511" t="s">
        <v>27</v>
      </c>
      <c r="J4511" t="s">
        <v>157</v>
      </c>
      <c r="K4511" t="str">
        <f>"521007"</f>
        <v>521007</v>
      </c>
    </row>
    <row r="4512" spans="1:11" x14ac:dyDescent="0.25">
      <c r="A4512">
        <v>2023</v>
      </c>
      <c r="B4512" t="s">
        <v>9689</v>
      </c>
      <c r="C4512" t="s">
        <v>9690</v>
      </c>
      <c r="D4512" t="s">
        <v>19</v>
      </c>
      <c r="E4512" t="s">
        <v>20</v>
      </c>
      <c r="F4512" t="str">
        <f>"43605"</f>
        <v>43605</v>
      </c>
      <c r="G4512" t="str">
        <f>"Je12142023"</f>
        <v>Je12142023</v>
      </c>
      <c r="H4512" s="2">
        <f>127.02</f>
        <v>127.02</v>
      </c>
      <c r="I4512" t="s">
        <v>15</v>
      </c>
      <c r="J4512" t="s">
        <v>176</v>
      </c>
      <c r="K4512" t="str">
        <f>"60096967"</f>
        <v>60096967</v>
      </c>
    </row>
    <row r="4513" spans="1:11" x14ac:dyDescent="0.25">
      <c r="A4513">
        <v>2023</v>
      </c>
      <c r="B4513" t="s">
        <v>9703</v>
      </c>
      <c r="C4513" t="s">
        <v>9704</v>
      </c>
      <c r="D4513" t="s">
        <v>19</v>
      </c>
      <c r="E4513" t="s">
        <v>20</v>
      </c>
      <c r="F4513" t="str">
        <f>"43612"</f>
        <v>43612</v>
      </c>
      <c r="G4513" t="str">
        <f>"Je10162023"</f>
        <v>Je10162023</v>
      </c>
      <c r="H4513" s="2">
        <f>125</f>
        <v>125</v>
      </c>
      <c r="I4513" t="s">
        <v>15</v>
      </c>
      <c r="J4513" t="s">
        <v>93</v>
      </c>
      <c r="K4513" t="str">
        <f>"60089895"</f>
        <v>60089895</v>
      </c>
    </row>
    <row r="4514" spans="1:11" x14ac:dyDescent="0.25">
      <c r="A4514">
        <v>2023</v>
      </c>
      <c r="B4514" t="s">
        <v>9703</v>
      </c>
      <c r="C4514" t="s">
        <v>9704</v>
      </c>
      <c r="D4514" t="s">
        <v>19</v>
      </c>
      <c r="E4514" t="s">
        <v>20</v>
      </c>
      <c r="F4514" t="str">
        <f>"43612"</f>
        <v>43612</v>
      </c>
      <c r="G4514" t="str">
        <f>"Je10162023"</f>
        <v>Je10162023</v>
      </c>
      <c r="H4514" s="2">
        <f>140</f>
        <v>140</v>
      </c>
      <c r="I4514" t="s">
        <v>15</v>
      </c>
      <c r="J4514" t="s">
        <v>93</v>
      </c>
      <c r="K4514" t="str">
        <f>"60091358"</f>
        <v>60091358</v>
      </c>
    </row>
    <row r="4515" spans="1:11" x14ac:dyDescent="0.25">
      <c r="A4515">
        <v>2023</v>
      </c>
      <c r="B4515" t="s">
        <v>9705</v>
      </c>
      <c r="C4515" t="s">
        <v>3123</v>
      </c>
      <c r="D4515" t="s">
        <v>1005</v>
      </c>
      <c r="E4515" t="s">
        <v>20</v>
      </c>
      <c r="F4515" t="str">
        <f>"44139"</f>
        <v>44139</v>
      </c>
      <c r="G4515" t="str">
        <f>"632483"</f>
        <v>632483</v>
      </c>
      <c r="H4515" s="2">
        <f>32.35</f>
        <v>32.35</v>
      </c>
      <c r="I4515" t="s">
        <v>27</v>
      </c>
      <c r="J4515" t="s">
        <v>108</v>
      </c>
      <c r="K4515" t="str">
        <f>"40237"</f>
        <v>40237</v>
      </c>
    </row>
    <row r="4516" spans="1:11" x14ac:dyDescent="0.25">
      <c r="A4516">
        <v>2023</v>
      </c>
      <c r="B4516" t="s">
        <v>9706</v>
      </c>
      <c r="C4516" t="s">
        <v>1101</v>
      </c>
      <c r="D4516" t="s">
        <v>1005</v>
      </c>
      <c r="E4516" t="s">
        <v>20</v>
      </c>
      <c r="F4516" t="str">
        <f>"44139"</f>
        <v>44139</v>
      </c>
      <c r="G4516" t="str">
        <f>"632483"</f>
        <v>632483</v>
      </c>
      <c r="H4516" s="2">
        <f>13.25</f>
        <v>13.25</v>
      </c>
      <c r="I4516" t="s">
        <v>27</v>
      </c>
      <c r="J4516" t="s">
        <v>108</v>
      </c>
      <c r="K4516" t="str">
        <f>"39669"</f>
        <v>39669</v>
      </c>
    </row>
    <row r="4517" spans="1:11" x14ac:dyDescent="0.25">
      <c r="A4517">
        <v>2023</v>
      </c>
      <c r="B4517" t="s">
        <v>9706</v>
      </c>
      <c r="C4517" t="s">
        <v>1101</v>
      </c>
      <c r="D4517" t="s">
        <v>1005</v>
      </c>
      <c r="E4517" t="s">
        <v>20</v>
      </c>
      <c r="F4517" t="str">
        <f>"44139"</f>
        <v>44139</v>
      </c>
      <c r="G4517" t="str">
        <f>"632483"</f>
        <v>632483</v>
      </c>
      <c r="H4517" s="2">
        <f>36.2</f>
        <v>36.200000000000003</v>
      </c>
      <c r="I4517" t="s">
        <v>27</v>
      </c>
      <c r="J4517" t="s">
        <v>108</v>
      </c>
      <c r="K4517" t="str">
        <f>"39149"</f>
        <v>39149</v>
      </c>
    </row>
    <row r="4518" spans="1:11" x14ac:dyDescent="0.25">
      <c r="A4518">
        <v>2023</v>
      </c>
      <c r="B4518" t="s">
        <v>9711</v>
      </c>
      <c r="C4518" t="s">
        <v>9712</v>
      </c>
      <c r="D4518" t="s">
        <v>3915</v>
      </c>
      <c r="E4518" t="s">
        <v>20</v>
      </c>
      <c r="F4518" t="str">
        <f>"44870"</f>
        <v>44870</v>
      </c>
      <c r="G4518" t="str">
        <f>"632483"</f>
        <v>632483</v>
      </c>
      <c r="H4518" s="2">
        <f>12</f>
        <v>12</v>
      </c>
      <c r="I4518" t="s">
        <v>27</v>
      </c>
      <c r="J4518" t="s">
        <v>108</v>
      </c>
      <c r="K4518" t="str">
        <f>"40755"</f>
        <v>40755</v>
      </c>
    </row>
    <row r="4519" spans="1:11" x14ac:dyDescent="0.25">
      <c r="A4519">
        <v>2023</v>
      </c>
      <c r="B4519" t="s">
        <v>9713</v>
      </c>
      <c r="C4519" t="s">
        <v>9714</v>
      </c>
      <c r="D4519" t="s">
        <v>64</v>
      </c>
      <c r="E4519" t="s">
        <v>20</v>
      </c>
      <c r="F4519" t="str">
        <f>"43566"</f>
        <v>43566</v>
      </c>
      <c r="G4519" t="str">
        <f>"Je12142023"</f>
        <v>Je12142023</v>
      </c>
      <c r="H4519" s="2">
        <f>20</f>
        <v>20</v>
      </c>
      <c r="I4519" t="s">
        <v>15</v>
      </c>
      <c r="J4519" t="s">
        <v>176</v>
      </c>
      <c r="K4519" t="str">
        <f>"60101833"</f>
        <v>60101833</v>
      </c>
    </row>
    <row r="4520" spans="1:11" x14ac:dyDescent="0.25">
      <c r="A4520">
        <v>2023</v>
      </c>
      <c r="B4520" t="s">
        <v>9720</v>
      </c>
      <c r="C4520" t="s">
        <v>9721</v>
      </c>
      <c r="D4520" t="s">
        <v>19</v>
      </c>
      <c r="E4520" t="s">
        <v>20</v>
      </c>
      <c r="F4520" t="str">
        <f>"43615-8303"</f>
        <v>43615-8303</v>
      </c>
      <c r="G4520" t="str">
        <f>"637573"</f>
        <v>637573</v>
      </c>
      <c r="H4520" s="2">
        <f>10</f>
        <v>10</v>
      </c>
      <c r="I4520" t="s">
        <v>27</v>
      </c>
      <c r="J4520" t="s">
        <v>61</v>
      </c>
      <c r="K4520" t="str">
        <f>"120522"</f>
        <v>120522</v>
      </c>
    </row>
    <row r="4521" spans="1:11" x14ac:dyDescent="0.25">
      <c r="A4521">
        <v>2023</v>
      </c>
      <c r="B4521" t="s">
        <v>9737</v>
      </c>
      <c r="C4521" t="s">
        <v>9738</v>
      </c>
      <c r="D4521" t="s">
        <v>19</v>
      </c>
      <c r="E4521" t="s">
        <v>20</v>
      </c>
      <c r="F4521" t="str">
        <f>"43606"</f>
        <v>43606</v>
      </c>
      <c r="G4521" t="str">
        <f>"Je04112023"</f>
        <v>Je04112023</v>
      </c>
      <c r="H4521" s="2">
        <f>453</f>
        <v>453</v>
      </c>
      <c r="I4521" t="s">
        <v>15</v>
      </c>
      <c r="J4521" t="s">
        <v>412</v>
      </c>
      <c r="K4521" t="str">
        <f>"60070389"</f>
        <v>60070389</v>
      </c>
    </row>
    <row r="4522" spans="1:11" x14ac:dyDescent="0.25">
      <c r="A4522">
        <v>2023</v>
      </c>
      <c r="B4522" t="s">
        <v>9744</v>
      </c>
      <c r="C4522" t="s">
        <v>9745</v>
      </c>
      <c r="D4522" t="s">
        <v>19</v>
      </c>
      <c r="E4522" t="s">
        <v>20</v>
      </c>
      <c r="F4522" t="str">
        <f>"43608-1255"</f>
        <v>43608-1255</v>
      </c>
      <c r="G4522" t="str">
        <f>"637573"</f>
        <v>637573</v>
      </c>
      <c r="H4522" s="2">
        <f>10</f>
        <v>10</v>
      </c>
      <c r="I4522" t="s">
        <v>27</v>
      </c>
      <c r="J4522" t="s">
        <v>61</v>
      </c>
      <c r="K4522" t="str">
        <f>"120609"</f>
        <v>120609</v>
      </c>
    </row>
    <row r="4523" spans="1:11" x14ac:dyDescent="0.25">
      <c r="A4523">
        <v>2023</v>
      </c>
      <c r="B4523" t="s">
        <v>9746</v>
      </c>
      <c r="C4523" t="s">
        <v>9747</v>
      </c>
      <c r="D4523" t="s">
        <v>19</v>
      </c>
      <c r="E4523" t="s">
        <v>20</v>
      </c>
      <c r="F4523" t="str">
        <f>"43615-8329"</f>
        <v>43615-8329</v>
      </c>
      <c r="G4523" t="str">
        <f>"637573"</f>
        <v>637573</v>
      </c>
      <c r="H4523" s="2">
        <f>10</f>
        <v>10</v>
      </c>
      <c r="I4523" t="s">
        <v>27</v>
      </c>
      <c r="J4523" t="s">
        <v>61</v>
      </c>
      <c r="K4523" t="str">
        <f>"120934"</f>
        <v>120934</v>
      </c>
    </row>
    <row r="4524" spans="1:11" x14ac:dyDescent="0.25">
      <c r="A4524">
        <v>2023</v>
      </c>
      <c r="B4524" t="s">
        <v>9760</v>
      </c>
      <c r="C4524" t="s">
        <v>9761</v>
      </c>
      <c r="D4524" t="s">
        <v>19</v>
      </c>
      <c r="E4524" t="s">
        <v>20</v>
      </c>
      <c r="F4524" t="str">
        <f>"43612"</f>
        <v>43612</v>
      </c>
      <c r="G4524" t="str">
        <f>"632482"</f>
        <v>632482</v>
      </c>
      <c r="H4524" s="2">
        <f>105.56</f>
        <v>105.56</v>
      </c>
      <c r="I4524" t="s">
        <v>27</v>
      </c>
      <c r="J4524" t="s">
        <v>157</v>
      </c>
      <c r="K4524" t="str">
        <f>"521944"</f>
        <v>521944</v>
      </c>
    </row>
    <row r="4525" spans="1:11" x14ac:dyDescent="0.25">
      <c r="A4525">
        <v>2023</v>
      </c>
      <c r="B4525" t="s">
        <v>9764</v>
      </c>
      <c r="C4525" t="s">
        <v>9765</v>
      </c>
      <c r="D4525" t="s">
        <v>19</v>
      </c>
      <c r="E4525" t="s">
        <v>20</v>
      </c>
      <c r="F4525" t="str">
        <f>"43624"</f>
        <v>43624</v>
      </c>
      <c r="G4525" t="str">
        <f>"589300"</f>
        <v>589300</v>
      </c>
      <c r="H4525" s="2">
        <f>20</f>
        <v>20</v>
      </c>
      <c r="I4525" t="s">
        <v>148</v>
      </c>
      <c r="J4525" t="s">
        <v>9766</v>
      </c>
      <c r="K4525" t="str">
        <f>"26023"</f>
        <v>26023</v>
      </c>
    </row>
    <row r="4526" spans="1:11" x14ac:dyDescent="0.25">
      <c r="A4526">
        <v>2023</v>
      </c>
      <c r="B4526" t="s">
        <v>9764</v>
      </c>
      <c r="C4526" t="s">
        <v>9765</v>
      </c>
      <c r="D4526" t="s">
        <v>19</v>
      </c>
      <c r="E4526" t="s">
        <v>20</v>
      </c>
      <c r="F4526" t="str">
        <f>"43624"</f>
        <v>43624</v>
      </c>
      <c r="G4526" t="str">
        <f>"589300"</f>
        <v>589300</v>
      </c>
      <c r="H4526" s="2">
        <f>20</f>
        <v>20</v>
      </c>
      <c r="I4526" t="s">
        <v>148</v>
      </c>
      <c r="J4526" t="s">
        <v>9767</v>
      </c>
      <c r="K4526" t="str">
        <f>"26023"</f>
        <v>26023</v>
      </c>
    </row>
    <row r="4527" spans="1:11" x14ac:dyDescent="0.25">
      <c r="A4527">
        <v>2023</v>
      </c>
      <c r="B4527" t="s">
        <v>9768</v>
      </c>
      <c r="C4527" t="s">
        <v>9769</v>
      </c>
      <c r="D4527" t="s">
        <v>19</v>
      </c>
      <c r="E4527" t="s">
        <v>20</v>
      </c>
      <c r="F4527" t="str">
        <f>"43604"</f>
        <v>43604</v>
      </c>
      <c r="G4527" t="str">
        <f>"589300"</f>
        <v>589300</v>
      </c>
      <c r="H4527" s="2">
        <f>37</f>
        <v>37</v>
      </c>
      <c r="I4527" t="s">
        <v>148</v>
      </c>
      <c r="J4527" t="s">
        <v>9770</v>
      </c>
      <c r="K4527" t="str">
        <f>"26023"</f>
        <v>26023</v>
      </c>
    </row>
    <row r="4528" spans="1:11" x14ac:dyDescent="0.25">
      <c r="A4528">
        <v>2023</v>
      </c>
      <c r="B4528" t="s">
        <v>9779</v>
      </c>
      <c r="C4528" t="s">
        <v>9780</v>
      </c>
      <c r="D4528" t="s">
        <v>64</v>
      </c>
      <c r="E4528" t="s">
        <v>20</v>
      </c>
      <c r="F4528" t="str">
        <f>"43566-1631"</f>
        <v>43566-1631</v>
      </c>
      <c r="G4528" t="str">
        <f>"637573"</f>
        <v>637573</v>
      </c>
      <c r="H4528" s="2">
        <f>80</f>
        <v>80</v>
      </c>
      <c r="I4528" t="s">
        <v>27</v>
      </c>
      <c r="J4528" t="s">
        <v>61</v>
      </c>
      <c r="K4528" t="str">
        <f>"119291"</f>
        <v>119291</v>
      </c>
    </row>
    <row r="4529" spans="1:11" x14ac:dyDescent="0.25">
      <c r="A4529">
        <v>2023</v>
      </c>
      <c r="B4529" t="s">
        <v>9785</v>
      </c>
      <c r="C4529" t="s">
        <v>9786</v>
      </c>
      <c r="D4529" t="s">
        <v>19</v>
      </c>
      <c r="E4529" t="s">
        <v>20</v>
      </c>
      <c r="F4529" t="str">
        <f>"43614-1810"</f>
        <v>43614-1810</v>
      </c>
      <c r="G4529" t="str">
        <f>"Je12142023"</f>
        <v>Je12142023</v>
      </c>
      <c r="H4529" s="2">
        <f>124.85</f>
        <v>124.85</v>
      </c>
      <c r="I4529" t="s">
        <v>15</v>
      </c>
      <c r="J4529" t="s">
        <v>176</v>
      </c>
      <c r="K4529" t="str">
        <f>"60100300"</f>
        <v>60100300</v>
      </c>
    </row>
    <row r="4530" spans="1:11" x14ac:dyDescent="0.25">
      <c r="A4530">
        <v>2023</v>
      </c>
      <c r="B4530" t="s">
        <v>9793</v>
      </c>
      <c r="C4530" t="s">
        <v>9794</v>
      </c>
      <c r="D4530" t="s">
        <v>19</v>
      </c>
      <c r="E4530" t="s">
        <v>20</v>
      </c>
      <c r="F4530" t="str">
        <f>"43615"</f>
        <v>43615</v>
      </c>
      <c r="G4530" t="str">
        <f>"632514"</f>
        <v>632514</v>
      </c>
      <c r="H4530" s="2">
        <f>10</f>
        <v>10</v>
      </c>
      <c r="I4530" t="s">
        <v>27</v>
      </c>
      <c r="J4530" t="s">
        <v>195</v>
      </c>
      <c r="K4530" t="str">
        <f>"22024528"</f>
        <v>22024528</v>
      </c>
    </row>
    <row r="4531" spans="1:11" x14ac:dyDescent="0.25">
      <c r="A4531">
        <v>2023</v>
      </c>
      <c r="B4531" t="s">
        <v>9807</v>
      </c>
      <c r="C4531" t="s">
        <v>9808</v>
      </c>
      <c r="D4531" t="s">
        <v>125</v>
      </c>
      <c r="E4531" t="s">
        <v>20</v>
      </c>
      <c r="F4531" t="str">
        <f>"43537-8574"</f>
        <v>43537-8574</v>
      </c>
      <c r="G4531" t="str">
        <f>"637573"</f>
        <v>637573</v>
      </c>
      <c r="H4531" s="2">
        <f>20</f>
        <v>20</v>
      </c>
      <c r="I4531" t="s">
        <v>27</v>
      </c>
      <c r="J4531" t="s">
        <v>61</v>
      </c>
      <c r="K4531" t="str">
        <f>"120104"</f>
        <v>120104</v>
      </c>
    </row>
    <row r="4532" spans="1:11" x14ac:dyDescent="0.25">
      <c r="A4532">
        <v>2023</v>
      </c>
      <c r="B4532" t="s">
        <v>9819</v>
      </c>
      <c r="C4532" t="s">
        <v>9820</v>
      </c>
      <c r="D4532" t="s">
        <v>19</v>
      </c>
      <c r="E4532" t="s">
        <v>20</v>
      </c>
      <c r="F4532" t="str">
        <f>"43606"</f>
        <v>43606</v>
      </c>
      <c r="G4532" t="str">
        <f>"638581"</f>
        <v>638581</v>
      </c>
      <c r="H4532" s="2">
        <f>2.3</f>
        <v>2.2999999999999998</v>
      </c>
      <c r="I4532" t="s">
        <v>27</v>
      </c>
      <c r="J4532" t="s">
        <v>61</v>
      </c>
      <c r="K4532" t="str">
        <f>"333949"</f>
        <v>333949</v>
      </c>
    </row>
    <row r="4533" spans="1:11" x14ac:dyDescent="0.25">
      <c r="A4533">
        <v>2023</v>
      </c>
      <c r="B4533" t="s">
        <v>9825</v>
      </c>
      <c r="C4533" t="s">
        <v>9826</v>
      </c>
      <c r="D4533" t="s">
        <v>19</v>
      </c>
      <c r="E4533" t="s">
        <v>20</v>
      </c>
      <c r="F4533" t="str">
        <f>"43615"</f>
        <v>43615</v>
      </c>
      <c r="G4533" t="str">
        <f>"632482"</f>
        <v>632482</v>
      </c>
      <c r="H4533" s="2">
        <f>25</f>
        <v>25</v>
      </c>
      <c r="I4533" t="s">
        <v>27</v>
      </c>
      <c r="J4533" t="s">
        <v>157</v>
      </c>
      <c r="K4533" t="str">
        <f>"522214"</f>
        <v>522214</v>
      </c>
    </row>
    <row r="4534" spans="1:11" x14ac:dyDescent="0.25">
      <c r="A4534">
        <v>2023</v>
      </c>
      <c r="B4534" t="s">
        <v>9830</v>
      </c>
      <c r="C4534" t="s">
        <v>9831</v>
      </c>
      <c r="D4534" t="s">
        <v>105</v>
      </c>
      <c r="E4534" t="s">
        <v>20</v>
      </c>
      <c r="F4534" t="str">
        <f>"43528"</f>
        <v>43528</v>
      </c>
      <c r="G4534" t="str">
        <f>"632482"</f>
        <v>632482</v>
      </c>
      <c r="H4534" s="2">
        <f>20</f>
        <v>20</v>
      </c>
      <c r="I4534" t="s">
        <v>27</v>
      </c>
      <c r="J4534" t="s">
        <v>157</v>
      </c>
      <c r="K4534" t="str">
        <f>"524143"</f>
        <v>524143</v>
      </c>
    </row>
    <row r="4535" spans="1:11" x14ac:dyDescent="0.25">
      <c r="A4535">
        <v>2023</v>
      </c>
      <c r="B4535" t="s">
        <v>9842</v>
      </c>
      <c r="C4535" t="s">
        <v>9843</v>
      </c>
      <c r="D4535" t="s">
        <v>19</v>
      </c>
      <c r="E4535" t="s">
        <v>20</v>
      </c>
      <c r="F4535" t="str">
        <f>"43607"</f>
        <v>43607</v>
      </c>
      <c r="G4535" t="str">
        <f>"Je12142023"</f>
        <v>Je12142023</v>
      </c>
      <c r="H4535" s="2">
        <f>65.72</f>
        <v>65.72</v>
      </c>
      <c r="I4535" t="s">
        <v>15</v>
      </c>
      <c r="J4535" t="s">
        <v>176</v>
      </c>
      <c r="K4535" t="str">
        <f>"60096340"</f>
        <v>60096340</v>
      </c>
    </row>
    <row r="4536" spans="1:11" x14ac:dyDescent="0.25">
      <c r="A4536">
        <v>2023</v>
      </c>
      <c r="B4536" t="s">
        <v>9844</v>
      </c>
      <c r="C4536" t="s">
        <v>6580</v>
      </c>
      <c r="D4536" t="s">
        <v>19</v>
      </c>
      <c r="E4536" t="s">
        <v>20</v>
      </c>
      <c r="F4536" t="str">
        <f>"43608"</f>
        <v>43608</v>
      </c>
      <c r="G4536" t="str">
        <f>"Je10162023"</f>
        <v>Je10162023</v>
      </c>
      <c r="H4536" s="2">
        <f>30</f>
        <v>30</v>
      </c>
      <c r="I4536" t="s">
        <v>15</v>
      </c>
      <c r="J4536" t="s">
        <v>93</v>
      </c>
      <c r="K4536" t="str">
        <f>"60086062"</f>
        <v>60086062</v>
      </c>
    </row>
    <row r="4537" spans="1:11" x14ac:dyDescent="0.25">
      <c r="A4537">
        <v>2023</v>
      </c>
      <c r="B4537" t="s">
        <v>9845</v>
      </c>
      <c r="C4537" t="s">
        <v>9846</v>
      </c>
      <c r="D4537" t="s">
        <v>50</v>
      </c>
      <c r="E4537" t="s">
        <v>20</v>
      </c>
      <c r="F4537" t="str">
        <f>"43560"</f>
        <v>43560</v>
      </c>
      <c r="G4537" t="str">
        <f>"632482"</f>
        <v>632482</v>
      </c>
      <c r="H4537" s="2">
        <f>17.18</f>
        <v>17.18</v>
      </c>
      <c r="I4537" t="s">
        <v>27</v>
      </c>
      <c r="J4537" t="s">
        <v>157</v>
      </c>
      <c r="K4537" t="str">
        <f>"522066"</f>
        <v>522066</v>
      </c>
    </row>
    <row r="4538" spans="1:11" x14ac:dyDescent="0.25">
      <c r="A4538">
        <v>2023</v>
      </c>
      <c r="B4538" t="s">
        <v>9883</v>
      </c>
      <c r="C4538" t="s">
        <v>9884</v>
      </c>
      <c r="D4538" t="s">
        <v>125</v>
      </c>
      <c r="E4538" t="s">
        <v>20</v>
      </c>
      <c r="F4538" t="str">
        <f>"43537-1319"</f>
        <v>43537-1319</v>
      </c>
      <c r="G4538" t="str">
        <f>"637573"</f>
        <v>637573</v>
      </c>
      <c r="H4538" s="2">
        <f>10</f>
        <v>10</v>
      </c>
      <c r="I4538" t="s">
        <v>27</v>
      </c>
      <c r="J4538" t="s">
        <v>61</v>
      </c>
      <c r="K4538" t="str">
        <f>"119764"</f>
        <v>119764</v>
      </c>
    </row>
    <row r="4539" spans="1:11" x14ac:dyDescent="0.25">
      <c r="A4539">
        <v>2023</v>
      </c>
      <c r="B4539" t="s">
        <v>9928</v>
      </c>
      <c r="C4539" t="s">
        <v>9929</v>
      </c>
      <c r="D4539" t="s">
        <v>19</v>
      </c>
      <c r="E4539" t="s">
        <v>20</v>
      </c>
      <c r="F4539" t="str">
        <f>"43623-4130"</f>
        <v>43623-4130</v>
      </c>
      <c r="G4539" t="str">
        <f>"637573"</f>
        <v>637573</v>
      </c>
      <c r="H4539" s="2">
        <f>10</f>
        <v>10</v>
      </c>
      <c r="I4539" t="s">
        <v>27</v>
      </c>
      <c r="J4539" t="s">
        <v>61</v>
      </c>
      <c r="K4539" t="str">
        <f>"120269"</f>
        <v>120269</v>
      </c>
    </row>
    <row r="4540" spans="1:11" x14ac:dyDescent="0.25">
      <c r="A4540">
        <v>2023</v>
      </c>
      <c r="B4540" t="s">
        <v>9940</v>
      </c>
      <c r="C4540" t="s">
        <v>9941</v>
      </c>
      <c r="D4540" t="s">
        <v>50</v>
      </c>
      <c r="E4540" t="s">
        <v>20</v>
      </c>
      <c r="F4540" t="str">
        <f>"43560-1292"</f>
        <v>43560-1292</v>
      </c>
      <c r="G4540" t="str">
        <f>"637573"</f>
        <v>637573</v>
      </c>
      <c r="H4540" s="2">
        <f>10</f>
        <v>10</v>
      </c>
      <c r="I4540" t="s">
        <v>27</v>
      </c>
      <c r="J4540" t="s">
        <v>61</v>
      </c>
      <c r="K4540" t="str">
        <f>"120615"</f>
        <v>120615</v>
      </c>
    </row>
    <row r="4541" spans="1:11" x14ac:dyDescent="0.25">
      <c r="A4541">
        <v>2023</v>
      </c>
      <c r="B4541" t="s">
        <v>9942</v>
      </c>
      <c r="C4541" t="s">
        <v>9943</v>
      </c>
      <c r="D4541" t="s">
        <v>4326</v>
      </c>
      <c r="E4541" t="s">
        <v>20</v>
      </c>
      <c r="F4541" t="str">
        <f>"44131"</f>
        <v>44131</v>
      </c>
      <c r="G4541" t="str">
        <f>"632483"</f>
        <v>632483</v>
      </c>
      <c r="H4541" s="2">
        <f>5.55</f>
        <v>5.55</v>
      </c>
      <c r="I4541" t="s">
        <v>27</v>
      </c>
      <c r="J4541" t="s">
        <v>108</v>
      </c>
      <c r="K4541" t="str">
        <f>"39491"</f>
        <v>39491</v>
      </c>
    </row>
    <row r="4542" spans="1:11" x14ac:dyDescent="0.25">
      <c r="A4542">
        <v>2023</v>
      </c>
      <c r="B4542" t="s">
        <v>9974</v>
      </c>
      <c r="C4542" t="s">
        <v>9975</v>
      </c>
      <c r="D4542" t="s">
        <v>19</v>
      </c>
      <c r="E4542" t="s">
        <v>20</v>
      </c>
      <c r="F4542" t="str">
        <f>"43614-3261"</f>
        <v>43614-3261</v>
      </c>
      <c r="G4542" t="str">
        <f>"637573"</f>
        <v>637573</v>
      </c>
      <c r="H4542" s="2">
        <f>80</f>
        <v>80</v>
      </c>
      <c r="I4542" t="s">
        <v>27</v>
      </c>
      <c r="J4542" t="s">
        <v>61</v>
      </c>
      <c r="K4542" t="str">
        <f>"120066"</f>
        <v>120066</v>
      </c>
    </row>
    <row r="4543" spans="1:11" x14ac:dyDescent="0.25">
      <c r="A4543">
        <v>2023</v>
      </c>
      <c r="B4543" t="s">
        <v>10008</v>
      </c>
      <c r="C4543" t="s">
        <v>10009</v>
      </c>
      <c r="D4543" t="s">
        <v>19</v>
      </c>
      <c r="E4543" t="s">
        <v>20</v>
      </c>
      <c r="F4543" t="str">
        <f>"43615"</f>
        <v>43615</v>
      </c>
      <c r="G4543" t="str">
        <f>"Je04112023"</f>
        <v>Je04112023</v>
      </c>
      <c r="H4543" s="2">
        <f>163.32</f>
        <v>163.32</v>
      </c>
      <c r="I4543" t="s">
        <v>15</v>
      </c>
      <c r="J4543" t="s">
        <v>412</v>
      </c>
      <c r="K4543" t="str">
        <f>"60073231"</f>
        <v>60073231</v>
      </c>
    </row>
    <row r="4544" spans="1:11" x14ac:dyDescent="0.25">
      <c r="A4544">
        <v>2023</v>
      </c>
      <c r="B4544" t="s">
        <v>10016</v>
      </c>
      <c r="C4544" t="s">
        <v>10017</v>
      </c>
      <c r="D4544" t="s">
        <v>19</v>
      </c>
      <c r="E4544" t="s">
        <v>20</v>
      </c>
      <c r="F4544" t="str">
        <f>"43606"</f>
        <v>43606</v>
      </c>
      <c r="G4544" t="str">
        <f>"Je12142023"</f>
        <v>Je12142023</v>
      </c>
      <c r="H4544" s="2">
        <f>20</f>
        <v>20</v>
      </c>
      <c r="I4544" t="s">
        <v>15</v>
      </c>
      <c r="J4544" t="s">
        <v>176</v>
      </c>
      <c r="K4544" t="str">
        <f>"60101856"</f>
        <v>60101856</v>
      </c>
    </row>
    <row r="4545" spans="1:11" x14ac:dyDescent="0.25">
      <c r="A4545">
        <v>2023</v>
      </c>
      <c r="B4545" t="s">
        <v>10025</v>
      </c>
      <c r="C4545" t="s">
        <v>10026</v>
      </c>
      <c r="D4545" t="s">
        <v>10027</v>
      </c>
      <c r="E4545" t="s">
        <v>1341</v>
      </c>
      <c r="F4545" t="str">
        <f>"76034"</f>
        <v>76034</v>
      </c>
      <c r="G4545" t="str">
        <f>"632514"</f>
        <v>632514</v>
      </c>
      <c r="H4545" s="2">
        <f>129.51</f>
        <v>129.51</v>
      </c>
      <c r="I4545" t="s">
        <v>27</v>
      </c>
      <c r="J4545" t="s">
        <v>195</v>
      </c>
      <c r="K4545" t="str">
        <f>"22024656"</f>
        <v>22024656</v>
      </c>
    </row>
    <row r="4546" spans="1:11" x14ac:dyDescent="0.25">
      <c r="A4546">
        <v>2023</v>
      </c>
      <c r="B4546" t="s">
        <v>10028</v>
      </c>
      <c r="C4546" t="s">
        <v>10029</v>
      </c>
      <c r="D4546" t="s">
        <v>19</v>
      </c>
      <c r="E4546" t="s">
        <v>20</v>
      </c>
      <c r="F4546" t="str">
        <f>"43615"</f>
        <v>43615</v>
      </c>
      <c r="G4546" t="str">
        <f>"632482"</f>
        <v>632482</v>
      </c>
      <c r="H4546" s="2">
        <f>9.75</f>
        <v>9.75</v>
      </c>
      <c r="I4546" t="s">
        <v>27</v>
      </c>
      <c r="J4546" t="s">
        <v>157</v>
      </c>
      <c r="K4546" t="str">
        <f>"521792"</f>
        <v>521792</v>
      </c>
    </row>
    <row r="4547" spans="1:11" x14ac:dyDescent="0.25">
      <c r="A4547">
        <v>2023</v>
      </c>
      <c r="B4547" t="s">
        <v>10041</v>
      </c>
      <c r="C4547" t="s">
        <v>10042</v>
      </c>
      <c r="D4547" t="s">
        <v>19</v>
      </c>
      <c r="E4547" t="s">
        <v>20</v>
      </c>
      <c r="F4547" t="str">
        <f>"43609"</f>
        <v>43609</v>
      </c>
      <c r="G4547" t="str">
        <f>"589332"</f>
        <v>589332</v>
      </c>
      <c r="H4547" s="2">
        <f>20</f>
        <v>20</v>
      </c>
      <c r="I4547" t="s">
        <v>519</v>
      </c>
      <c r="J4547" t="s">
        <v>519</v>
      </c>
      <c r="K4547" t="str">
        <f>"15353"</f>
        <v>15353</v>
      </c>
    </row>
    <row r="4548" spans="1:11" x14ac:dyDescent="0.25">
      <c r="A4548">
        <v>2023</v>
      </c>
      <c r="B4548" t="s">
        <v>10057</v>
      </c>
      <c r="C4548" t="s">
        <v>10058</v>
      </c>
      <c r="D4548" t="s">
        <v>19</v>
      </c>
      <c r="E4548" t="s">
        <v>20</v>
      </c>
      <c r="F4548" t="str">
        <f>"43611"</f>
        <v>43611</v>
      </c>
      <c r="G4548" t="str">
        <f>"632482"</f>
        <v>632482</v>
      </c>
      <c r="H4548" s="2">
        <f>35</f>
        <v>35</v>
      </c>
      <c r="I4548" t="s">
        <v>27</v>
      </c>
      <c r="J4548" t="s">
        <v>157</v>
      </c>
      <c r="K4548" t="str">
        <f>"520686"</f>
        <v>520686</v>
      </c>
    </row>
    <row r="4549" spans="1:11" x14ac:dyDescent="0.25">
      <c r="A4549">
        <v>2023</v>
      </c>
      <c r="B4549" t="s">
        <v>10067</v>
      </c>
      <c r="C4549" t="s">
        <v>10068</v>
      </c>
      <c r="D4549" t="s">
        <v>19</v>
      </c>
      <c r="E4549" t="s">
        <v>20</v>
      </c>
      <c r="F4549" t="str">
        <f>"43617"</f>
        <v>43617</v>
      </c>
      <c r="G4549" t="str">
        <f>"Je012023"</f>
        <v>Je012023</v>
      </c>
      <c r="H4549" s="2">
        <f>150</f>
        <v>150</v>
      </c>
      <c r="I4549" t="s">
        <v>15</v>
      </c>
      <c r="J4549" t="s">
        <v>397</v>
      </c>
      <c r="K4549" t="str">
        <f>"60065059"</f>
        <v>60065059</v>
      </c>
    </row>
    <row r="4550" spans="1:11" x14ac:dyDescent="0.25">
      <c r="A4550">
        <v>2023</v>
      </c>
      <c r="B4550" t="s">
        <v>10067</v>
      </c>
      <c r="C4550" t="s">
        <v>10068</v>
      </c>
      <c r="D4550" t="s">
        <v>19</v>
      </c>
      <c r="E4550" t="s">
        <v>20</v>
      </c>
      <c r="F4550" t="str">
        <f>"43617"</f>
        <v>43617</v>
      </c>
      <c r="G4550" t="str">
        <f>"Je012023"</f>
        <v>Je012023</v>
      </c>
      <c r="H4550" s="2">
        <f>15</f>
        <v>15</v>
      </c>
      <c r="I4550" t="s">
        <v>15</v>
      </c>
      <c r="J4550" t="s">
        <v>397</v>
      </c>
      <c r="K4550" t="str">
        <f>"60060235"</f>
        <v>60060235</v>
      </c>
    </row>
    <row r="4551" spans="1:11" x14ac:dyDescent="0.25">
      <c r="A4551">
        <v>2023</v>
      </c>
      <c r="B4551" t="s">
        <v>10069</v>
      </c>
      <c r="C4551" t="s">
        <v>10070</v>
      </c>
      <c r="D4551" t="s">
        <v>10071</v>
      </c>
      <c r="E4551" t="s">
        <v>9729</v>
      </c>
      <c r="F4551" t="str">
        <f>"02601"</f>
        <v>02601</v>
      </c>
      <c r="G4551" t="str">
        <f>"638581"</f>
        <v>638581</v>
      </c>
      <c r="H4551" s="2">
        <f>18.3</f>
        <v>18.3</v>
      </c>
      <c r="I4551" t="s">
        <v>27</v>
      </c>
      <c r="J4551" t="s">
        <v>61</v>
      </c>
      <c r="K4551" t="str">
        <f>"334146"</f>
        <v>334146</v>
      </c>
    </row>
    <row r="4552" spans="1:11" x14ac:dyDescent="0.25">
      <c r="A4552">
        <v>2023</v>
      </c>
      <c r="B4552" t="s">
        <v>10082</v>
      </c>
      <c r="C4552" t="s">
        <v>10083</v>
      </c>
      <c r="D4552" t="s">
        <v>125</v>
      </c>
      <c r="E4552" t="s">
        <v>20</v>
      </c>
      <c r="F4552" t="str">
        <f>"43537"</f>
        <v>43537</v>
      </c>
      <c r="G4552" t="str">
        <f>"Je06132023"</f>
        <v>Je06132023</v>
      </c>
      <c r="H4552" s="2">
        <f>95</f>
        <v>95</v>
      </c>
      <c r="I4552" t="s">
        <v>15</v>
      </c>
      <c r="J4552" t="s">
        <v>16</v>
      </c>
      <c r="K4552" t="str">
        <f>"60081841"</f>
        <v>60081841</v>
      </c>
    </row>
    <row r="4553" spans="1:11" x14ac:dyDescent="0.25">
      <c r="A4553">
        <v>2023</v>
      </c>
      <c r="B4553" t="s">
        <v>10082</v>
      </c>
      <c r="C4553" t="s">
        <v>10083</v>
      </c>
      <c r="D4553" t="s">
        <v>125</v>
      </c>
      <c r="E4553" t="s">
        <v>20</v>
      </c>
      <c r="F4553" t="str">
        <f>"43537"</f>
        <v>43537</v>
      </c>
      <c r="G4553" t="str">
        <f>"Je06132023"</f>
        <v>Je06132023</v>
      </c>
      <c r="H4553" s="2">
        <f>125</f>
        <v>125</v>
      </c>
      <c r="I4553" t="s">
        <v>15</v>
      </c>
      <c r="J4553" t="s">
        <v>16</v>
      </c>
      <c r="K4553" t="str">
        <f>"60080700"</f>
        <v>60080700</v>
      </c>
    </row>
    <row r="4554" spans="1:11" x14ac:dyDescent="0.25">
      <c r="A4554">
        <v>2023</v>
      </c>
      <c r="B4554" t="s">
        <v>10086</v>
      </c>
      <c r="C4554" t="s">
        <v>10087</v>
      </c>
      <c r="D4554" t="s">
        <v>899</v>
      </c>
      <c r="E4554" t="s">
        <v>20</v>
      </c>
      <c r="F4554" t="str">
        <f>"43412"</f>
        <v>43412</v>
      </c>
      <c r="G4554" t="str">
        <f>"Je12142023"</f>
        <v>Je12142023</v>
      </c>
      <c r="H4554" s="2">
        <f>35</f>
        <v>35</v>
      </c>
      <c r="I4554" t="s">
        <v>15</v>
      </c>
      <c r="J4554" t="s">
        <v>176</v>
      </c>
      <c r="K4554" t="str">
        <f>"60104323"</f>
        <v>60104323</v>
      </c>
    </row>
    <row r="4555" spans="1:11" x14ac:dyDescent="0.25">
      <c r="A4555">
        <v>2023</v>
      </c>
      <c r="B4555" t="s">
        <v>10101</v>
      </c>
      <c r="C4555" t="s">
        <v>10102</v>
      </c>
      <c r="D4555" t="s">
        <v>19</v>
      </c>
      <c r="E4555" t="s">
        <v>20</v>
      </c>
      <c r="F4555" t="str">
        <f>"43615-1637"</f>
        <v>43615-1637</v>
      </c>
      <c r="G4555" t="str">
        <f>"637573"</f>
        <v>637573</v>
      </c>
      <c r="H4555" s="2">
        <f>10</f>
        <v>10</v>
      </c>
      <c r="I4555" t="s">
        <v>27</v>
      </c>
      <c r="J4555" t="s">
        <v>61</v>
      </c>
      <c r="K4555" t="str">
        <f>"118810"</f>
        <v>118810</v>
      </c>
    </row>
    <row r="4556" spans="1:11" x14ac:dyDescent="0.25">
      <c r="A4556">
        <v>2023</v>
      </c>
      <c r="B4556" t="s">
        <v>10118</v>
      </c>
      <c r="C4556" t="s">
        <v>10119</v>
      </c>
      <c r="D4556" t="s">
        <v>19</v>
      </c>
      <c r="E4556" t="s">
        <v>20</v>
      </c>
      <c r="F4556" t="str">
        <f>"43612-2166"</f>
        <v>43612-2166</v>
      </c>
      <c r="G4556" t="str">
        <f>"637573"</f>
        <v>637573</v>
      </c>
      <c r="H4556" s="2">
        <f>30</f>
        <v>30</v>
      </c>
      <c r="I4556" t="s">
        <v>27</v>
      </c>
      <c r="J4556" t="s">
        <v>61</v>
      </c>
      <c r="K4556" t="str">
        <f>"120775"</f>
        <v>120775</v>
      </c>
    </row>
    <row r="4557" spans="1:11" x14ac:dyDescent="0.25">
      <c r="A4557">
        <v>2023</v>
      </c>
      <c r="B4557" t="s">
        <v>10134</v>
      </c>
      <c r="C4557" t="s">
        <v>10135</v>
      </c>
      <c r="D4557" t="s">
        <v>164</v>
      </c>
      <c r="E4557" t="s">
        <v>20</v>
      </c>
      <c r="F4557" t="str">
        <f>"43558"</f>
        <v>43558</v>
      </c>
      <c r="G4557" t="str">
        <f>"589300"</f>
        <v>589300</v>
      </c>
      <c r="H4557" s="2">
        <f>10</f>
        <v>10</v>
      </c>
      <c r="I4557" t="s">
        <v>148</v>
      </c>
      <c r="J4557" t="s">
        <v>10136</v>
      </c>
      <c r="K4557" t="str">
        <f>"26023"</f>
        <v>26023</v>
      </c>
    </row>
    <row r="4558" spans="1:11" x14ac:dyDescent="0.25">
      <c r="A4558">
        <v>2023</v>
      </c>
      <c r="B4558" t="s">
        <v>10147</v>
      </c>
      <c r="C4558" t="s">
        <v>10148</v>
      </c>
      <c r="D4558" t="s">
        <v>19</v>
      </c>
      <c r="E4558" t="s">
        <v>20</v>
      </c>
      <c r="F4558" t="str">
        <f>"43605"</f>
        <v>43605</v>
      </c>
      <c r="G4558" t="str">
        <f>"Je06132023"</f>
        <v>Je06132023</v>
      </c>
      <c r="H4558" s="2">
        <f>15.52</f>
        <v>15.52</v>
      </c>
      <c r="I4558" t="s">
        <v>15</v>
      </c>
      <c r="J4558" t="s">
        <v>16</v>
      </c>
      <c r="K4558" t="str">
        <f>"60077089"</f>
        <v>60077089</v>
      </c>
    </row>
    <row r="4559" spans="1:11" x14ac:dyDescent="0.25">
      <c r="A4559">
        <v>2023</v>
      </c>
      <c r="B4559" t="s">
        <v>10153</v>
      </c>
      <c r="C4559" t="s">
        <v>10154</v>
      </c>
      <c r="D4559" t="s">
        <v>58</v>
      </c>
      <c r="E4559" t="s">
        <v>20</v>
      </c>
      <c r="F4559" t="str">
        <f>"43616-5878"</f>
        <v>43616-5878</v>
      </c>
      <c r="G4559" t="str">
        <f>"637573"</f>
        <v>637573</v>
      </c>
      <c r="H4559" s="2">
        <f>40</f>
        <v>40</v>
      </c>
      <c r="I4559" t="s">
        <v>27</v>
      </c>
      <c r="J4559" t="s">
        <v>61</v>
      </c>
      <c r="K4559" t="str">
        <f>"118578"</f>
        <v>118578</v>
      </c>
    </row>
    <row r="4560" spans="1:11" x14ac:dyDescent="0.25">
      <c r="A4560">
        <v>2023</v>
      </c>
      <c r="B4560" t="s">
        <v>10157</v>
      </c>
      <c r="C4560" t="s">
        <v>10158</v>
      </c>
      <c r="D4560" t="s">
        <v>19</v>
      </c>
      <c r="E4560" t="s">
        <v>20</v>
      </c>
      <c r="F4560" t="str">
        <f>"43609"</f>
        <v>43609</v>
      </c>
      <c r="G4560" t="str">
        <f>"632482"</f>
        <v>632482</v>
      </c>
      <c r="H4560" s="2">
        <f>20</f>
        <v>20</v>
      </c>
      <c r="I4560" t="s">
        <v>27</v>
      </c>
      <c r="J4560" t="s">
        <v>157</v>
      </c>
      <c r="K4560" t="str">
        <f>"522242"</f>
        <v>522242</v>
      </c>
    </row>
    <row r="4561" spans="1:11" x14ac:dyDescent="0.25">
      <c r="A4561">
        <v>2023</v>
      </c>
      <c r="B4561" t="s">
        <v>10157</v>
      </c>
      <c r="C4561" t="s">
        <v>10158</v>
      </c>
      <c r="D4561" t="s">
        <v>19</v>
      </c>
      <c r="E4561" t="s">
        <v>20</v>
      </c>
      <c r="F4561" t="str">
        <f>"43609"</f>
        <v>43609</v>
      </c>
      <c r="G4561" t="str">
        <f>"632482"</f>
        <v>632482</v>
      </c>
      <c r="H4561" s="2">
        <f>50</f>
        <v>50</v>
      </c>
      <c r="I4561" t="s">
        <v>27</v>
      </c>
      <c r="J4561" t="s">
        <v>157</v>
      </c>
      <c r="K4561" t="str">
        <f>"521832"</f>
        <v>521832</v>
      </c>
    </row>
    <row r="4562" spans="1:11" x14ac:dyDescent="0.25">
      <c r="A4562">
        <v>2023</v>
      </c>
      <c r="B4562" t="s">
        <v>10157</v>
      </c>
      <c r="C4562" t="s">
        <v>10158</v>
      </c>
      <c r="D4562" t="s">
        <v>19</v>
      </c>
      <c r="E4562" t="s">
        <v>20</v>
      </c>
      <c r="F4562" t="str">
        <f>"43609"</f>
        <v>43609</v>
      </c>
      <c r="G4562" t="str">
        <f>"632482"</f>
        <v>632482</v>
      </c>
      <c r="H4562" s="2">
        <f>10</f>
        <v>10</v>
      </c>
      <c r="I4562" t="s">
        <v>27</v>
      </c>
      <c r="J4562" t="s">
        <v>157</v>
      </c>
      <c r="K4562" t="str">
        <f>"521517"</f>
        <v>521517</v>
      </c>
    </row>
    <row r="4563" spans="1:11" x14ac:dyDescent="0.25">
      <c r="A4563">
        <v>2023</v>
      </c>
      <c r="B4563" t="s">
        <v>10169</v>
      </c>
      <c r="C4563" t="s">
        <v>10170</v>
      </c>
      <c r="D4563" t="s">
        <v>19</v>
      </c>
      <c r="E4563" t="s">
        <v>20</v>
      </c>
      <c r="F4563" t="str">
        <f>"43607-1668"</f>
        <v>43607-1668</v>
      </c>
      <c r="G4563" t="str">
        <f>"637573"</f>
        <v>637573</v>
      </c>
      <c r="H4563" s="2">
        <f>10</f>
        <v>10</v>
      </c>
      <c r="I4563" t="s">
        <v>27</v>
      </c>
      <c r="J4563" t="s">
        <v>61</v>
      </c>
      <c r="K4563" t="str">
        <f>"119760"</f>
        <v>119760</v>
      </c>
    </row>
    <row r="4564" spans="1:11" x14ac:dyDescent="0.25">
      <c r="A4564">
        <v>2023</v>
      </c>
      <c r="B4564" t="s">
        <v>10179</v>
      </c>
      <c r="C4564" t="s">
        <v>10181</v>
      </c>
      <c r="D4564" t="s">
        <v>19</v>
      </c>
      <c r="E4564" t="s">
        <v>20</v>
      </c>
      <c r="F4564" t="str">
        <f>"43612"</f>
        <v>43612</v>
      </c>
      <c r="G4564" t="str">
        <f>"632514"</f>
        <v>632514</v>
      </c>
      <c r="H4564" s="2">
        <f>2.71</f>
        <v>2.71</v>
      </c>
      <c r="I4564" t="s">
        <v>27</v>
      </c>
      <c r="J4564" t="s">
        <v>195</v>
      </c>
      <c r="K4564" t="str">
        <f>"44009146"</f>
        <v>44009146</v>
      </c>
    </row>
    <row r="4565" spans="1:11" x14ac:dyDescent="0.25">
      <c r="A4565">
        <v>2023</v>
      </c>
      <c r="B4565" t="s">
        <v>10182</v>
      </c>
      <c r="C4565" t="s">
        <v>10183</v>
      </c>
      <c r="D4565" t="s">
        <v>19</v>
      </c>
      <c r="E4565" t="s">
        <v>20</v>
      </c>
      <c r="F4565" t="str">
        <f>"43614"</f>
        <v>43614</v>
      </c>
      <c r="G4565" t="str">
        <f>"Je06132023"</f>
        <v>Je06132023</v>
      </c>
      <c r="H4565" s="2">
        <f>564.35</f>
        <v>564.35</v>
      </c>
      <c r="I4565" t="s">
        <v>15</v>
      </c>
      <c r="J4565" t="s">
        <v>16</v>
      </c>
      <c r="K4565" t="str">
        <f>"60078037"</f>
        <v>60078037</v>
      </c>
    </row>
    <row r="4566" spans="1:11" x14ac:dyDescent="0.25">
      <c r="A4566">
        <v>2023</v>
      </c>
      <c r="B4566" t="s">
        <v>10186</v>
      </c>
      <c r="C4566" t="s">
        <v>10187</v>
      </c>
      <c r="D4566" t="s">
        <v>19</v>
      </c>
      <c r="E4566" t="s">
        <v>20</v>
      </c>
      <c r="F4566" t="str">
        <f>"43608"</f>
        <v>43608</v>
      </c>
      <c r="G4566" t="str">
        <f>"Je012023"</f>
        <v>Je012023</v>
      </c>
      <c r="H4566" s="2">
        <f>596.72</f>
        <v>596.72</v>
      </c>
      <c r="I4566" t="s">
        <v>15</v>
      </c>
      <c r="J4566" t="s">
        <v>397</v>
      </c>
      <c r="K4566" t="str">
        <f>"60062436"</f>
        <v>60062436</v>
      </c>
    </row>
    <row r="4567" spans="1:11" x14ac:dyDescent="0.25">
      <c r="A4567">
        <v>2023</v>
      </c>
      <c r="B4567" t="s">
        <v>10188</v>
      </c>
      <c r="C4567" t="s">
        <v>10189</v>
      </c>
      <c r="D4567" t="s">
        <v>19</v>
      </c>
      <c r="E4567" t="s">
        <v>20</v>
      </c>
      <c r="F4567" t="str">
        <f>"43613"</f>
        <v>43613</v>
      </c>
      <c r="G4567" t="str">
        <f>"Je012023"</f>
        <v>Je012023</v>
      </c>
      <c r="H4567" s="2">
        <f>160</f>
        <v>160</v>
      </c>
      <c r="I4567" t="s">
        <v>15</v>
      </c>
      <c r="J4567" t="s">
        <v>397</v>
      </c>
      <c r="K4567" t="str">
        <f>"60059654"</f>
        <v>60059654</v>
      </c>
    </row>
    <row r="4568" spans="1:11" x14ac:dyDescent="0.25">
      <c r="A4568">
        <v>2023</v>
      </c>
      <c r="B4568" t="s">
        <v>10198</v>
      </c>
      <c r="C4568" t="s">
        <v>10199</v>
      </c>
      <c r="D4568" t="s">
        <v>19</v>
      </c>
      <c r="E4568" t="s">
        <v>20</v>
      </c>
      <c r="F4568" t="str">
        <f>"43607"</f>
        <v>43607</v>
      </c>
      <c r="G4568" t="str">
        <f>"632482"</f>
        <v>632482</v>
      </c>
      <c r="H4568" s="2">
        <f>200</f>
        <v>200</v>
      </c>
      <c r="I4568" t="s">
        <v>27</v>
      </c>
      <c r="J4568" t="s">
        <v>157</v>
      </c>
      <c r="K4568" t="str">
        <f>"520851"</f>
        <v>520851</v>
      </c>
    </row>
    <row r="4569" spans="1:11" x14ac:dyDescent="0.25">
      <c r="A4569">
        <v>2023</v>
      </c>
      <c r="B4569" t="s">
        <v>10198</v>
      </c>
      <c r="C4569" t="s">
        <v>10199</v>
      </c>
      <c r="D4569" t="s">
        <v>19</v>
      </c>
      <c r="E4569" t="s">
        <v>20</v>
      </c>
      <c r="F4569" t="str">
        <f>"43607"</f>
        <v>43607</v>
      </c>
      <c r="G4569" t="str">
        <f>"632482"</f>
        <v>632482</v>
      </c>
      <c r="H4569" s="2">
        <f>200</f>
        <v>200</v>
      </c>
      <c r="I4569" t="s">
        <v>27</v>
      </c>
      <c r="J4569" t="s">
        <v>157</v>
      </c>
      <c r="K4569" t="str">
        <f>"520631"</f>
        <v>520631</v>
      </c>
    </row>
    <row r="4570" spans="1:11" x14ac:dyDescent="0.25">
      <c r="A4570">
        <v>2023</v>
      </c>
      <c r="B4570" t="s">
        <v>10198</v>
      </c>
      <c r="C4570" t="s">
        <v>10199</v>
      </c>
      <c r="D4570" t="s">
        <v>19</v>
      </c>
      <c r="E4570" t="s">
        <v>20</v>
      </c>
      <c r="F4570" t="str">
        <f>"43607"</f>
        <v>43607</v>
      </c>
      <c r="G4570" t="str">
        <f>"632482"</f>
        <v>632482</v>
      </c>
      <c r="H4570" s="2">
        <f>434</f>
        <v>434</v>
      </c>
      <c r="I4570" t="s">
        <v>27</v>
      </c>
      <c r="J4570" t="s">
        <v>157</v>
      </c>
      <c r="K4570" t="str">
        <f>"521353"</f>
        <v>521353</v>
      </c>
    </row>
    <row r="4571" spans="1:11" x14ac:dyDescent="0.25">
      <c r="A4571">
        <v>2023</v>
      </c>
      <c r="B4571" t="s">
        <v>10198</v>
      </c>
      <c r="C4571" t="s">
        <v>10199</v>
      </c>
      <c r="D4571" t="s">
        <v>19</v>
      </c>
      <c r="E4571" t="s">
        <v>20</v>
      </c>
      <c r="F4571" t="str">
        <f>"43607"</f>
        <v>43607</v>
      </c>
      <c r="G4571" t="str">
        <f>"632482"</f>
        <v>632482</v>
      </c>
      <c r="H4571" s="2">
        <f>300</f>
        <v>300</v>
      </c>
      <c r="I4571" t="s">
        <v>27</v>
      </c>
      <c r="J4571" t="s">
        <v>157</v>
      </c>
      <c r="K4571" t="str">
        <f>"521111"</f>
        <v>521111</v>
      </c>
    </row>
    <row r="4572" spans="1:11" x14ac:dyDescent="0.25">
      <c r="A4572">
        <v>2023</v>
      </c>
      <c r="B4572" t="s">
        <v>10203</v>
      </c>
      <c r="C4572" t="s">
        <v>10204</v>
      </c>
      <c r="D4572" t="s">
        <v>19</v>
      </c>
      <c r="E4572" t="s">
        <v>20</v>
      </c>
      <c r="F4572" t="str">
        <f>"43611"</f>
        <v>43611</v>
      </c>
      <c r="G4572" t="str">
        <f>"632482"</f>
        <v>632482</v>
      </c>
      <c r="H4572" s="2">
        <f>17.18</f>
        <v>17.18</v>
      </c>
      <c r="I4572" t="s">
        <v>27</v>
      </c>
      <c r="J4572" t="s">
        <v>157</v>
      </c>
      <c r="K4572" t="str">
        <f>"522068"</f>
        <v>522068</v>
      </c>
    </row>
    <row r="4573" spans="1:11" x14ac:dyDescent="0.25">
      <c r="A4573">
        <v>2023</v>
      </c>
      <c r="B4573" t="s">
        <v>10209</v>
      </c>
      <c r="C4573" t="s">
        <v>10210</v>
      </c>
      <c r="D4573" t="s">
        <v>19</v>
      </c>
      <c r="E4573" t="s">
        <v>20</v>
      </c>
      <c r="F4573" t="str">
        <f>"43607-2274"</f>
        <v>43607-2274</v>
      </c>
      <c r="G4573" t="str">
        <f>"637573"</f>
        <v>637573</v>
      </c>
      <c r="H4573" s="2">
        <f>10</f>
        <v>10</v>
      </c>
      <c r="I4573" t="s">
        <v>27</v>
      </c>
      <c r="J4573" t="s">
        <v>61</v>
      </c>
      <c r="K4573" t="str">
        <f>"120865"</f>
        <v>120865</v>
      </c>
    </row>
    <row r="4574" spans="1:11" x14ac:dyDescent="0.25">
      <c r="A4574">
        <v>2023</v>
      </c>
      <c r="B4574" t="s">
        <v>10221</v>
      </c>
      <c r="C4574" t="s">
        <v>10222</v>
      </c>
      <c r="D4574" t="s">
        <v>19</v>
      </c>
      <c r="E4574" t="s">
        <v>20</v>
      </c>
      <c r="F4574" t="str">
        <f>"43613"</f>
        <v>43613</v>
      </c>
      <c r="G4574" t="str">
        <f>"Je12142023"</f>
        <v>Je12142023</v>
      </c>
      <c r="H4574" s="2">
        <f>350.76</f>
        <v>350.76</v>
      </c>
      <c r="I4574" t="s">
        <v>15</v>
      </c>
      <c r="J4574" t="s">
        <v>176</v>
      </c>
      <c r="K4574" t="str">
        <f>"60098078"</f>
        <v>60098078</v>
      </c>
    </row>
    <row r="4575" spans="1:11" x14ac:dyDescent="0.25">
      <c r="A4575">
        <v>2023</v>
      </c>
      <c r="B4575" t="s">
        <v>10223</v>
      </c>
      <c r="C4575" t="s">
        <v>10224</v>
      </c>
      <c r="D4575" t="s">
        <v>899</v>
      </c>
      <c r="E4575" t="s">
        <v>20</v>
      </c>
      <c r="F4575" t="str">
        <f>"43412-9783"</f>
        <v>43412-9783</v>
      </c>
      <c r="G4575" t="str">
        <f>"637573"</f>
        <v>637573</v>
      </c>
      <c r="H4575" s="2">
        <f>60</f>
        <v>60</v>
      </c>
      <c r="I4575" t="s">
        <v>27</v>
      </c>
      <c r="J4575" t="s">
        <v>61</v>
      </c>
      <c r="K4575" t="str">
        <f>"120579"</f>
        <v>120579</v>
      </c>
    </row>
    <row r="4576" spans="1:11" x14ac:dyDescent="0.25">
      <c r="A4576">
        <v>2023</v>
      </c>
      <c r="B4576" t="s">
        <v>10233</v>
      </c>
      <c r="C4576" t="s">
        <v>10234</v>
      </c>
      <c r="D4576" t="s">
        <v>19</v>
      </c>
      <c r="E4576" t="s">
        <v>20</v>
      </c>
      <c r="F4576" t="str">
        <f>"43613-4323"</f>
        <v>43613-4323</v>
      </c>
      <c r="G4576" t="str">
        <f>"637573"</f>
        <v>637573</v>
      </c>
      <c r="H4576" s="2">
        <f>10</f>
        <v>10</v>
      </c>
      <c r="I4576" t="s">
        <v>27</v>
      </c>
      <c r="J4576" t="s">
        <v>61</v>
      </c>
      <c r="K4576" t="str">
        <f>"118580"</f>
        <v>118580</v>
      </c>
    </row>
    <row r="4577" spans="1:11" x14ac:dyDescent="0.25">
      <c r="A4577">
        <v>2023</v>
      </c>
      <c r="B4577" t="s">
        <v>10239</v>
      </c>
      <c r="C4577" t="s">
        <v>10240</v>
      </c>
      <c r="D4577" t="s">
        <v>19</v>
      </c>
      <c r="E4577" t="s">
        <v>20</v>
      </c>
      <c r="F4577" t="str">
        <f>"43613-3333"</f>
        <v>43613-3333</v>
      </c>
      <c r="G4577" t="str">
        <f>"637573"</f>
        <v>637573</v>
      </c>
      <c r="H4577" s="2">
        <f>20</f>
        <v>20</v>
      </c>
      <c r="I4577" t="s">
        <v>27</v>
      </c>
      <c r="J4577" t="s">
        <v>61</v>
      </c>
      <c r="K4577" t="str">
        <f>"120431"</f>
        <v>120431</v>
      </c>
    </row>
    <row r="4578" spans="1:11" x14ac:dyDescent="0.25">
      <c r="A4578">
        <v>2023</v>
      </c>
      <c r="B4578" t="s">
        <v>10249</v>
      </c>
      <c r="C4578" t="s">
        <v>10250</v>
      </c>
      <c r="D4578" t="s">
        <v>19</v>
      </c>
      <c r="E4578" t="s">
        <v>20</v>
      </c>
      <c r="F4578" t="str">
        <f>"43612-4057"</f>
        <v>43612-4057</v>
      </c>
      <c r="G4578" t="str">
        <f>"637573"</f>
        <v>637573</v>
      </c>
      <c r="H4578" s="2">
        <f>10</f>
        <v>10</v>
      </c>
      <c r="I4578" t="s">
        <v>27</v>
      </c>
      <c r="J4578" t="s">
        <v>61</v>
      </c>
      <c r="K4578" t="str">
        <f>"120430"</f>
        <v>120430</v>
      </c>
    </row>
    <row r="4579" spans="1:11" x14ac:dyDescent="0.25">
      <c r="A4579">
        <v>2023</v>
      </c>
      <c r="B4579" t="s">
        <v>10285</v>
      </c>
      <c r="C4579" t="s">
        <v>10286</v>
      </c>
      <c r="D4579" t="s">
        <v>19</v>
      </c>
      <c r="E4579" t="s">
        <v>20</v>
      </c>
      <c r="F4579" t="str">
        <f>"43610"</f>
        <v>43610</v>
      </c>
      <c r="G4579" t="str">
        <f>"Je012023"</f>
        <v>Je012023</v>
      </c>
      <c r="H4579" s="2">
        <f>160</f>
        <v>160</v>
      </c>
      <c r="I4579" t="s">
        <v>15</v>
      </c>
      <c r="J4579" t="s">
        <v>397</v>
      </c>
      <c r="K4579" t="str">
        <f>"60059656"</f>
        <v>60059656</v>
      </c>
    </row>
    <row r="4580" spans="1:11" x14ac:dyDescent="0.25">
      <c r="A4580">
        <v>2023</v>
      </c>
      <c r="B4580" t="s">
        <v>10309</v>
      </c>
      <c r="C4580" t="s">
        <v>10310</v>
      </c>
      <c r="D4580" t="s">
        <v>19</v>
      </c>
      <c r="E4580" t="s">
        <v>20</v>
      </c>
      <c r="F4580" t="str">
        <f>"43614-5645"</f>
        <v>43614-5645</v>
      </c>
      <c r="G4580" t="str">
        <f>"637573"</f>
        <v>637573</v>
      </c>
      <c r="H4580" s="2">
        <f>10</f>
        <v>10</v>
      </c>
      <c r="I4580" t="s">
        <v>27</v>
      </c>
      <c r="J4580" t="s">
        <v>61</v>
      </c>
      <c r="K4580" t="str">
        <f>"120604"</f>
        <v>120604</v>
      </c>
    </row>
    <row r="4581" spans="1:11" x14ac:dyDescent="0.25">
      <c r="A4581">
        <v>2023</v>
      </c>
      <c r="B4581" t="s">
        <v>10313</v>
      </c>
      <c r="C4581" t="s">
        <v>10314</v>
      </c>
      <c r="D4581" t="s">
        <v>58</v>
      </c>
      <c r="E4581" t="s">
        <v>20</v>
      </c>
      <c r="F4581" t="str">
        <f>"43616"</f>
        <v>43616</v>
      </c>
      <c r="G4581" t="str">
        <f>"637573"</f>
        <v>637573</v>
      </c>
      <c r="H4581" s="2">
        <f>10</f>
        <v>10</v>
      </c>
      <c r="I4581" t="s">
        <v>27</v>
      </c>
      <c r="J4581" t="s">
        <v>61</v>
      </c>
      <c r="K4581" t="str">
        <f>"120166"</f>
        <v>120166</v>
      </c>
    </row>
    <row r="4582" spans="1:11" x14ac:dyDescent="0.25">
      <c r="A4582">
        <v>2023</v>
      </c>
      <c r="B4582" t="s">
        <v>10317</v>
      </c>
      <c r="C4582" t="s">
        <v>5182</v>
      </c>
      <c r="D4582" t="s">
        <v>19</v>
      </c>
      <c r="E4582" t="s">
        <v>20</v>
      </c>
      <c r="F4582" t="str">
        <f>"43611-1412"</f>
        <v>43611-1412</v>
      </c>
      <c r="G4582" t="str">
        <f>"637573"</f>
        <v>637573</v>
      </c>
      <c r="H4582" s="2">
        <f>80</f>
        <v>80</v>
      </c>
      <c r="I4582" t="s">
        <v>27</v>
      </c>
      <c r="J4582" t="s">
        <v>61</v>
      </c>
      <c r="K4582" t="str">
        <f>"119208"</f>
        <v>119208</v>
      </c>
    </row>
    <row r="4583" spans="1:11" x14ac:dyDescent="0.25">
      <c r="A4583">
        <v>2023</v>
      </c>
      <c r="B4583" t="s">
        <v>10318</v>
      </c>
      <c r="C4583" t="s">
        <v>10319</v>
      </c>
      <c r="D4583" t="s">
        <v>10320</v>
      </c>
      <c r="E4583" t="s">
        <v>462</v>
      </c>
      <c r="F4583" t="str">
        <f>"33037"</f>
        <v>33037</v>
      </c>
      <c r="G4583" t="str">
        <f>"632482"</f>
        <v>632482</v>
      </c>
      <c r="H4583" s="2">
        <f>17.18</f>
        <v>17.18</v>
      </c>
      <c r="I4583" t="s">
        <v>27</v>
      </c>
      <c r="J4583" t="s">
        <v>157</v>
      </c>
      <c r="K4583" t="str">
        <f>"522069"</f>
        <v>522069</v>
      </c>
    </row>
    <row r="4584" spans="1:11" x14ac:dyDescent="0.25">
      <c r="A4584">
        <v>2023</v>
      </c>
      <c r="B4584" t="s">
        <v>10321</v>
      </c>
      <c r="C4584" t="s">
        <v>10322</v>
      </c>
      <c r="D4584" t="s">
        <v>19</v>
      </c>
      <c r="E4584" t="s">
        <v>20</v>
      </c>
      <c r="F4584" t="str">
        <f>"43623-2949"</f>
        <v>43623-2949</v>
      </c>
      <c r="G4584" t="str">
        <f>"637573"</f>
        <v>637573</v>
      </c>
      <c r="H4584" s="2">
        <f>10</f>
        <v>10</v>
      </c>
      <c r="I4584" t="s">
        <v>27</v>
      </c>
      <c r="J4584" t="s">
        <v>61</v>
      </c>
      <c r="K4584" t="str">
        <f>"120867"</f>
        <v>120867</v>
      </c>
    </row>
    <row r="4585" spans="1:11" x14ac:dyDescent="0.25">
      <c r="A4585">
        <v>2023</v>
      </c>
      <c r="B4585" t="s">
        <v>10327</v>
      </c>
      <c r="C4585" t="s">
        <v>10328</v>
      </c>
      <c r="D4585" t="s">
        <v>19</v>
      </c>
      <c r="E4585" t="s">
        <v>20</v>
      </c>
      <c r="F4585" t="str">
        <f>"43605"</f>
        <v>43605</v>
      </c>
      <c r="G4585" t="str">
        <f>"Je10162023"</f>
        <v>Je10162023</v>
      </c>
      <c r="H4585" s="2">
        <f>19.2</f>
        <v>19.2</v>
      </c>
      <c r="I4585" t="s">
        <v>15</v>
      </c>
      <c r="J4585" t="s">
        <v>93</v>
      </c>
      <c r="K4585" t="str">
        <f>"60093247"</f>
        <v>60093247</v>
      </c>
    </row>
    <row r="4586" spans="1:11" x14ac:dyDescent="0.25">
      <c r="A4586">
        <v>2023</v>
      </c>
      <c r="B4586" t="s">
        <v>10331</v>
      </c>
      <c r="C4586" t="s">
        <v>10332</v>
      </c>
      <c r="D4586" t="s">
        <v>19</v>
      </c>
      <c r="E4586" t="s">
        <v>20</v>
      </c>
      <c r="F4586" t="str">
        <f>"43609"</f>
        <v>43609</v>
      </c>
      <c r="G4586" t="str">
        <f>"589332"</f>
        <v>589332</v>
      </c>
      <c r="H4586" s="2">
        <f>20</f>
        <v>20</v>
      </c>
      <c r="I4586" t="s">
        <v>519</v>
      </c>
      <c r="J4586" t="s">
        <v>519</v>
      </c>
      <c r="K4586" t="str">
        <f>"15064"</f>
        <v>15064</v>
      </c>
    </row>
    <row r="4587" spans="1:11" x14ac:dyDescent="0.25">
      <c r="A4587">
        <v>2023</v>
      </c>
      <c r="B4587" t="s">
        <v>10331</v>
      </c>
      <c r="C4587" t="s">
        <v>10332</v>
      </c>
      <c r="D4587" t="s">
        <v>19</v>
      </c>
      <c r="E4587" t="s">
        <v>20</v>
      </c>
      <c r="F4587" t="str">
        <f>"43609"</f>
        <v>43609</v>
      </c>
      <c r="G4587" t="str">
        <f>"589332"</f>
        <v>589332</v>
      </c>
      <c r="H4587" s="2">
        <f>40</f>
        <v>40</v>
      </c>
      <c r="I4587" t="s">
        <v>519</v>
      </c>
      <c r="J4587" t="s">
        <v>519</v>
      </c>
      <c r="K4587" t="str">
        <f>"15175"</f>
        <v>15175</v>
      </c>
    </row>
    <row r="4588" spans="1:11" x14ac:dyDescent="0.25">
      <c r="A4588">
        <v>2023</v>
      </c>
      <c r="B4588" t="s">
        <v>10339</v>
      </c>
      <c r="C4588" t="s">
        <v>10340</v>
      </c>
      <c r="D4588" t="s">
        <v>19</v>
      </c>
      <c r="E4588" t="s">
        <v>20</v>
      </c>
      <c r="F4588" t="str">
        <f>"43614-1233"</f>
        <v>43614-1233</v>
      </c>
      <c r="G4588" t="str">
        <f>"637573"</f>
        <v>637573</v>
      </c>
      <c r="H4588" s="2">
        <f>10</f>
        <v>10</v>
      </c>
      <c r="I4588" t="s">
        <v>27</v>
      </c>
      <c r="J4588" t="s">
        <v>61</v>
      </c>
      <c r="K4588" t="str">
        <f>"120194"</f>
        <v>120194</v>
      </c>
    </row>
    <row r="4589" spans="1:11" x14ac:dyDescent="0.25">
      <c r="A4589">
        <v>2023</v>
      </c>
      <c r="B4589" t="s">
        <v>10353</v>
      </c>
      <c r="C4589" t="s">
        <v>10354</v>
      </c>
      <c r="D4589" t="s">
        <v>19</v>
      </c>
      <c r="E4589" t="s">
        <v>20</v>
      </c>
      <c r="F4589" t="str">
        <f>"43605"</f>
        <v>43605</v>
      </c>
      <c r="G4589" t="str">
        <f>"Je12142023"</f>
        <v>Je12142023</v>
      </c>
      <c r="H4589" s="2">
        <f>86.28</f>
        <v>86.28</v>
      </c>
      <c r="I4589" t="s">
        <v>15</v>
      </c>
      <c r="J4589" t="s">
        <v>176</v>
      </c>
      <c r="K4589" t="str">
        <f>"60098581"</f>
        <v>60098581</v>
      </c>
    </row>
    <row r="4590" spans="1:11" x14ac:dyDescent="0.25">
      <c r="A4590">
        <v>2023</v>
      </c>
      <c r="B4590" t="s">
        <v>10371</v>
      </c>
      <c r="C4590" t="s">
        <v>10372</v>
      </c>
      <c r="D4590" t="s">
        <v>899</v>
      </c>
      <c r="E4590" t="s">
        <v>20</v>
      </c>
      <c r="F4590" t="str">
        <f>"43412-9746"</f>
        <v>43412-9746</v>
      </c>
      <c r="G4590" t="str">
        <f>"637573"</f>
        <v>637573</v>
      </c>
      <c r="H4590" s="2">
        <f>10</f>
        <v>10</v>
      </c>
      <c r="I4590" t="s">
        <v>27</v>
      </c>
      <c r="J4590" t="s">
        <v>61</v>
      </c>
      <c r="K4590" t="str">
        <f>"120432"</f>
        <v>120432</v>
      </c>
    </row>
    <row r="4591" spans="1:11" x14ac:dyDescent="0.25">
      <c r="A4591">
        <v>2023</v>
      </c>
      <c r="B4591" t="s">
        <v>10373</v>
      </c>
      <c r="C4591" t="s">
        <v>10374</v>
      </c>
      <c r="D4591" t="s">
        <v>19</v>
      </c>
      <c r="E4591" t="s">
        <v>20</v>
      </c>
      <c r="F4591" t="str">
        <f>"43614-2935"</f>
        <v>43614-2935</v>
      </c>
      <c r="G4591" t="str">
        <f>"637573"</f>
        <v>637573</v>
      </c>
      <c r="H4591" s="2">
        <f>30</f>
        <v>30</v>
      </c>
      <c r="I4591" t="s">
        <v>27</v>
      </c>
      <c r="J4591" t="s">
        <v>61</v>
      </c>
      <c r="K4591" t="str">
        <f>"119550"</f>
        <v>119550</v>
      </c>
    </row>
    <row r="4592" spans="1:11" x14ac:dyDescent="0.25">
      <c r="A4592">
        <v>2023</v>
      </c>
      <c r="B4592" t="s">
        <v>10373</v>
      </c>
      <c r="C4592" t="s">
        <v>10374</v>
      </c>
      <c r="D4592" t="s">
        <v>19</v>
      </c>
      <c r="E4592" t="s">
        <v>20</v>
      </c>
      <c r="F4592" t="str">
        <f>"43614-2935"</f>
        <v>43614-2935</v>
      </c>
      <c r="G4592" t="str">
        <f>"637573"</f>
        <v>637573</v>
      </c>
      <c r="H4592" s="2">
        <f>30</f>
        <v>30</v>
      </c>
      <c r="I4592" t="s">
        <v>27</v>
      </c>
      <c r="J4592" t="s">
        <v>61</v>
      </c>
      <c r="K4592" t="str">
        <f>"119607"</f>
        <v>119607</v>
      </c>
    </row>
    <row r="4593" spans="1:11" x14ac:dyDescent="0.25">
      <c r="A4593">
        <v>2023</v>
      </c>
      <c r="B4593" t="s">
        <v>10380</v>
      </c>
      <c r="C4593" t="s">
        <v>10381</v>
      </c>
      <c r="D4593" t="s">
        <v>50</v>
      </c>
      <c r="E4593" t="s">
        <v>20</v>
      </c>
      <c r="F4593" t="str">
        <f>"43560"</f>
        <v>43560</v>
      </c>
      <c r="G4593" t="str">
        <f>"Je12142023"</f>
        <v>Je12142023</v>
      </c>
      <c r="H4593" s="2">
        <f>20</f>
        <v>20</v>
      </c>
      <c r="I4593" t="s">
        <v>15</v>
      </c>
      <c r="J4593" t="s">
        <v>176</v>
      </c>
      <c r="K4593" t="str">
        <f>"60101890"</f>
        <v>60101890</v>
      </c>
    </row>
    <row r="4594" spans="1:11" x14ac:dyDescent="0.25">
      <c r="A4594">
        <v>2023</v>
      </c>
      <c r="B4594" t="s">
        <v>10400</v>
      </c>
      <c r="C4594" t="s">
        <v>10401</v>
      </c>
      <c r="D4594" t="s">
        <v>19</v>
      </c>
      <c r="E4594" t="s">
        <v>20</v>
      </c>
      <c r="F4594" t="str">
        <f>"43615-3239"</f>
        <v>43615-3239</v>
      </c>
      <c r="G4594" t="str">
        <f t="shared" ref="G4594:G4599" si="151">"637573"</f>
        <v>637573</v>
      </c>
      <c r="H4594" s="2">
        <f>10</f>
        <v>10</v>
      </c>
      <c r="I4594" t="s">
        <v>27</v>
      </c>
      <c r="J4594" t="s">
        <v>61</v>
      </c>
      <c r="K4594" t="str">
        <f>"119336"</f>
        <v>119336</v>
      </c>
    </row>
    <row r="4595" spans="1:11" x14ac:dyDescent="0.25">
      <c r="A4595">
        <v>2023</v>
      </c>
      <c r="B4595" t="s">
        <v>10404</v>
      </c>
      <c r="C4595" t="s">
        <v>10405</v>
      </c>
      <c r="D4595" t="s">
        <v>125</v>
      </c>
      <c r="E4595" t="s">
        <v>20</v>
      </c>
      <c r="F4595" t="str">
        <f>"43537-2704"</f>
        <v>43537-2704</v>
      </c>
      <c r="G4595" t="str">
        <f t="shared" si="151"/>
        <v>637573</v>
      </c>
      <c r="H4595" s="2">
        <f>20</f>
        <v>20</v>
      </c>
      <c r="I4595" t="s">
        <v>27</v>
      </c>
      <c r="J4595" t="s">
        <v>61</v>
      </c>
      <c r="K4595" t="str">
        <f>"120199"</f>
        <v>120199</v>
      </c>
    </row>
    <row r="4596" spans="1:11" x14ac:dyDescent="0.25">
      <c r="A4596">
        <v>2023</v>
      </c>
      <c r="B4596" t="s">
        <v>10416</v>
      </c>
      <c r="C4596" t="s">
        <v>10417</v>
      </c>
      <c r="D4596" t="s">
        <v>19</v>
      </c>
      <c r="E4596" t="s">
        <v>20</v>
      </c>
      <c r="F4596" t="str">
        <f>"43620-1187"</f>
        <v>43620-1187</v>
      </c>
      <c r="G4596" t="str">
        <f t="shared" si="151"/>
        <v>637573</v>
      </c>
      <c r="H4596" s="2">
        <f>20</f>
        <v>20</v>
      </c>
      <c r="I4596" t="s">
        <v>27</v>
      </c>
      <c r="J4596" t="s">
        <v>61</v>
      </c>
      <c r="K4596" t="str">
        <f>"119899"</f>
        <v>119899</v>
      </c>
    </row>
    <row r="4597" spans="1:11" x14ac:dyDescent="0.25">
      <c r="A4597">
        <v>2023</v>
      </c>
      <c r="B4597" t="s">
        <v>10418</v>
      </c>
      <c r="C4597" t="s">
        <v>10419</v>
      </c>
      <c r="D4597" t="s">
        <v>105</v>
      </c>
      <c r="E4597" t="s">
        <v>20</v>
      </c>
      <c r="F4597" t="str">
        <f>"43528-8497"</f>
        <v>43528-8497</v>
      </c>
      <c r="G4597" t="str">
        <f t="shared" si="151"/>
        <v>637573</v>
      </c>
      <c r="H4597" s="2">
        <f>10</f>
        <v>10</v>
      </c>
      <c r="I4597" t="s">
        <v>27</v>
      </c>
      <c r="J4597" t="s">
        <v>61</v>
      </c>
      <c r="K4597" t="str">
        <f>"119971"</f>
        <v>119971</v>
      </c>
    </row>
    <row r="4598" spans="1:11" x14ac:dyDescent="0.25">
      <c r="A4598">
        <v>2023</v>
      </c>
      <c r="B4598" t="s">
        <v>10422</v>
      </c>
      <c r="C4598" t="s">
        <v>10423</v>
      </c>
      <c r="D4598" t="s">
        <v>19</v>
      </c>
      <c r="E4598" t="s">
        <v>20</v>
      </c>
      <c r="F4598" t="str">
        <f>"43614-4147"</f>
        <v>43614-4147</v>
      </c>
      <c r="G4598" t="str">
        <f t="shared" si="151"/>
        <v>637573</v>
      </c>
      <c r="H4598" s="2">
        <f>20</f>
        <v>20</v>
      </c>
      <c r="I4598" t="s">
        <v>27</v>
      </c>
      <c r="J4598" t="s">
        <v>61</v>
      </c>
      <c r="K4598" t="str">
        <f>"120084"</f>
        <v>120084</v>
      </c>
    </row>
    <row r="4599" spans="1:11" x14ac:dyDescent="0.25">
      <c r="A4599">
        <v>2023</v>
      </c>
      <c r="B4599" t="s">
        <v>10427</v>
      </c>
      <c r="C4599" t="s">
        <v>10428</v>
      </c>
      <c r="D4599" t="s">
        <v>19</v>
      </c>
      <c r="E4599" t="s">
        <v>20</v>
      </c>
      <c r="F4599" t="str">
        <f>"43614-4109"</f>
        <v>43614-4109</v>
      </c>
      <c r="G4599" t="str">
        <f t="shared" si="151"/>
        <v>637573</v>
      </c>
      <c r="H4599" s="2">
        <f>10</f>
        <v>10</v>
      </c>
      <c r="I4599" t="s">
        <v>27</v>
      </c>
      <c r="J4599" t="s">
        <v>61</v>
      </c>
      <c r="K4599" t="str">
        <f>"119551"</f>
        <v>119551</v>
      </c>
    </row>
    <row r="4600" spans="1:11" x14ac:dyDescent="0.25">
      <c r="A4600">
        <v>2023</v>
      </c>
      <c r="B4600" t="s">
        <v>10451</v>
      </c>
      <c r="C4600" t="s">
        <v>10452</v>
      </c>
      <c r="D4600" t="s">
        <v>19</v>
      </c>
      <c r="E4600" t="s">
        <v>20</v>
      </c>
      <c r="F4600" t="str">
        <f>"43608"</f>
        <v>43608</v>
      </c>
      <c r="G4600" t="str">
        <f>"589332"</f>
        <v>589332</v>
      </c>
      <c r="H4600" s="2">
        <f>3</f>
        <v>3</v>
      </c>
      <c r="I4600" t="s">
        <v>519</v>
      </c>
      <c r="J4600" t="s">
        <v>519</v>
      </c>
      <c r="K4600" t="str">
        <f>"15293"</f>
        <v>15293</v>
      </c>
    </row>
    <row r="4601" spans="1:11" x14ac:dyDescent="0.25">
      <c r="A4601">
        <v>2023</v>
      </c>
      <c r="B4601" t="s">
        <v>10478</v>
      </c>
      <c r="C4601" t="s">
        <v>10479</v>
      </c>
      <c r="D4601" t="s">
        <v>58</v>
      </c>
      <c r="E4601" t="s">
        <v>20</v>
      </c>
      <c r="F4601" t="str">
        <f>"43616"</f>
        <v>43616</v>
      </c>
      <c r="G4601" t="str">
        <f>"Je12142023"</f>
        <v>Je12142023</v>
      </c>
      <c r="H4601" s="2">
        <f>193.72</f>
        <v>193.72</v>
      </c>
      <c r="I4601" t="s">
        <v>15</v>
      </c>
      <c r="J4601" t="s">
        <v>176</v>
      </c>
      <c r="K4601" t="str">
        <f>"60098346"</f>
        <v>60098346</v>
      </c>
    </row>
    <row r="4602" spans="1:11" x14ac:dyDescent="0.25">
      <c r="A4602">
        <v>2023</v>
      </c>
      <c r="B4602" t="s">
        <v>10484</v>
      </c>
      <c r="C4602" t="s">
        <v>10485</v>
      </c>
      <c r="D4602" t="s">
        <v>10486</v>
      </c>
      <c r="E4602" t="s">
        <v>1945</v>
      </c>
      <c r="F4602" t="str">
        <f>"85250"</f>
        <v>85250</v>
      </c>
      <c r="G4602" t="str">
        <f>"632482"</f>
        <v>632482</v>
      </c>
      <c r="H4602" s="2">
        <f>17.18</f>
        <v>17.18</v>
      </c>
      <c r="I4602" t="s">
        <v>27</v>
      </c>
      <c r="J4602" t="s">
        <v>157</v>
      </c>
      <c r="K4602" t="str">
        <f>"522072"</f>
        <v>522072</v>
      </c>
    </row>
    <row r="4603" spans="1:11" x14ac:dyDescent="0.25">
      <c r="A4603">
        <v>2023</v>
      </c>
      <c r="B4603" t="s">
        <v>10506</v>
      </c>
      <c r="C4603" t="s">
        <v>10507</v>
      </c>
      <c r="D4603" t="s">
        <v>19</v>
      </c>
      <c r="E4603" t="s">
        <v>20</v>
      </c>
      <c r="F4603" t="str">
        <f>"43607"</f>
        <v>43607</v>
      </c>
      <c r="G4603" t="str">
        <f>"632483"</f>
        <v>632483</v>
      </c>
      <c r="H4603" s="2">
        <f>6</f>
        <v>6</v>
      </c>
      <c r="I4603" t="s">
        <v>27</v>
      </c>
      <c r="J4603" t="s">
        <v>108</v>
      </c>
      <c r="K4603" t="str">
        <f>"39901"</f>
        <v>39901</v>
      </c>
    </row>
    <row r="4604" spans="1:11" x14ac:dyDescent="0.25">
      <c r="A4604">
        <v>2023</v>
      </c>
      <c r="B4604" t="s">
        <v>10525</v>
      </c>
      <c r="C4604" t="s">
        <v>10526</v>
      </c>
      <c r="D4604" t="s">
        <v>125</v>
      </c>
      <c r="E4604" t="s">
        <v>20</v>
      </c>
      <c r="F4604" t="str">
        <f>"43537-9053"</f>
        <v>43537-9053</v>
      </c>
      <c r="G4604" t="str">
        <f>"637573"</f>
        <v>637573</v>
      </c>
      <c r="H4604" s="2">
        <f>10</f>
        <v>10</v>
      </c>
      <c r="I4604" t="s">
        <v>27</v>
      </c>
      <c r="J4604" t="s">
        <v>61</v>
      </c>
      <c r="K4604" t="str">
        <f>"118814"</f>
        <v>118814</v>
      </c>
    </row>
    <row r="4605" spans="1:11" x14ac:dyDescent="0.25">
      <c r="A4605">
        <v>2023</v>
      </c>
      <c r="B4605" t="s">
        <v>10548</v>
      </c>
      <c r="C4605" t="s">
        <v>10549</v>
      </c>
      <c r="D4605" t="s">
        <v>19</v>
      </c>
      <c r="E4605" t="s">
        <v>20</v>
      </c>
      <c r="F4605" t="str">
        <f>"43615-2561"</f>
        <v>43615-2561</v>
      </c>
      <c r="G4605" t="str">
        <f>"637573"</f>
        <v>637573</v>
      </c>
      <c r="H4605" s="2">
        <f>10</f>
        <v>10</v>
      </c>
      <c r="I4605" t="s">
        <v>27</v>
      </c>
      <c r="J4605" t="s">
        <v>61</v>
      </c>
      <c r="K4605" t="str">
        <f>"120285"</f>
        <v>120285</v>
      </c>
    </row>
    <row r="4606" spans="1:11" x14ac:dyDescent="0.25">
      <c r="A4606">
        <v>2023</v>
      </c>
      <c r="B4606" t="s">
        <v>10559</v>
      </c>
      <c r="C4606" t="s">
        <v>10560</v>
      </c>
      <c r="D4606" t="s">
        <v>19</v>
      </c>
      <c r="E4606" t="s">
        <v>20</v>
      </c>
      <c r="F4606" t="str">
        <f>"43602"</f>
        <v>43602</v>
      </c>
      <c r="G4606" t="str">
        <f>"632482"</f>
        <v>632482</v>
      </c>
      <c r="H4606" s="2">
        <f>25</f>
        <v>25</v>
      </c>
      <c r="I4606" t="s">
        <v>27</v>
      </c>
      <c r="J4606" t="s">
        <v>157</v>
      </c>
      <c r="K4606" t="str">
        <f>"522202"</f>
        <v>522202</v>
      </c>
    </row>
    <row r="4607" spans="1:11" x14ac:dyDescent="0.25">
      <c r="A4607">
        <v>2023</v>
      </c>
      <c r="B4607" t="s">
        <v>10574</v>
      </c>
      <c r="C4607" t="s">
        <v>10575</v>
      </c>
      <c r="D4607" t="s">
        <v>19</v>
      </c>
      <c r="E4607" t="s">
        <v>20</v>
      </c>
      <c r="F4607" t="str">
        <f>"43613-4208"</f>
        <v>43613-4208</v>
      </c>
      <c r="G4607" t="str">
        <f>"637573"</f>
        <v>637573</v>
      </c>
      <c r="H4607" s="2">
        <f>80</f>
        <v>80</v>
      </c>
      <c r="I4607" t="s">
        <v>27</v>
      </c>
      <c r="J4607" t="s">
        <v>61</v>
      </c>
      <c r="K4607" t="str">
        <f>"118899"</f>
        <v>118899</v>
      </c>
    </row>
    <row r="4608" spans="1:11" x14ac:dyDescent="0.25">
      <c r="A4608">
        <v>2023</v>
      </c>
      <c r="B4608" t="s">
        <v>10576</v>
      </c>
      <c r="C4608" t="s">
        <v>10577</v>
      </c>
      <c r="D4608" t="s">
        <v>19</v>
      </c>
      <c r="E4608" t="s">
        <v>20</v>
      </c>
      <c r="F4608" t="str">
        <f>"43611-2348"</f>
        <v>43611-2348</v>
      </c>
      <c r="G4608" t="str">
        <f>"637573"</f>
        <v>637573</v>
      </c>
      <c r="H4608" s="2">
        <f>20</f>
        <v>20</v>
      </c>
      <c r="I4608" t="s">
        <v>27</v>
      </c>
      <c r="J4608" t="s">
        <v>61</v>
      </c>
      <c r="K4608" t="str">
        <f>"119534"</f>
        <v>119534</v>
      </c>
    </row>
    <row r="4609" spans="1:11" x14ac:dyDescent="0.25">
      <c r="A4609">
        <v>2023</v>
      </c>
      <c r="B4609" t="s">
        <v>10597</v>
      </c>
      <c r="C4609" t="s">
        <v>10598</v>
      </c>
      <c r="D4609" t="s">
        <v>19</v>
      </c>
      <c r="E4609" t="s">
        <v>20</v>
      </c>
      <c r="F4609" t="str">
        <f>"43604"</f>
        <v>43604</v>
      </c>
      <c r="G4609" t="str">
        <f>"638581"</f>
        <v>638581</v>
      </c>
      <c r="H4609" s="2">
        <f>14.85</f>
        <v>14.85</v>
      </c>
      <c r="I4609" t="s">
        <v>27</v>
      </c>
      <c r="J4609" t="s">
        <v>61</v>
      </c>
      <c r="K4609" t="str">
        <f>"334164"</f>
        <v>334164</v>
      </c>
    </row>
    <row r="4610" spans="1:11" x14ac:dyDescent="0.25">
      <c r="A4610">
        <v>2023</v>
      </c>
      <c r="B4610" t="s">
        <v>10597</v>
      </c>
      <c r="C4610" t="s">
        <v>10598</v>
      </c>
      <c r="D4610" t="s">
        <v>19</v>
      </c>
      <c r="E4610" t="s">
        <v>20</v>
      </c>
      <c r="F4610" t="str">
        <f>"43604"</f>
        <v>43604</v>
      </c>
      <c r="G4610" t="str">
        <f>"638581"</f>
        <v>638581</v>
      </c>
      <c r="H4610" s="2">
        <f>7.75</f>
        <v>7.75</v>
      </c>
      <c r="I4610" t="s">
        <v>27</v>
      </c>
      <c r="J4610" t="s">
        <v>61</v>
      </c>
      <c r="K4610" t="str">
        <f>"333836"</f>
        <v>333836</v>
      </c>
    </row>
    <row r="4611" spans="1:11" x14ac:dyDescent="0.25">
      <c r="A4611">
        <v>2023</v>
      </c>
      <c r="B4611" t="s">
        <v>10620</v>
      </c>
      <c r="C4611" t="s">
        <v>10621</v>
      </c>
      <c r="D4611" t="s">
        <v>19</v>
      </c>
      <c r="E4611" t="s">
        <v>20</v>
      </c>
      <c r="F4611" t="str">
        <f>"43614-3726"</f>
        <v>43614-3726</v>
      </c>
      <c r="G4611" t="str">
        <f>"637573"</f>
        <v>637573</v>
      </c>
      <c r="H4611" s="2">
        <f>80</f>
        <v>80</v>
      </c>
      <c r="I4611" t="s">
        <v>27</v>
      </c>
      <c r="J4611" t="s">
        <v>61</v>
      </c>
      <c r="K4611" t="str">
        <f>"120935"</f>
        <v>120935</v>
      </c>
    </row>
    <row r="4612" spans="1:11" x14ac:dyDescent="0.25">
      <c r="A4612">
        <v>2023</v>
      </c>
      <c r="B4612" t="s">
        <v>10630</v>
      </c>
      <c r="C4612" t="s">
        <v>10631</v>
      </c>
      <c r="D4612" t="s">
        <v>19</v>
      </c>
      <c r="E4612" t="s">
        <v>20</v>
      </c>
      <c r="F4612" t="str">
        <f>"43611-2915"</f>
        <v>43611-2915</v>
      </c>
      <c r="G4612" t="str">
        <f>"637573"</f>
        <v>637573</v>
      </c>
      <c r="H4612" s="2">
        <f>20</f>
        <v>20</v>
      </c>
      <c r="I4612" t="s">
        <v>27</v>
      </c>
      <c r="J4612" t="s">
        <v>61</v>
      </c>
      <c r="K4612" t="str">
        <f>"120987"</f>
        <v>120987</v>
      </c>
    </row>
    <row r="4613" spans="1:11" x14ac:dyDescent="0.25">
      <c r="A4613">
        <v>2023</v>
      </c>
      <c r="B4613" t="s">
        <v>10642</v>
      </c>
      <c r="C4613" t="s">
        <v>10643</v>
      </c>
      <c r="D4613" t="s">
        <v>19</v>
      </c>
      <c r="E4613" t="s">
        <v>20</v>
      </c>
      <c r="F4613" t="str">
        <f>"43612"</f>
        <v>43612</v>
      </c>
      <c r="G4613" t="str">
        <f>"Je12142023"</f>
        <v>Je12142023</v>
      </c>
      <c r="H4613" s="2">
        <f>90.48</f>
        <v>90.48</v>
      </c>
      <c r="I4613" t="s">
        <v>15</v>
      </c>
      <c r="J4613" t="s">
        <v>176</v>
      </c>
      <c r="K4613" t="str">
        <f>"60105637"</f>
        <v>60105637</v>
      </c>
    </row>
    <row r="4614" spans="1:11" x14ac:dyDescent="0.25">
      <c r="A4614">
        <v>2023</v>
      </c>
      <c r="B4614" t="s">
        <v>10650</v>
      </c>
      <c r="C4614" t="s">
        <v>10651</v>
      </c>
      <c r="D4614" t="s">
        <v>19</v>
      </c>
      <c r="E4614" t="s">
        <v>20</v>
      </c>
      <c r="F4614" t="str">
        <f>"43614"</f>
        <v>43614</v>
      </c>
      <c r="G4614" t="str">
        <f>"632483"</f>
        <v>632483</v>
      </c>
      <c r="H4614" s="2">
        <f>85.5</f>
        <v>85.5</v>
      </c>
      <c r="I4614" t="s">
        <v>27</v>
      </c>
      <c r="J4614" t="s">
        <v>108</v>
      </c>
      <c r="K4614" t="str">
        <f>"39277"</f>
        <v>39277</v>
      </c>
    </row>
    <row r="4615" spans="1:11" x14ac:dyDescent="0.25">
      <c r="A4615">
        <v>2023</v>
      </c>
      <c r="B4615" t="s">
        <v>10656</v>
      </c>
      <c r="C4615" t="s">
        <v>10657</v>
      </c>
      <c r="D4615" t="s">
        <v>19</v>
      </c>
      <c r="E4615" t="s">
        <v>20</v>
      </c>
      <c r="F4615" t="str">
        <f>"43606-4133"</f>
        <v>43606-4133</v>
      </c>
      <c r="G4615" t="str">
        <f>"637573"</f>
        <v>637573</v>
      </c>
      <c r="H4615" s="2">
        <f>10</f>
        <v>10</v>
      </c>
      <c r="I4615" t="s">
        <v>27</v>
      </c>
      <c r="J4615" t="s">
        <v>61</v>
      </c>
      <c r="K4615" t="str">
        <f>"119741"</f>
        <v>119741</v>
      </c>
    </row>
    <row r="4616" spans="1:11" x14ac:dyDescent="0.25">
      <c r="A4616">
        <v>2023</v>
      </c>
      <c r="B4616" t="s">
        <v>10658</v>
      </c>
      <c r="C4616" t="s">
        <v>10659</v>
      </c>
      <c r="D4616" t="s">
        <v>19</v>
      </c>
      <c r="E4616" t="s">
        <v>20</v>
      </c>
      <c r="F4616" t="str">
        <f>"43609-1802"</f>
        <v>43609-1802</v>
      </c>
      <c r="G4616" t="str">
        <f>"637573"</f>
        <v>637573</v>
      </c>
      <c r="H4616" s="2">
        <f>10</f>
        <v>10</v>
      </c>
      <c r="I4616" t="s">
        <v>27</v>
      </c>
      <c r="J4616" t="s">
        <v>61</v>
      </c>
      <c r="K4616" t="str">
        <f>"119552"</f>
        <v>119552</v>
      </c>
    </row>
    <row r="4617" spans="1:11" x14ac:dyDescent="0.25">
      <c r="A4617">
        <v>2023</v>
      </c>
      <c r="B4617" t="s">
        <v>10666</v>
      </c>
      <c r="C4617" t="s">
        <v>10667</v>
      </c>
      <c r="D4617" t="s">
        <v>105</v>
      </c>
      <c r="E4617" t="s">
        <v>20</v>
      </c>
      <c r="F4617" t="str">
        <f>"43528"</f>
        <v>43528</v>
      </c>
      <c r="G4617" t="str">
        <f>"Je04112023"</f>
        <v>Je04112023</v>
      </c>
      <c r="H4617" s="2">
        <f>22.27</f>
        <v>22.27</v>
      </c>
      <c r="I4617" t="s">
        <v>15</v>
      </c>
      <c r="J4617" t="s">
        <v>412</v>
      </c>
      <c r="K4617" t="str">
        <f>"60074257"</f>
        <v>60074257</v>
      </c>
    </row>
    <row r="4618" spans="1:11" x14ac:dyDescent="0.25">
      <c r="A4618">
        <v>2023</v>
      </c>
      <c r="B4618" t="s">
        <v>10669</v>
      </c>
      <c r="C4618" t="s">
        <v>10670</v>
      </c>
      <c r="D4618" t="s">
        <v>19</v>
      </c>
      <c r="E4618" t="s">
        <v>20</v>
      </c>
      <c r="F4618" t="str">
        <f>"43615-4346"</f>
        <v>43615-4346</v>
      </c>
      <c r="G4618" t="str">
        <f>"637573"</f>
        <v>637573</v>
      </c>
      <c r="H4618" s="2">
        <f>10</f>
        <v>10</v>
      </c>
      <c r="I4618" t="s">
        <v>27</v>
      </c>
      <c r="J4618" t="s">
        <v>61</v>
      </c>
      <c r="K4618" t="str">
        <f>"120360"</f>
        <v>120360</v>
      </c>
    </row>
    <row r="4619" spans="1:11" x14ac:dyDescent="0.25">
      <c r="A4619">
        <v>2023</v>
      </c>
      <c r="B4619" t="s">
        <v>10671</v>
      </c>
      <c r="C4619" t="s">
        <v>10672</v>
      </c>
      <c r="D4619" t="s">
        <v>19</v>
      </c>
      <c r="E4619" t="s">
        <v>20</v>
      </c>
      <c r="F4619" t="str">
        <f>"43615"</f>
        <v>43615</v>
      </c>
      <c r="G4619" t="str">
        <f>"Je06132023"</f>
        <v>Je06132023</v>
      </c>
      <c r="H4619" s="2">
        <f>12.79</f>
        <v>12.79</v>
      </c>
      <c r="I4619" t="s">
        <v>15</v>
      </c>
      <c r="J4619" t="s">
        <v>16</v>
      </c>
      <c r="K4619" t="str">
        <f>"60084632"</f>
        <v>60084632</v>
      </c>
    </row>
    <row r="4620" spans="1:11" x14ac:dyDescent="0.25">
      <c r="A4620">
        <v>2023</v>
      </c>
      <c r="B4620" t="s">
        <v>10673</v>
      </c>
      <c r="C4620" t="s">
        <v>10674</v>
      </c>
      <c r="D4620" t="s">
        <v>19</v>
      </c>
      <c r="E4620" t="s">
        <v>20</v>
      </c>
      <c r="F4620" t="str">
        <f>"43614"</f>
        <v>43614</v>
      </c>
      <c r="G4620" t="str">
        <f>"Je04112023"</f>
        <v>Je04112023</v>
      </c>
      <c r="H4620" s="2">
        <f>14.85</f>
        <v>14.85</v>
      </c>
      <c r="I4620" t="s">
        <v>15</v>
      </c>
      <c r="J4620" t="s">
        <v>412</v>
      </c>
      <c r="K4620" t="str">
        <f>"60069349"</f>
        <v>60069349</v>
      </c>
    </row>
    <row r="4621" spans="1:11" x14ac:dyDescent="0.25">
      <c r="A4621">
        <v>2023</v>
      </c>
      <c r="B4621" t="s">
        <v>10703</v>
      </c>
      <c r="C4621" t="s">
        <v>10704</v>
      </c>
      <c r="D4621" t="s">
        <v>19</v>
      </c>
      <c r="E4621" t="s">
        <v>20</v>
      </c>
      <c r="F4621" t="str">
        <f>"43615"</f>
        <v>43615</v>
      </c>
      <c r="G4621" t="str">
        <f>"632482"</f>
        <v>632482</v>
      </c>
      <c r="H4621" s="2">
        <f>20</f>
        <v>20</v>
      </c>
      <c r="I4621" t="s">
        <v>27</v>
      </c>
      <c r="J4621" t="s">
        <v>157</v>
      </c>
      <c r="K4621" t="str">
        <f>"522192"</f>
        <v>522192</v>
      </c>
    </row>
    <row r="4622" spans="1:11" x14ac:dyDescent="0.25">
      <c r="A4622">
        <v>2023</v>
      </c>
      <c r="B4622" t="s">
        <v>10703</v>
      </c>
      <c r="C4622" t="s">
        <v>10704</v>
      </c>
      <c r="D4622" t="s">
        <v>19</v>
      </c>
      <c r="E4622" t="s">
        <v>20</v>
      </c>
      <c r="F4622" t="str">
        <f>"43615"</f>
        <v>43615</v>
      </c>
      <c r="G4622" t="str">
        <f>"632482"</f>
        <v>632482</v>
      </c>
      <c r="H4622" s="2">
        <f>10</f>
        <v>10</v>
      </c>
      <c r="I4622" t="s">
        <v>27</v>
      </c>
      <c r="J4622" t="s">
        <v>157</v>
      </c>
      <c r="K4622" t="str">
        <f>"521906"</f>
        <v>521906</v>
      </c>
    </row>
    <row r="4623" spans="1:11" x14ac:dyDescent="0.25">
      <c r="A4623">
        <v>2023</v>
      </c>
      <c r="B4623" t="s">
        <v>10709</v>
      </c>
      <c r="C4623" t="s">
        <v>10710</v>
      </c>
      <c r="D4623" t="s">
        <v>19</v>
      </c>
      <c r="E4623" t="s">
        <v>20</v>
      </c>
      <c r="F4623" t="str">
        <f>"43613"</f>
        <v>43613</v>
      </c>
      <c r="G4623" t="str">
        <f>"632482"</f>
        <v>632482</v>
      </c>
      <c r="H4623" s="2">
        <f>17.18</f>
        <v>17.18</v>
      </c>
      <c r="I4623" t="s">
        <v>27</v>
      </c>
      <c r="J4623" t="s">
        <v>157</v>
      </c>
      <c r="K4623" t="str">
        <f>"522074"</f>
        <v>522074</v>
      </c>
    </row>
    <row r="4624" spans="1:11" x14ac:dyDescent="0.25">
      <c r="A4624">
        <v>2023</v>
      </c>
      <c r="B4624" t="s">
        <v>10719</v>
      </c>
      <c r="C4624" t="s">
        <v>1582</v>
      </c>
      <c r="D4624" t="s">
        <v>164</v>
      </c>
      <c r="E4624" t="s">
        <v>20</v>
      </c>
      <c r="F4624" t="str">
        <f>"43558-9474"</f>
        <v>43558-9474</v>
      </c>
      <c r="G4624" t="str">
        <f>"637573"</f>
        <v>637573</v>
      </c>
      <c r="H4624" s="2">
        <f>10</f>
        <v>10</v>
      </c>
      <c r="I4624" t="s">
        <v>27</v>
      </c>
      <c r="J4624" t="s">
        <v>61</v>
      </c>
      <c r="K4624" t="str">
        <f>"120378"</f>
        <v>120378</v>
      </c>
    </row>
    <row r="4625" spans="1:11" x14ac:dyDescent="0.25">
      <c r="A4625">
        <v>2023</v>
      </c>
      <c r="B4625" t="s">
        <v>10727</v>
      </c>
      <c r="C4625" t="s">
        <v>10728</v>
      </c>
      <c r="D4625" t="s">
        <v>19</v>
      </c>
      <c r="E4625" t="s">
        <v>20</v>
      </c>
      <c r="F4625" t="str">
        <f>"43623"</f>
        <v>43623</v>
      </c>
      <c r="G4625" t="str">
        <f>"638581"</f>
        <v>638581</v>
      </c>
      <c r="H4625" s="2">
        <f>3.4</f>
        <v>3.4</v>
      </c>
      <c r="I4625" t="s">
        <v>27</v>
      </c>
      <c r="J4625" t="s">
        <v>61</v>
      </c>
      <c r="K4625" t="str">
        <f>"333827"</f>
        <v>333827</v>
      </c>
    </row>
    <row r="4626" spans="1:11" x14ac:dyDescent="0.25">
      <c r="A4626">
        <v>2023</v>
      </c>
      <c r="B4626" t="s">
        <v>10770</v>
      </c>
      <c r="C4626" t="s">
        <v>10771</v>
      </c>
      <c r="D4626" t="s">
        <v>19</v>
      </c>
      <c r="E4626" t="s">
        <v>20</v>
      </c>
      <c r="F4626" t="str">
        <f>"43607"</f>
        <v>43607</v>
      </c>
      <c r="G4626" t="str">
        <f>"Je12142023"</f>
        <v>Je12142023</v>
      </c>
      <c r="H4626" s="2">
        <f>104.74</f>
        <v>104.74</v>
      </c>
      <c r="I4626" t="s">
        <v>15</v>
      </c>
      <c r="J4626" t="s">
        <v>176</v>
      </c>
      <c r="K4626" t="str">
        <f>"60097844"</f>
        <v>60097844</v>
      </c>
    </row>
    <row r="4627" spans="1:11" x14ac:dyDescent="0.25">
      <c r="A4627">
        <v>2023</v>
      </c>
      <c r="B4627" t="s">
        <v>10790</v>
      </c>
      <c r="C4627" t="s">
        <v>10791</v>
      </c>
      <c r="D4627" t="s">
        <v>19</v>
      </c>
      <c r="E4627" t="s">
        <v>20</v>
      </c>
      <c r="F4627" t="str">
        <f>"43620-1909"</f>
        <v>43620-1909</v>
      </c>
      <c r="G4627" t="str">
        <f>"637573"</f>
        <v>637573</v>
      </c>
      <c r="H4627" s="2">
        <f>10</f>
        <v>10</v>
      </c>
      <c r="I4627" t="s">
        <v>27</v>
      </c>
      <c r="J4627" t="s">
        <v>61</v>
      </c>
      <c r="K4627" t="str">
        <f>"119004"</f>
        <v>119004</v>
      </c>
    </row>
    <row r="4628" spans="1:11" x14ac:dyDescent="0.25">
      <c r="A4628">
        <v>2023</v>
      </c>
      <c r="B4628" t="s">
        <v>10800</v>
      </c>
      <c r="C4628" t="s">
        <v>10801</v>
      </c>
      <c r="D4628" t="s">
        <v>19</v>
      </c>
      <c r="E4628" t="s">
        <v>20</v>
      </c>
      <c r="F4628" t="str">
        <f>"43611"</f>
        <v>43611</v>
      </c>
      <c r="G4628" t="str">
        <f>"638581"</f>
        <v>638581</v>
      </c>
      <c r="H4628" s="2">
        <f>3.4</f>
        <v>3.4</v>
      </c>
      <c r="I4628" t="s">
        <v>27</v>
      </c>
      <c r="J4628" t="s">
        <v>61</v>
      </c>
      <c r="K4628" t="str">
        <f>"334044"</f>
        <v>334044</v>
      </c>
    </row>
    <row r="4629" spans="1:11" x14ac:dyDescent="0.25">
      <c r="A4629">
        <v>2023</v>
      </c>
      <c r="B4629" t="s">
        <v>10805</v>
      </c>
      <c r="C4629" t="s">
        <v>10806</v>
      </c>
      <c r="D4629" t="s">
        <v>19</v>
      </c>
      <c r="E4629" t="s">
        <v>20</v>
      </c>
      <c r="F4629" t="str">
        <f>"43613-2917"</f>
        <v>43613-2917</v>
      </c>
      <c r="G4629" t="str">
        <f>"637573"</f>
        <v>637573</v>
      </c>
      <c r="H4629" s="2">
        <f>10</f>
        <v>10</v>
      </c>
      <c r="I4629" t="s">
        <v>27</v>
      </c>
      <c r="J4629" t="s">
        <v>61</v>
      </c>
      <c r="K4629" t="str">
        <f>"120008"</f>
        <v>120008</v>
      </c>
    </row>
    <row r="4630" spans="1:11" x14ac:dyDescent="0.25">
      <c r="A4630">
        <v>2023</v>
      </c>
      <c r="B4630" t="s">
        <v>10830</v>
      </c>
      <c r="C4630" t="s">
        <v>10831</v>
      </c>
      <c r="D4630" t="s">
        <v>1286</v>
      </c>
      <c r="E4630" t="s">
        <v>20</v>
      </c>
      <c r="F4630" t="str">
        <f>"43567"</f>
        <v>43567</v>
      </c>
      <c r="G4630" t="str">
        <f>"632482"</f>
        <v>632482</v>
      </c>
      <c r="H4630" s="2">
        <f>17.18</f>
        <v>17.18</v>
      </c>
      <c r="I4630" t="s">
        <v>27</v>
      </c>
      <c r="J4630" t="s">
        <v>157</v>
      </c>
      <c r="K4630" t="str">
        <f>"522079"</f>
        <v>522079</v>
      </c>
    </row>
    <row r="4631" spans="1:11" x14ac:dyDescent="0.25">
      <c r="A4631">
        <v>2023</v>
      </c>
      <c r="B4631" t="s">
        <v>10840</v>
      </c>
      <c r="C4631" t="s">
        <v>10841</v>
      </c>
      <c r="D4631" t="s">
        <v>58</v>
      </c>
      <c r="E4631" t="s">
        <v>20</v>
      </c>
      <c r="F4631" t="str">
        <f>"43616-1664"</f>
        <v>43616-1664</v>
      </c>
      <c r="G4631" t="str">
        <f>"637573"</f>
        <v>637573</v>
      </c>
      <c r="H4631" s="2">
        <f>10</f>
        <v>10</v>
      </c>
      <c r="I4631" t="s">
        <v>27</v>
      </c>
      <c r="J4631" t="s">
        <v>61</v>
      </c>
      <c r="K4631" t="str">
        <f>"120180"</f>
        <v>120180</v>
      </c>
    </row>
    <row r="4632" spans="1:11" x14ac:dyDescent="0.25">
      <c r="A4632">
        <v>2023</v>
      </c>
      <c r="B4632" t="s">
        <v>10842</v>
      </c>
      <c r="C4632" t="s">
        <v>10843</v>
      </c>
      <c r="D4632" t="s">
        <v>19</v>
      </c>
      <c r="E4632" t="s">
        <v>20</v>
      </c>
      <c r="F4632" t="str">
        <f>"43606"</f>
        <v>43606</v>
      </c>
      <c r="G4632" t="str">
        <f>"632483"</f>
        <v>632483</v>
      </c>
      <c r="H4632" s="2">
        <f>3</f>
        <v>3</v>
      </c>
      <c r="I4632" t="s">
        <v>27</v>
      </c>
      <c r="J4632" t="s">
        <v>108</v>
      </c>
      <c r="K4632" t="str">
        <f>"39468"</f>
        <v>39468</v>
      </c>
    </row>
    <row r="4633" spans="1:11" x14ac:dyDescent="0.25">
      <c r="A4633">
        <v>2023</v>
      </c>
      <c r="B4633" t="s">
        <v>10848</v>
      </c>
      <c r="C4633" t="s">
        <v>10849</v>
      </c>
      <c r="D4633" t="s">
        <v>10850</v>
      </c>
      <c r="E4633" t="s">
        <v>10851</v>
      </c>
      <c r="F4633" t="str">
        <f t="shared" ref="F4633:F4639" si="152">"19850"</f>
        <v>19850</v>
      </c>
      <c r="G4633" t="str">
        <f t="shared" ref="G4633:G4646" si="153">"632482"</f>
        <v>632482</v>
      </c>
      <c r="H4633" s="2">
        <f>45</f>
        <v>45</v>
      </c>
      <c r="I4633" t="s">
        <v>27</v>
      </c>
      <c r="J4633" t="s">
        <v>157</v>
      </c>
      <c r="K4633" t="str">
        <f>"522226"</f>
        <v>522226</v>
      </c>
    </row>
    <row r="4634" spans="1:11" x14ac:dyDescent="0.25">
      <c r="A4634">
        <v>2023</v>
      </c>
      <c r="B4634" t="s">
        <v>10848</v>
      </c>
      <c r="C4634" t="s">
        <v>10849</v>
      </c>
      <c r="D4634" t="s">
        <v>10850</v>
      </c>
      <c r="E4634" t="s">
        <v>10851</v>
      </c>
      <c r="F4634" t="str">
        <f t="shared" si="152"/>
        <v>19850</v>
      </c>
      <c r="G4634" t="str">
        <f t="shared" si="153"/>
        <v>632482</v>
      </c>
      <c r="H4634" s="2">
        <f>52.47</f>
        <v>52.47</v>
      </c>
      <c r="I4634" t="s">
        <v>27</v>
      </c>
      <c r="J4634" t="s">
        <v>157</v>
      </c>
      <c r="K4634" t="str">
        <f>"524083"</f>
        <v>524083</v>
      </c>
    </row>
    <row r="4635" spans="1:11" x14ac:dyDescent="0.25">
      <c r="A4635">
        <v>2023</v>
      </c>
      <c r="B4635" t="s">
        <v>10848</v>
      </c>
      <c r="C4635" t="s">
        <v>10849</v>
      </c>
      <c r="D4635" t="s">
        <v>10850</v>
      </c>
      <c r="E4635" t="s">
        <v>10851</v>
      </c>
      <c r="F4635" t="str">
        <f t="shared" si="152"/>
        <v>19850</v>
      </c>
      <c r="G4635" t="str">
        <f t="shared" si="153"/>
        <v>632482</v>
      </c>
      <c r="H4635" s="2">
        <f>45</f>
        <v>45</v>
      </c>
      <c r="I4635" t="s">
        <v>27</v>
      </c>
      <c r="J4635" t="s">
        <v>157</v>
      </c>
      <c r="K4635" t="str">
        <f>"523225"</f>
        <v>523225</v>
      </c>
    </row>
    <row r="4636" spans="1:11" x14ac:dyDescent="0.25">
      <c r="A4636">
        <v>2023</v>
      </c>
      <c r="B4636" t="s">
        <v>10848</v>
      </c>
      <c r="C4636" t="s">
        <v>10849</v>
      </c>
      <c r="D4636" t="s">
        <v>10850</v>
      </c>
      <c r="E4636" t="s">
        <v>10851</v>
      </c>
      <c r="F4636" t="str">
        <f t="shared" si="152"/>
        <v>19850</v>
      </c>
      <c r="G4636" t="str">
        <f t="shared" si="153"/>
        <v>632482</v>
      </c>
      <c r="H4636" s="2">
        <f>45</f>
        <v>45</v>
      </c>
      <c r="I4636" t="s">
        <v>27</v>
      </c>
      <c r="J4636" t="s">
        <v>157</v>
      </c>
      <c r="K4636" t="str">
        <f>"523150"</f>
        <v>523150</v>
      </c>
    </row>
    <row r="4637" spans="1:11" x14ac:dyDescent="0.25">
      <c r="A4637">
        <v>2023</v>
      </c>
      <c r="B4637" t="s">
        <v>10848</v>
      </c>
      <c r="C4637" t="s">
        <v>10849</v>
      </c>
      <c r="D4637" t="s">
        <v>10850</v>
      </c>
      <c r="E4637" t="s">
        <v>10851</v>
      </c>
      <c r="F4637" t="str">
        <f t="shared" si="152"/>
        <v>19850</v>
      </c>
      <c r="G4637" t="str">
        <f t="shared" si="153"/>
        <v>632482</v>
      </c>
      <c r="H4637" s="2">
        <f>45</f>
        <v>45</v>
      </c>
      <c r="I4637" t="s">
        <v>27</v>
      </c>
      <c r="J4637" t="s">
        <v>157</v>
      </c>
      <c r="K4637" t="str">
        <f>"522887"</f>
        <v>522887</v>
      </c>
    </row>
    <row r="4638" spans="1:11" x14ac:dyDescent="0.25">
      <c r="A4638">
        <v>2023</v>
      </c>
      <c r="B4638" t="s">
        <v>10848</v>
      </c>
      <c r="C4638" t="s">
        <v>10849</v>
      </c>
      <c r="D4638" t="s">
        <v>10850</v>
      </c>
      <c r="E4638" t="s">
        <v>10851</v>
      </c>
      <c r="F4638" t="str">
        <f t="shared" si="152"/>
        <v>19850</v>
      </c>
      <c r="G4638" t="str">
        <f t="shared" si="153"/>
        <v>632482</v>
      </c>
      <c r="H4638" s="2">
        <f>90</f>
        <v>90</v>
      </c>
      <c r="I4638" t="s">
        <v>27</v>
      </c>
      <c r="J4638" t="s">
        <v>157</v>
      </c>
      <c r="K4638" t="str">
        <f>"522658"</f>
        <v>522658</v>
      </c>
    </row>
    <row r="4639" spans="1:11" x14ac:dyDescent="0.25">
      <c r="A4639">
        <v>2023</v>
      </c>
      <c r="B4639" t="s">
        <v>10848</v>
      </c>
      <c r="C4639" t="s">
        <v>10849</v>
      </c>
      <c r="D4639" t="s">
        <v>10850</v>
      </c>
      <c r="E4639" t="s">
        <v>10851</v>
      </c>
      <c r="F4639" t="str">
        <f t="shared" si="152"/>
        <v>19850</v>
      </c>
      <c r="G4639" t="str">
        <f t="shared" si="153"/>
        <v>632482</v>
      </c>
      <c r="H4639" s="2">
        <f>45</f>
        <v>45</v>
      </c>
      <c r="I4639" t="s">
        <v>27</v>
      </c>
      <c r="J4639" t="s">
        <v>157</v>
      </c>
      <c r="K4639" t="str">
        <f>"522446"</f>
        <v>522446</v>
      </c>
    </row>
    <row r="4640" spans="1:11" x14ac:dyDescent="0.25">
      <c r="A4640">
        <v>2023</v>
      </c>
      <c r="B4640" t="s">
        <v>10864</v>
      </c>
      <c r="C4640" t="s">
        <v>10865</v>
      </c>
      <c r="D4640" t="s">
        <v>19</v>
      </c>
      <c r="E4640" t="s">
        <v>20</v>
      </c>
      <c r="F4640" t="str">
        <f t="shared" ref="F4640:F4646" si="154">"43601"</f>
        <v>43601</v>
      </c>
      <c r="G4640" t="str">
        <f t="shared" si="153"/>
        <v>632482</v>
      </c>
      <c r="H4640" s="2">
        <f>20</f>
        <v>20</v>
      </c>
      <c r="I4640" t="s">
        <v>27</v>
      </c>
      <c r="J4640" t="s">
        <v>157</v>
      </c>
      <c r="K4640" t="str">
        <f>"522313"</f>
        <v>522313</v>
      </c>
    </row>
    <row r="4641" spans="1:11" x14ac:dyDescent="0.25">
      <c r="A4641">
        <v>2023</v>
      </c>
      <c r="B4641" t="s">
        <v>10864</v>
      </c>
      <c r="C4641" t="s">
        <v>10865</v>
      </c>
      <c r="D4641" t="s">
        <v>19</v>
      </c>
      <c r="E4641" t="s">
        <v>20</v>
      </c>
      <c r="F4641" t="str">
        <f t="shared" si="154"/>
        <v>43601</v>
      </c>
      <c r="G4641" t="str">
        <f t="shared" si="153"/>
        <v>632482</v>
      </c>
      <c r="H4641" s="2">
        <f>25</f>
        <v>25</v>
      </c>
      <c r="I4641" t="s">
        <v>27</v>
      </c>
      <c r="J4641" t="s">
        <v>157</v>
      </c>
      <c r="K4641" t="str">
        <f>"522647"</f>
        <v>522647</v>
      </c>
    </row>
    <row r="4642" spans="1:11" x14ac:dyDescent="0.25">
      <c r="A4642">
        <v>2023</v>
      </c>
      <c r="B4642" t="s">
        <v>10864</v>
      </c>
      <c r="C4642" t="s">
        <v>10865</v>
      </c>
      <c r="D4642" t="s">
        <v>19</v>
      </c>
      <c r="E4642" t="s">
        <v>20</v>
      </c>
      <c r="F4642" t="str">
        <f t="shared" si="154"/>
        <v>43601</v>
      </c>
      <c r="G4642" t="str">
        <f t="shared" si="153"/>
        <v>632482</v>
      </c>
      <c r="H4642" s="2">
        <f>25</f>
        <v>25</v>
      </c>
      <c r="I4642" t="s">
        <v>27</v>
      </c>
      <c r="J4642" t="s">
        <v>157</v>
      </c>
      <c r="K4642" t="str">
        <f>"522527"</f>
        <v>522527</v>
      </c>
    </row>
    <row r="4643" spans="1:11" x14ac:dyDescent="0.25">
      <c r="A4643">
        <v>2023</v>
      </c>
      <c r="B4643" t="s">
        <v>10864</v>
      </c>
      <c r="C4643" t="s">
        <v>10865</v>
      </c>
      <c r="D4643" t="s">
        <v>19</v>
      </c>
      <c r="E4643" t="s">
        <v>20</v>
      </c>
      <c r="F4643" t="str">
        <f t="shared" si="154"/>
        <v>43601</v>
      </c>
      <c r="G4643" t="str">
        <f t="shared" si="153"/>
        <v>632482</v>
      </c>
      <c r="H4643" s="2">
        <f>25</f>
        <v>25</v>
      </c>
      <c r="I4643" t="s">
        <v>27</v>
      </c>
      <c r="J4643" t="s">
        <v>157</v>
      </c>
      <c r="K4643" t="str">
        <f>"523033"</f>
        <v>523033</v>
      </c>
    </row>
    <row r="4644" spans="1:11" x14ac:dyDescent="0.25">
      <c r="A4644">
        <v>2023</v>
      </c>
      <c r="B4644" t="s">
        <v>10864</v>
      </c>
      <c r="C4644" t="s">
        <v>10865</v>
      </c>
      <c r="D4644" t="s">
        <v>19</v>
      </c>
      <c r="E4644" t="s">
        <v>20</v>
      </c>
      <c r="F4644" t="str">
        <f t="shared" si="154"/>
        <v>43601</v>
      </c>
      <c r="G4644" t="str">
        <f t="shared" si="153"/>
        <v>632482</v>
      </c>
      <c r="H4644" s="2">
        <f>25</f>
        <v>25</v>
      </c>
      <c r="I4644" t="s">
        <v>27</v>
      </c>
      <c r="J4644" t="s">
        <v>157</v>
      </c>
      <c r="K4644" t="str">
        <f>"524137"</f>
        <v>524137</v>
      </c>
    </row>
    <row r="4645" spans="1:11" x14ac:dyDescent="0.25">
      <c r="A4645">
        <v>2023</v>
      </c>
      <c r="B4645" t="s">
        <v>10864</v>
      </c>
      <c r="C4645" t="s">
        <v>10865</v>
      </c>
      <c r="D4645" t="s">
        <v>19</v>
      </c>
      <c r="E4645" t="s">
        <v>20</v>
      </c>
      <c r="F4645" t="str">
        <f t="shared" si="154"/>
        <v>43601</v>
      </c>
      <c r="G4645" t="str">
        <f t="shared" si="153"/>
        <v>632482</v>
      </c>
      <c r="H4645" s="2">
        <f>25</f>
        <v>25</v>
      </c>
      <c r="I4645" t="s">
        <v>27</v>
      </c>
      <c r="J4645" t="s">
        <v>157</v>
      </c>
      <c r="K4645" t="str">
        <f>"523216"</f>
        <v>523216</v>
      </c>
    </row>
    <row r="4646" spans="1:11" x14ac:dyDescent="0.25">
      <c r="A4646">
        <v>2023</v>
      </c>
      <c r="B4646" t="s">
        <v>10864</v>
      </c>
      <c r="C4646" t="s">
        <v>10865</v>
      </c>
      <c r="D4646" t="s">
        <v>19</v>
      </c>
      <c r="E4646" t="s">
        <v>20</v>
      </c>
      <c r="F4646" t="str">
        <f t="shared" si="154"/>
        <v>43601</v>
      </c>
      <c r="G4646" t="str">
        <f t="shared" si="153"/>
        <v>632482</v>
      </c>
      <c r="H4646" s="2">
        <f>25</f>
        <v>25</v>
      </c>
      <c r="I4646" t="s">
        <v>27</v>
      </c>
      <c r="J4646" t="s">
        <v>157</v>
      </c>
      <c r="K4646" t="str">
        <f>"521902"</f>
        <v>521902</v>
      </c>
    </row>
    <row r="4647" spans="1:11" x14ac:dyDescent="0.25">
      <c r="A4647">
        <v>2023</v>
      </c>
      <c r="B4647" t="s">
        <v>10870</v>
      </c>
      <c r="C4647" t="s">
        <v>10871</v>
      </c>
      <c r="D4647" t="s">
        <v>19</v>
      </c>
      <c r="E4647" t="s">
        <v>20</v>
      </c>
      <c r="F4647" t="str">
        <f>"43614"</f>
        <v>43614</v>
      </c>
      <c r="G4647" t="str">
        <f>"Je012023"</f>
        <v>Je012023</v>
      </c>
      <c r="H4647" s="2">
        <f>35</f>
        <v>35</v>
      </c>
      <c r="I4647" t="s">
        <v>15</v>
      </c>
      <c r="J4647" t="s">
        <v>397</v>
      </c>
      <c r="K4647" t="str">
        <f>"60060243"</f>
        <v>60060243</v>
      </c>
    </row>
    <row r="4648" spans="1:11" x14ac:dyDescent="0.25">
      <c r="A4648">
        <v>2023</v>
      </c>
      <c r="B4648" t="s">
        <v>10872</v>
      </c>
      <c r="C4648" t="s">
        <v>10873</v>
      </c>
      <c r="D4648" t="s">
        <v>19</v>
      </c>
      <c r="E4648" t="s">
        <v>20</v>
      </c>
      <c r="F4648" t="str">
        <f>"43613"</f>
        <v>43613</v>
      </c>
      <c r="G4648" t="str">
        <f>"637573"</f>
        <v>637573</v>
      </c>
      <c r="H4648" s="2">
        <f>20</f>
        <v>20</v>
      </c>
      <c r="I4648" t="s">
        <v>27</v>
      </c>
      <c r="J4648" t="s">
        <v>61</v>
      </c>
      <c r="K4648" t="str">
        <f>"119535"</f>
        <v>119535</v>
      </c>
    </row>
    <row r="4649" spans="1:11" x14ac:dyDescent="0.25">
      <c r="A4649">
        <v>2023</v>
      </c>
      <c r="B4649" t="s">
        <v>10881</v>
      </c>
      <c r="C4649" t="s">
        <v>10882</v>
      </c>
      <c r="D4649" t="s">
        <v>19</v>
      </c>
      <c r="E4649" t="s">
        <v>20</v>
      </c>
      <c r="F4649" t="str">
        <f>"43609"</f>
        <v>43609</v>
      </c>
      <c r="G4649" t="str">
        <f>"589332"</f>
        <v>589332</v>
      </c>
      <c r="H4649" s="2">
        <f>25</f>
        <v>25</v>
      </c>
      <c r="I4649" t="s">
        <v>519</v>
      </c>
      <c r="J4649" t="s">
        <v>519</v>
      </c>
      <c r="K4649" t="str">
        <f>"15870"</f>
        <v>15870</v>
      </c>
    </row>
    <row r="4650" spans="1:11" x14ac:dyDescent="0.25">
      <c r="A4650">
        <v>2023</v>
      </c>
      <c r="B4650" t="s">
        <v>10881</v>
      </c>
      <c r="C4650" t="s">
        <v>10882</v>
      </c>
      <c r="D4650" t="s">
        <v>19</v>
      </c>
      <c r="E4650" t="s">
        <v>20</v>
      </c>
      <c r="F4650" t="str">
        <f>"43609"</f>
        <v>43609</v>
      </c>
      <c r="G4650" t="str">
        <f>"589332"</f>
        <v>589332</v>
      </c>
      <c r="H4650" s="2">
        <f>25</f>
        <v>25</v>
      </c>
      <c r="I4650" t="s">
        <v>519</v>
      </c>
      <c r="J4650" t="s">
        <v>519</v>
      </c>
      <c r="K4650" t="str">
        <f>"15946"</f>
        <v>15946</v>
      </c>
    </row>
    <row r="4651" spans="1:11" x14ac:dyDescent="0.25">
      <c r="A4651">
        <v>2023</v>
      </c>
      <c r="B4651" t="s">
        <v>10894</v>
      </c>
      <c r="C4651" t="s">
        <v>10895</v>
      </c>
      <c r="D4651" t="s">
        <v>19</v>
      </c>
      <c r="E4651" t="s">
        <v>20</v>
      </c>
      <c r="F4651" t="str">
        <f>"43611"</f>
        <v>43611</v>
      </c>
      <c r="G4651" t="str">
        <f>"Je06132023"</f>
        <v>Je06132023</v>
      </c>
      <c r="H4651" s="2">
        <f>85</f>
        <v>85</v>
      </c>
      <c r="I4651" t="s">
        <v>15</v>
      </c>
      <c r="J4651" t="s">
        <v>16</v>
      </c>
      <c r="K4651" t="str">
        <f>"60081905"</f>
        <v>60081905</v>
      </c>
    </row>
    <row r="4652" spans="1:11" x14ac:dyDescent="0.25">
      <c r="A4652">
        <v>2023</v>
      </c>
      <c r="B4652" t="s">
        <v>10905</v>
      </c>
      <c r="C4652" t="s">
        <v>10906</v>
      </c>
      <c r="D4652" t="s">
        <v>19</v>
      </c>
      <c r="E4652" t="s">
        <v>20</v>
      </c>
      <c r="F4652" t="str">
        <f>"43613"</f>
        <v>43613</v>
      </c>
      <c r="G4652" t="str">
        <f>"Je12142023"</f>
        <v>Je12142023</v>
      </c>
      <c r="H4652" s="2">
        <f>149</f>
        <v>149</v>
      </c>
      <c r="I4652" t="s">
        <v>15</v>
      </c>
      <c r="J4652" t="s">
        <v>176</v>
      </c>
      <c r="K4652" t="str">
        <f>"60096984"</f>
        <v>60096984</v>
      </c>
    </row>
    <row r="4653" spans="1:11" x14ac:dyDescent="0.25">
      <c r="A4653">
        <v>2023</v>
      </c>
      <c r="B4653" t="s">
        <v>10912</v>
      </c>
      <c r="C4653" t="s">
        <v>10913</v>
      </c>
      <c r="D4653" t="s">
        <v>19</v>
      </c>
      <c r="E4653" t="s">
        <v>20</v>
      </c>
      <c r="F4653" t="str">
        <f t="shared" ref="F4653:F4660" si="155">"43607"</f>
        <v>43607</v>
      </c>
      <c r="G4653" t="str">
        <f t="shared" ref="G4653:G4660" si="156">"632482"</f>
        <v>632482</v>
      </c>
      <c r="H4653" s="2">
        <f>53.41</f>
        <v>53.41</v>
      </c>
      <c r="I4653" t="s">
        <v>27</v>
      </c>
      <c r="J4653" t="s">
        <v>157</v>
      </c>
      <c r="K4653" t="str">
        <f>"522601"</f>
        <v>522601</v>
      </c>
    </row>
    <row r="4654" spans="1:11" x14ac:dyDescent="0.25">
      <c r="A4654">
        <v>2023</v>
      </c>
      <c r="B4654" t="s">
        <v>10921</v>
      </c>
      <c r="C4654" t="s">
        <v>10922</v>
      </c>
      <c r="D4654" t="s">
        <v>19</v>
      </c>
      <c r="E4654" t="s">
        <v>20</v>
      </c>
      <c r="F4654" t="str">
        <f t="shared" si="155"/>
        <v>43607</v>
      </c>
      <c r="G4654" t="str">
        <f t="shared" si="156"/>
        <v>632482</v>
      </c>
      <c r="H4654" s="2">
        <f>2.27</f>
        <v>2.27</v>
      </c>
      <c r="I4654" t="s">
        <v>27</v>
      </c>
      <c r="J4654" t="s">
        <v>157</v>
      </c>
      <c r="K4654" t="str">
        <f>"522262"</f>
        <v>522262</v>
      </c>
    </row>
    <row r="4655" spans="1:11" x14ac:dyDescent="0.25">
      <c r="A4655">
        <v>2023</v>
      </c>
      <c r="B4655" t="s">
        <v>10921</v>
      </c>
      <c r="C4655" t="s">
        <v>10922</v>
      </c>
      <c r="D4655" t="s">
        <v>19</v>
      </c>
      <c r="E4655" t="s">
        <v>20</v>
      </c>
      <c r="F4655" t="str">
        <f t="shared" si="155"/>
        <v>43607</v>
      </c>
      <c r="G4655" t="str">
        <f t="shared" si="156"/>
        <v>632482</v>
      </c>
      <c r="H4655" s="2">
        <f>4.55</f>
        <v>4.55</v>
      </c>
      <c r="I4655" t="s">
        <v>27</v>
      </c>
      <c r="J4655" t="s">
        <v>157</v>
      </c>
      <c r="K4655" t="str">
        <f>"520827"</f>
        <v>520827</v>
      </c>
    </row>
    <row r="4656" spans="1:11" x14ac:dyDescent="0.25">
      <c r="A4656">
        <v>2023</v>
      </c>
      <c r="B4656" t="s">
        <v>10921</v>
      </c>
      <c r="C4656" t="s">
        <v>10922</v>
      </c>
      <c r="D4656" t="s">
        <v>19</v>
      </c>
      <c r="E4656" t="s">
        <v>20</v>
      </c>
      <c r="F4656" t="str">
        <f t="shared" si="155"/>
        <v>43607</v>
      </c>
      <c r="G4656" t="str">
        <f t="shared" si="156"/>
        <v>632482</v>
      </c>
      <c r="H4656" s="2">
        <f>4.55</f>
        <v>4.55</v>
      </c>
      <c r="I4656" t="s">
        <v>27</v>
      </c>
      <c r="J4656" t="s">
        <v>157</v>
      </c>
      <c r="K4656" t="str">
        <f>"520606"</f>
        <v>520606</v>
      </c>
    </row>
    <row r="4657" spans="1:11" x14ac:dyDescent="0.25">
      <c r="A4657">
        <v>2023</v>
      </c>
      <c r="B4657" t="s">
        <v>10921</v>
      </c>
      <c r="C4657" t="s">
        <v>10922</v>
      </c>
      <c r="D4657" t="s">
        <v>19</v>
      </c>
      <c r="E4657" t="s">
        <v>20</v>
      </c>
      <c r="F4657" t="str">
        <f t="shared" si="155"/>
        <v>43607</v>
      </c>
      <c r="G4657" t="str">
        <f t="shared" si="156"/>
        <v>632482</v>
      </c>
      <c r="H4657" s="2">
        <f>2.27</f>
        <v>2.27</v>
      </c>
      <c r="I4657" t="s">
        <v>27</v>
      </c>
      <c r="J4657" t="s">
        <v>157</v>
      </c>
      <c r="K4657" t="str">
        <f>"521080"</f>
        <v>521080</v>
      </c>
    </row>
    <row r="4658" spans="1:11" x14ac:dyDescent="0.25">
      <c r="A4658">
        <v>2023</v>
      </c>
      <c r="B4658" t="s">
        <v>10921</v>
      </c>
      <c r="C4658" t="s">
        <v>10922</v>
      </c>
      <c r="D4658" t="s">
        <v>19</v>
      </c>
      <c r="E4658" t="s">
        <v>20</v>
      </c>
      <c r="F4658" t="str">
        <f t="shared" si="155"/>
        <v>43607</v>
      </c>
      <c r="G4658" t="str">
        <f t="shared" si="156"/>
        <v>632482</v>
      </c>
      <c r="H4658" s="2">
        <f>1.82</f>
        <v>1.82</v>
      </c>
      <c r="I4658" t="s">
        <v>27</v>
      </c>
      <c r="J4658" t="s">
        <v>157</v>
      </c>
      <c r="K4658" t="str">
        <f>"521857"</f>
        <v>521857</v>
      </c>
    </row>
    <row r="4659" spans="1:11" x14ac:dyDescent="0.25">
      <c r="A4659">
        <v>2023</v>
      </c>
      <c r="B4659" t="s">
        <v>10921</v>
      </c>
      <c r="C4659" t="s">
        <v>10922</v>
      </c>
      <c r="D4659" t="s">
        <v>19</v>
      </c>
      <c r="E4659" t="s">
        <v>20</v>
      </c>
      <c r="F4659" t="str">
        <f t="shared" si="155"/>
        <v>43607</v>
      </c>
      <c r="G4659" t="str">
        <f t="shared" si="156"/>
        <v>632482</v>
      </c>
      <c r="H4659" s="2">
        <f>4.55</f>
        <v>4.55</v>
      </c>
      <c r="I4659" t="s">
        <v>27</v>
      </c>
      <c r="J4659" t="s">
        <v>157</v>
      </c>
      <c r="K4659" t="str">
        <f>"521420"</f>
        <v>521420</v>
      </c>
    </row>
    <row r="4660" spans="1:11" x14ac:dyDescent="0.25">
      <c r="A4660">
        <v>2023</v>
      </c>
      <c r="B4660" t="s">
        <v>10921</v>
      </c>
      <c r="C4660" t="s">
        <v>10922</v>
      </c>
      <c r="D4660" t="s">
        <v>19</v>
      </c>
      <c r="E4660" t="s">
        <v>20</v>
      </c>
      <c r="F4660" t="str">
        <f t="shared" si="155"/>
        <v>43607</v>
      </c>
      <c r="G4660" t="str">
        <f t="shared" si="156"/>
        <v>632482</v>
      </c>
      <c r="H4660" s="2">
        <f>4.55</f>
        <v>4.55</v>
      </c>
      <c r="I4660" t="s">
        <v>27</v>
      </c>
      <c r="J4660" t="s">
        <v>157</v>
      </c>
      <c r="K4660" t="str">
        <f>"521544"</f>
        <v>521544</v>
      </c>
    </row>
    <row r="4661" spans="1:11" x14ac:dyDescent="0.25">
      <c r="A4661">
        <v>2023</v>
      </c>
      <c r="B4661" t="s">
        <v>10923</v>
      </c>
      <c r="C4661" t="s">
        <v>10924</v>
      </c>
      <c r="D4661" t="s">
        <v>19</v>
      </c>
      <c r="E4661" t="s">
        <v>20</v>
      </c>
      <c r="F4661" t="str">
        <f>"43612"</f>
        <v>43612</v>
      </c>
      <c r="G4661" t="str">
        <f>"Je12142023"</f>
        <v>Je12142023</v>
      </c>
      <c r="H4661" s="2">
        <f>35</f>
        <v>35</v>
      </c>
      <c r="I4661" t="s">
        <v>15</v>
      </c>
      <c r="J4661" t="s">
        <v>176</v>
      </c>
      <c r="K4661" t="str">
        <f>"60104398"</f>
        <v>60104398</v>
      </c>
    </row>
    <row r="4662" spans="1:11" x14ac:dyDescent="0.25">
      <c r="A4662">
        <v>2023</v>
      </c>
      <c r="B4662" t="s">
        <v>10927</v>
      </c>
      <c r="C4662" t="s">
        <v>10928</v>
      </c>
      <c r="D4662" t="s">
        <v>19</v>
      </c>
      <c r="E4662" t="s">
        <v>20</v>
      </c>
      <c r="F4662" t="str">
        <f>"43606"</f>
        <v>43606</v>
      </c>
      <c r="G4662" t="str">
        <f>"Je12142023"</f>
        <v>Je12142023</v>
      </c>
      <c r="H4662" s="2">
        <f>35</f>
        <v>35</v>
      </c>
      <c r="I4662" t="s">
        <v>15</v>
      </c>
      <c r="J4662" t="s">
        <v>176</v>
      </c>
      <c r="K4662" t="str">
        <f>"60104408"</f>
        <v>60104408</v>
      </c>
    </row>
    <row r="4663" spans="1:11" x14ac:dyDescent="0.25">
      <c r="A4663">
        <v>2023</v>
      </c>
      <c r="B4663" t="s">
        <v>10931</v>
      </c>
      <c r="C4663" t="s">
        <v>10932</v>
      </c>
      <c r="D4663" t="s">
        <v>19</v>
      </c>
      <c r="E4663" t="s">
        <v>20</v>
      </c>
      <c r="F4663" t="str">
        <f>"43612"</f>
        <v>43612</v>
      </c>
      <c r="G4663" t="str">
        <f>"589332"</f>
        <v>589332</v>
      </c>
      <c r="H4663" s="2">
        <f>50</f>
        <v>50</v>
      </c>
      <c r="I4663" t="s">
        <v>519</v>
      </c>
      <c r="J4663" t="s">
        <v>519</v>
      </c>
      <c r="K4663" t="str">
        <f>"15017"</f>
        <v>15017</v>
      </c>
    </row>
    <row r="4664" spans="1:11" x14ac:dyDescent="0.25">
      <c r="A4664">
        <v>2023</v>
      </c>
      <c r="B4664" t="s">
        <v>10931</v>
      </c>
      <c r="C4664" t="s">
        <v>10932</v>
      </c>
      <c r="D4664" t="s">
        <v>19</v>
      </c>
      <c r="E4664" t="s">
        <v>20</v>
      </c>
      <c r="F4664" t="str">
        <f>"43612"</f>
        <v>43612</v>
      </c>
      <c r="G4664" t="str">
        <f>"589332"</f>
        <v>589332</v>
      </c>
      <c r="H4664" s="2">
        <f>50</f>
        <v>50</v>
      </c>
      <c r="I4664" t="s">
        <v>519</v>
      </c>
      <c r="J4664" t="s">
        <v>519</v>
      </c>
      <c r="K4664" t="str">
        <f>"14965"</f>
        <v>14965</v>
      </c>
    </row>
    <row r="4665" spans="1:11" x14ac:dyDescent="0.25">
      <c r="A4665">
        <v>2023</v>
      </c>
      <c r="B4665" t="s">
        <v>10933</v>
      </c>
      <c r="C4665" t="s">
        <v>10934</v>
      </c>
      <c r="D4665" t="s">
        <v>19</v>
      </c>
      <c r="E4665" t="s">
        <v>20</v>
      </c>
      <c r="F4665" t="str">
        <f>"43611"</f>
        <v>43611</v>
      </c>
      <c r="G4665" t="str">
        <f>"Je12142023"</f>
        <v>Je12142023</v>
      </c>
      <c r="H4665" s="2">
        <f>175.38</f>
        <v>175.38</v>
      </c>
      <c r="I4665" t="s">
        <v>15</v>
      </c>
      <c r="J4665" t="s">
        <v>176</v>
      </c>
      <c r="K4665" t="str">
        <f>"60096989"</f>
        <v>60096989</v>
      </c>
    </row>
    <row r="4666" spans="1:11" x14ac:dyDescent="0.25">
      <c r="A4666">
        <v>2023</v>
      </c>
      <c r="B4666" t="s">
        <v>10943</v>
      </c>
      <c r="C4666" t="s">
        <v>10944</v>
      </c>
      <c r="D4666" t="s">
        <v>50</v>
      </c>
      <c r="E4666" t="s">
        <v>20</v>
      </c>
      <c r="F4666" t="str">
        <f>"43560"</f>
        <v>43560</v>
      </c>
      <c r="G4666" t="str">
        <f>"632482"</f>
        <v>632482</v>
      </c>
      <c r="H4666" s="2">
        <f>17.18</f>
        <v>17.18</v>
      </c>
      <c r="I4666" t="s">
        <v>27</v>
      </c>
      <c r="J4666" t="s">
        <v>157</v>
      </c>
      <c r="K4666" t="str">
        <f>"522084"</f>
        <v>522084</v>
      </c>
    </row>
    <row r="4667" spans="1:11" x14ac:dyDescent="0.25">
      <c r="A4667">
        <v>2023</v>
      </c>
      <c r="B4667" t="s">
        <v>10945</v>
      </c>
      <c r="C4667" t="s">
        <v>3848</v>
      </c>
      <c r="D4667" t="s">
        <v>19</v>
      </c>
      <c r="E4667" t="s">
        <v>20</v>
      </c>
      <c r="F4667" t="str">
        <f>"43606"</f>
        <v>43606</v>
      </c>
      <c r="G4667" t="str">
        <f>"Je10162023"</f>
        <v>Je10162023</v>
      </c>
      <c r="H4667" s="2">
        <f>140</f>
        <v>140</v>
      </c>
      <c r="I4667" t="s">
        <v>15</v>
      </c>
      <c r="J4667" t="s">
        <v>93</v>
      </c>
      <c r="K4667" t="str">
        <f>"60091466"</f>
        <v>60091466</v>
      </c>
    </row>
    <row r="4668" spans="1:11" x14ac:dyDescent="0.25">
      <c r="A4668">
        <v>2023</v>
      </c>
      <c r="B4668" t="s">
        <v>10945</v>
      </c>
      <c r="C4668" t="s">
        <v>3848</v>
      </c>
      <c r="D4668" t="s">
        <v>19</v>
      </c>
      <c r="E4668" t="s">
        <v>20</v>
      </c>
      <c r="F4668" t="str">
        <f>"43606"</f>
        <v>43606</v>
      </c>
      <c r="G4668" t="str">
        <f>"Je10162023"</f>
        <v>Je10162023</v>
      </c>
      <c r="H4668" s="2">
        <f>125</f>
        <v>125</v>
      </c>
      <c r="I4668" t="s">
        <v>15</v>
      </c>
      <c r="J4668" t="s">
        <v>93</v>
      </c>
      <c r="K4668" t="str">
        <f>"60089997"</f>
        <v>60089997</v>
      </c>
    </row>
    <row r="4669" spans="1:11" x14ac:dyDescent="0.25">
      <c r="A4669">
        <v>2023</v>
      </c>
      <c r="B4669" t="s">
        <v>10945</v>
      </c>
      <c r="C4669" t="s">
        <v>3848</v>
      </c>
      <c r="D4669" t="s">
        <v>19</v>
      </c>
      <c r="E4669" t="s">
        <v>20</v>
      </c>
      <c r="F4669" t="str">
        <f>"43606"</f>
        <v>43606</v>
      </c>
      <c r="G4669" t="str">
        <f>"Je12142023"</f>
        <v>Je12142023</v>
      </c>
      <c r="H4669" s="2">
        <f>210</f>
        <v>210</v>
      </c>
      <c r="I4669" t="s">
        <v>15</v>
      </c>
      <c r="J4669" t="s">
        <v>176</v>
      </c>
      <c r="K4669" t="str">
        <f>"60101971"</f>
        <v>60101971</v>
      </c>
    </row>
    <row r="4670" spans="1:11" x14ac:dyDescent="0.25">
      <c r="A4670">
        <v>2023</v>
      </c>
      <c r="B4670" t="s">
        <v>10946</v>
      </c>
      <c r="C4670" t="s">
        <v>10947</v>
      </c>
      <c r="D4670" t="s">
        <v>19</v>
      </c>
      <c r="E4670" t="s">
        <v>20</v>
      </c>
      <c r="F4670" t="str">
        <f>"43613"</f>
        <v>43613</v>
      </c>
      <c r="G4670" t="str">
        <f>"632482"</f>
        <v>632482</v>
      </c>
      <c r="H4670" s="2">
        <f>25</f>
        <v>25</v>
      </c>
      <c r="I4670" t="s">
        <v>27</v>
      </c>
      <c r="J4670" t="s">
        <v>157</v>
      </c>
      <c r="K4670" t="str">
        <f>"522645"</f>
        <v>522645</v>
      </c>
    </row>
    <row r="4671" spans="1:11" x14ac:dyDescent="0.25">
      <c r="A4671">
        <v>2023</v>
      </c>
      <c r="B4671" t="s">
        <v>10967</v>
      </c>
      <c r="C4671" t="s">
        <v>10968</v>
      </c>
      <c r="D4671" t="s">
        <v>19</v>
      </c>
      <c r="E4671" t="s">
        <v>20</v>
      </c>
      <c r="F4671" t="str">
        <f>"43612"</f>
        <v>43612</v>
      </c>
      <c r="G4671" t="str">
        <f>"632482"</f>
        <v>632482</v>
      </c>
      <c r="H4671" s="2">
        <f>17.18</f>
        <v>17.18</v>
      </c>
      <c r="I4671" t="s">
        <v>27</v>
      </c>
      <c r="J4671" t="s">
        <v>157</v>
      </c>
      <c r="K4671" t="str">
        <f>"522085"</f>
        <v>522085</v>
      </c>
    </row>
    <row r="4672" spans="1:11" x14ac:dyDescent="0.25">
      <c r="A4672">
        <v>2023</v>
      </c>
      <c r="B4672" t="s">
        <v>10983</v>
      </c>
      <c r="C4672" t="s">
        <v>10984</v>
      </c>
      <c r="D4672" t="s">
        <v>10985</v>
      </c>
      <c r="E4672" t="s">
        <v>10851</v>
      </c>
      <c r="F4672" t="str">
        <f>"19958"</f>
        <v>19958</v>
      </c>
      <c r="G4672" t="str">
        <f>"595350"</f>
        <v>595350</v>
      </c>
      <c r="H4672" s="2">
        <f>0.52</f>
        <v>0.52</v>
      </c>
      <c r="I4672" t="s">
        <v>86</v>
      </c>
      <c r="J4672" t="s">
        <v>1178</v>
      </c>
      <c r="K4672" t="str">
        <f>"30230"</f>
        <v>30230</v>
      </c>
    </row>
    <row r="4673" spans="1:11" x14ac:dyDescent="0.25">
      <c r="A4673">
        <v>2023</v>
      </c>
      <c r="B4673" t="s">
        <v>11000</v>
      </c>
      <c r="C4673" t="s">
        <v>11001</v>
      </c>
      <c r="D4673" t="s">
        <v>11002</v>
      </c>
      <c r="E4673" t="s">
        <v>436</v>
      </c>
      <c r="F4673" t="str">
        <f>"19122"</f>
        <v>19122</v>
      </c>
      <c r="G4673" t="str">
        <f>"632482"</f>
        <v>632482</v>
      </c>
      <c r="H4673" s="2">
        <f>25</f>
        <v>25</v>
      </c>
      <c r="I4673" t="s">
        <v>27</v>
      </c>
      <c r="J4673" t="s">
        <v>157</v>
      </c>
      <c r="K4673" t="str">
        <f>"523104"</f>
        <v>523104</v>
      </c>
    </row>
    <row r="4674" spans="1:11" x14ac:dyDescent="0.25">
      <c r="A4674">
        <v>2023</v>
      </c>
      <c r="B4674" t="s">
        <v>11000</v>
      </c>
      <c r="C4674" t="s">
        <v>11001</v>
      </c>
      <c r="D4674" t="s">
        <v>11002</v>
      </c>
      <c r="E4674" t="s">
        <v>436</v>
      </c>
      <c r="F4674" t="str">
        <f>"19122"</f>
        <v>19122</v>
      </c>
      <c r="G4674" t="str">
        <f>"632482"</f>
        <v>632482</v>
      </c>
      <c r="H4674" s="2">
        <f>12.5</f>
        <v>12.5</v>
      </c>
      <c r="I4674" t="s">
        <v>27</v>
      </c>
      <c r="J4674" t="s">
        <v>157</v>
      </c>
      <c r="K4674" t="str">
        <f>"523273"</f>
        <v>523273</v>
      </c>
    </row>
    <row r="4675" spans="1:11" x14ac:dyDescent="0.25">
      <c r="A4675">
        <v>2023</v>
      </c>
      <c r="B4675" t="s">
        <v>11007</v>
      </c>
      <c r="C4675" t="s">
        <v>11008</v>
      </c>
      <c r="D4675" t="s">
        <v>19</v>
      </c>
      <c r="E4675" t="s">
        <v>20</v>
      </c>
      <c r="F4675" t="str">
        <f>"43614-4750"</f>
        <v>43614-4750</v>
      </c>
      <c r="G4675" t="str">
        <f>"637573"</f>
        <v>637573</v>
      </c>
      <c r="H4675" s="2">
        <f>10</f>
        <v>10</v>
      </c>
      <c r="I4675" t="s">
        <v>27</v>
      </c>
      <c r="J4675" t="s">
        <v>61</v>
      </c>
      <c r="K4675" t="str">
        <f>"120336"</f>
        <v>120336</v>
      </c>
    </row>
    <row r="4676" spans="1:11" x14ac:dyDescent="0.25">
      <c r="A4676">
        <v>2023</v>
      </c>
      <c r="B4676" t="s">
        <v>11024</v>
      </c>
      <c r="C4676" t="s">
        <v>11025</v>
      </c>
      <c r="D4676" t="s">
        <v>19</v>
      </c>
      <c r="E4676" t="s">
        <v>20</v>
      </c>
      <c r="F4676" t="str">
        <f>"43614"</f>
        <v>43614</v>
      </c>
      <c r="G4676" t="str">
        <f t="shared" ref="G4676:G4684" si="157">"632482"</f>
        <v>632482</v>
      </c>
      <c r="H4676" s="2">
        <f>17.18</f>
        <v>17.18</v>
      </c>
      <c r="I4676" t="s">
        <v>27</v>
      </c>
      <c r="J4676" t="s">
        <v>157</v>
      </c>
      <c r="K4676" t="str">
        <f>"522087"</f>
        <v>522087</v>
      </c>
    </row>
    <row r="4677" spans="1:11" x14ac:dyDescent="0.25">
      <c r="A4677">
        <v>2023</v>
      </c>
      <c r="B4677" t="s">
        <v>11038</v>
      </c>
      <c r="C4677" t="s">
        <v>11039</v>
      </c>
      <c r="D4677" t="s">
        <v>19</v>
      </c>
      <c r="E4677" t="s">
        <v>20</v>
      </c>
      <c r="F4677" t="str">
        <f>"43613"</f>
        <v>43613</v>
      </c>
      <c r="G4677" t="str">
        <f t="shared" si="157"/>
        <v>632482</v>
      </c>
      <c r="H4677" s="2">
        <f>17.18</f>
        <v>17.18</v>
      </c>
      <c r="I4677" t="s">
        <v>27</v>
      </c>
      <c r="J4677" t="s">
        <v>157</v>
      </c>
      <c r="K4677" t="str">
        <f>"522113"</f>
        <v>522113</v>
      </c>
    </row>
    <row r="4678" spans="1:11" x14ac:dyDescent="0.25">
      <c r="A4678">
        <v>2023</v>
      </c>
      <c r="B4678" t="s">
        <v>11040</v>
      </c>
      <c r="C4678" t="s">
        <v>11041</v>
      </c>
      <c r="D4678" t="s">
        <v>19</v>
      </c>
      <c r="E4678" t="s">
        <v>20</v>
      </c>
      <c r="F4678" t="str">
        <f t="shared" ref="F4678:F4684" si="158">"43606"</f>
        <v>43606</v>
      </c>
      <c r="G4678" t="str">
        <f t="shared" si="157"/>
        <v>632482</v>
      </c>
      <c r="H4678" s="2">
        <f>2.27</f>
        <v>2.27</v>
      </c>
      <c r="I4678" t="s">
        <v>27</v>
      </c>
      <c r="J4678" t="s">
        <v>157</v>
      </c>
      <c r="K4678" t="str">
        <f>"521083"</f>
        <v>521083</v>
      </c>
    </row>
    <row r="4679" spans="1:11" x14ac:dyDescent="0.25">
      <c r="A4679">
        <v>2023</v>
      </c>
      <c r="B4679" t="s">
        <v>11040</v>
      </c>
      <c r="C4679" t="s">
        <v>11041</v>
      </c>
      <c r="D4679" t="s">
        <v>19</v>
      </c>
      <c r="E4679" t="s">
        <v>20</v>
      </c>
      <c r="F4679" t="str">
        <f t="shared" si="158"/>
        <v>43606</v>
      </c>
      <c r="G4679" t="str">
        <f t="shared" si="157"/>
        <v>632482</v>
      </c>
      <c r="H4679" s="2">
        <f>4.55</f>
        <v>4.55</v>
      </c>
      <c r="I4679" t="s">
        <v>27</v>
      </c>
      <c r="J4679" t="s">
        <v>157</v>
      </c>
      <c r="K4679" t="str">
        <f>"520830"</f>
        <v>520830</v>
      </c>
    </row>
    <row r="4680" spans="1:11" x14ac:dyDescent="0.25">
      <c r="A4680">
        <v>2023</v>
      </c>
      <c r="B4680" t="s">
        <v>11040</v>
      </c>
      <c r="C4680" t="s">
        <v>11041</v>
      </c>
      <c r="D4680" t="s">
        <v>19</v>
      </c>
      <c r="E4680" t="s">
        <v>20</v>
      </c>
      <c r="F4680" t="str">
        <f t="shared" si="158"/>
        <v>43606</v>
      </c>
      <c r="G4680" t="str">
        <f t="shared" si="157"/>
        <v>632482</v>
      </c>
      <c r="H4680" s="2">
        <f>2.27</f>
        <v>2.27</v>
      </c>
      <c r="I4680" t="s">
        <v>27</v>
      </c>
      <c r="J4680" t="s">
        <v>157</v>
      </c>
      <c r="K4680" t="str">
        <f>"522265"</f>
        <v>522265</v>
      </c>
    </row>
    <row r="4681" spans="1:11" x14ac:dyDescent="0.25">
      <c r="A4681">
        <v>2023</v>
      </c>
      <c r="B4681" t="s">
        <v>11040</v>
      </c>
      <c r="C4681" t="s">
        <v>11041</v>
      </c>
      <c r="D4681" t="s">
        <v>19</v>
      </c>
      <c r="E4681" t="s">
        <v>20</v>
      </c>
      <c r="F4681" t="str">
        <f t="shared" si="158"/>
        <v>43606</v>
      </c>
      <c r="G4681" t="str">
        <f t="shared" si="157"/>
        <v>632482</v>
      </c>
      <c r="H4681" s="2">
        <f>4.55</f>
        <v>4.55</v>
      </c>
      <c r="I4681" t="s">
        <v>27</v>
      </c>
      <c r="J4681" t="s">
        <v>157</v>
      </c>
      <c r="K4681" t="str">
        <f>"521547"</f>
        <v>521547</v>
      </c>
    </row>
    <row r="4682" spans="1:11" x14ac:dyDescent="0.25">
      <c r="A4682">
        <v>2023</v>
      </c>
      <c r="B4682" t="s">
        <v>11040</v>
      </c>
      <c r="C4682" t="s">
        <v>11041</v>
      </c>
      <c r="D4682" t="s">
        <v>19</v>
      </c>
      <c r="E4682" t="s">
        <v>20</v>
      </c>
      <c r="F4682" t="str">
        <f t="shared" si="158"/>
        <v>43606</v>
      </c>
      <c r="G4682" t="str">
        <f t="shared" si="157"/>
        <v>632482</v>
      </c>
      <c r="H4682" s="2">
        <f>4.55</f>
        <v>4.55</v>
      </c>
      <c r="I4682" t="s">
        <v>27</v>
      </c>
      <c r="J4682" t="s">
        <v>157</v>
      </c>
      <c r="K4682" t="str">
        <f>"521423"</f>
        <v>521423</v>
      </c>
    </row>
    <row r="4683" spans="1:11" x14ac:dyDescent="0.25">
      <c r="A4683">
        <v>2023</v>
      </c>
      <c r="B4683" t="s">
        <v>11040</v>
      </c>
      <c r="C4683" t="s">
        <v>11041</v>
      </c>
      <c r="D4683" t="s">
        <v>19</v>
      </c>
      <c r="E4683" t="s">
        <v>20</v>
      </c>
      <c r="F4683" t="str">
        <f t="shared" si="158"/>
        <v>43606</v>
      </c>
      <c r="G4683" t="str">
        <f t="shared" si="157"/>
        <v>632482</v>
      </c>
      <c r="H4683" s="2">
        <f>1.82</f>
        <v>1.82</v>
      </c>
      <c r="I4683" t="s">
        <v>27</v>
      </c>
      <c r="J4683" t="s">
        <v>157</v>
      </c>
      <c r="K4683" t="str">
        <f>"521860"</f>
        <v>521860</v>
      </c>
    </row>
    <row r="4684" spans="1:11" x14ac:dyDescent="0.25">
      <c r="A4684">
        <v>2023</v>
      </c>
      <c r="B4684" t="s">
        <v>11040</v>
      </c>
      <c r="C4684" t="s">
        <v>11041</v>
      </c>
      <c r="D4684" t="s">
        <v>19</v>
      </c>
      <c r="E4684" t="s">
        <v>20</v>
      </c>
      <c r="F4684" t="str">
        <f t="shared" si="158"/>
        <v>43606</v>
      </c>
      <c r="G4684" t="str">
        <f t="shared" si="157"/>
        <v>632482</v>
      </c>
      <c r="H4684" s="2">
        <f>4.55</f>
        <v>4.55</v>
      </c>
      <c r="I4684" t="s">
        <v>27</v>
      </c>
      <c r="J4684" t="s">
        <v>157</v>
      </c>
      <c r="K4684" t="str">
        <f>"520609"</f>
        <v>520609</v>
      </c>
    </row>
    <row r="4685" spans="1:11" x14ac:dyDescent="0.25">
      <c r="A4685">
        <v>2023</v>
      </c>
      <c r="B4685" t="s">
        <v>11048</v>
      </c>
      <c r="C4685" t="s">
        <v>11049</v>
      </c>
      <c r="D4685" t="s">
        <v>11050</v>
      </c>
      <c r="E4685" t="s">
        <v>1837</v>
      </c>
      <c r="F4685" t="str">
        <f>"12220-2602"</f>
        <v>12220-2602</v>
      </c>
      <c r="G4685" t="str">
        <f>"589300"</f>
        <v>589300</v>
      </c>
      <c r="H4685" s="2">
        <f>15</f>
        <v>15</v>
      </c>
      <c r="I4685" t="s">
        <v>148</v>
      </c>
      <c r="J4685" t="s">
        <v>11051</v>
      </c>
      <c r="K4685" t="str">
        <f>"26023"</f>
        <v>26023</v>
      </c>
    </row>
    <row r="4686" spans="1:11" x14ac:dyDescent="0.25">
      <c r="A4686">
        <v>2023</v>
      </c>
      <c r="B4686" t="s">
        <v>11078</v>
      </c>
      <c r="C4686" t="s">
        <v>11079</v>
      </c>
      <c r="D4686" t="s">
        <v>105</v>
      </c>
      <c r="E4686" t="s">
        <v>20</v>
      </c>
      <c r="F4686" t="str">
        <f>"43528"</f>
        <v>43528</v>
      </c>
      <c r="G4686" t="str">
        <f>"632482"</f>
        <v>632482</v>
      </c>
      <c r="H4686" s="2">
        <f>17.18</f>
        <v>17.18</v>
      </c>
      <c r="I4686" t="s">
        <v>27</v>
      </c>
      <c r="J4686" t="s">
        <v>157</v>
      </c>
      <c r="K4686" t="str">
        <f>"522088"</f>
        <v>522088</v>
      </c>
    </row>
    <row r="4687" spans="1:11" x14ac:dyDescent="0.25">
      <c r="A4687">
        <v>2023</v>
      </c>
      <c r="B4687" t="s">
        <v>11131</v>
      </c>
      <c r="C4687" t="s">
        <v>11132</v>
      </c>
      <c r="D4687" t="s">
        <v>19</v>
      </c>
      <c r="E4687" t="s">
        <v>20</v>
      </c>
      <c r="F4687" t="str">
        <f>"43613-1546"</f>
        <v>43613-1546</v>
      </c>
      <c r="G4687" t="str">
        <f>"637573"</f>
        <v>637573</v>
      </c>
      <c r="H4687" s="2">
        <f>40</f>
        <v>40</v>
      </c>
      <c r="I4687" t="s">
        <v>27</v>
      </c>
      <c r="J4687" t="s">
        <v>61</v>
      </c>
      <c r="K4687" t="str">
        <f>"118412"</f>
        <v>118412</v>
      </c>
    </row>
    <row r="4688" spans="1:11" x14ac:dyDescent="0.25">
      <c r="A4688">
        <v>2023</v>
      </c>
      <c r="B4688" t="s">
        <v>11131</v>
      </c>
      <c r="C4688" t="s">
        <v>11132</v>
      </c>
      <c r="D4688" t="s">
        <v>19</v>
      </c>
      <c r="E4688" t="s">
        <v>20</v>
      </c>
      <c r="F4688" t="str">
        <f>"43613-1546"</f>
        <v>43613-1546</v>
      </c>
      <c r="G4688" t="str">
        <f>"637573"</f>
        <v>637573</v>
      </c>
      <c r="H4688" s="2">
        <f>10</f>
        <v>10</v>
      </c>
      <c r="I4688" t="s">
        <v>27</v>
      </c>
      <c r="J4688" t="s">
        <v>61</v>
      </c>
      <c r="K4688" t="str">
        <f>"118421"</f>
        <v>118421</v>
      </c>
    </row>
    <row r="4689" spans="1:11" x14ac:dyDescent="0.25">
      <c r="A4689">
        <v>2023</v>
      </c>
      <c r="B4689" t="s">
        <v>11140</v>
      </c>
      <c r="C4689" t="s">
        <v>11141</v>
      </c>
      <c r="D4689" t="s">
        <v>3756</v>
      </c>
      <c r="E4689" t="s">
        <v>1837</v>
      </c>
      <c r="F4689" t="str">
        <f>"10016-8703"</f>
        <v>10016-8703</v>
      </c>
      <c r="G4689" t="str">
        <f>"632483"</f>
        <v>632483</v>
      </c>
      <c r="H4689" s="2">
        <f>75.5</f>
        <v>75.5</v>
      </c>
      <c r="I4689" t="s">
        <v>27</v>
      </c>
      <c r="J4689" t="s">
        <v>108</v>
      </c>
      <c r="K4689" t="str">
        <f>"38902"</f>
        <v>38902</v>
      </c>
    </row>
    <row r="4690" spans="1:11" x14ac:dyDescent="0.25">
      <c r="A4690">
        <v>2023</v>
      </c>
      <c r="B4690" t="s">
        <v>11158</v>
      </c>
      <c r="C4690" t="s">
        <v>11159</v>
      </c>
      <c r="D4690" t="s">
        <v>19</v>
      </c>
      <c r="E4690" t="s">
        <v>20</v>
      </c>
      <c r="F4690" t="str">
        <f>"43613"</f>
        <v>43613</v>
      </c>
      <c r="G4690" t="str">
        <f>"Je12142023"</f>
        <v>Je12142023</v>
      </c>
      <c r="H4690" s="2">
        <f>18.4</f>
        <v>18.399999999999999</v>
      </c>
      <c r="I4690" t="s">
        <v>15</v>
      </c>
      <c r="J4690" t="s">
        <v>176</v>
      </c>
      <c r="K4690" t="str">
        <f>"60094195"</f>
        <v>60094195</v>
      </c>
    </row>
    <row r="4691" spans="1:11" x14ac:dyDescent="0.25">
      <c r="A4691">
        <v>2023</v>
      </c>
      <c r="B4691" t="s">
        <v>11166</v>
      </c>
      <c r="C4691" t="s">
        <v>1734</v>
      </c>
      <c r="D4691" t="s">
        <v>19</v>
      </c>
      <c r="E4691" t="s">
        <v>20</v>
      </c>
      <c r="F4691" t="str">
        <f>"43604"</f>
        <v>43604</v>
      </c>
      <c r="G4691" t="str">
        <f>"632483"</f>
        <v>632483</v>
      </c>
      <c r="H4691" s="2">
        <f>20</f>
        <v>20</v>
      </c>
      <c r="I4691" t="s">
        <v>27</v>
      </c>
      <c r="J4691" t="s">
        <v>108</v>
      </c>
      <c r="K4691" t="str">
        <f>"40291"</f>
        <v>40291</v>
      </c>
    </row>
    <row r="4692" spans="1:11" x14ac:dyDescent="0.25">
      <c r="A4692">
        <v>2023</v>
      </c>
      <c r="B4692" t="s">
        <v>11196</v>
      </c>
      <c r="C4692" t="s">
        <v>11197</v>
      </c>
      <c r="D4692" t="s">
        <v>19</v>
      </c>
      <c r="E4692" t="s">
        <v>20</v>
      </c>
      <c r="F4692" t="str">
        <f>"43611"</f>
        <v>43611</v>
      </c>
      <c r="G4692" t="str">
        <f>"Je12142023"</f>
        <v>Je12142023</v>
      </c>
      <c r="H4692" s="2">
        <f>80.9</f>
        <v>80.900000000000006</v>
      </c>
      <c r="I4692" t="s">
        <v>15</v>
      </c>
      <c r="J4692" t="s">
        <v>176</v>
      </c>
      <c r="K4692" t="str">
        <f>"60096777"</f>
        <v>60096777</v>
      </c>
    </row>
    <row r="4693" spans="1:11" x14ac:dyDescent="0.25">
      <c r="A4693">
        <v>2023</v>
      </c>
      <c r="B4693" t="s">
        <v>11209</v>
      </c>
      <c r="C4693" t="s">
        <v>11210</v>
      </c>
      <c r="D4693" t="s">
        <v>19</v>
      </c>
      <c r="E4693" t="s">
        <v>20</v>
      </c>
      <c r="F4693" t="str">
        <f>"43613"</f>
        <v>43613</v>
      </c>
      <c r="G4693" t="str">
        <f>"Je10162023"</f>
        <v>Je10162023</v>
      </c>
      <c r="H4693" s="2">
        <f>125</f>
        <v>125</v>
      </c>
      <c r="I4693" t="s">
        <v>15</v>
      </c>
      <c r="J4693" t="s">
        <v>93</v>
      </c>
      <c r="K4693" t="str">
        <f>"60090014"</f>
        <v>60090014</v>
      </c>
    </row>
    <row r="4694" spans="1:11" x14ac:dyDescent="0.25">
      <c r="A4694">
        <v>2023</v>
      </c>
      <c r="B4694" t="s">
        <v>11213</v>
      </c>
      <c r="C4694" t="s">
        <v>11214</v>
      </c>
      <c r="D4694" t="s">
        <v>50</v>
      </c>
      <c r="E4694" t="s">
        <v>20</v>
      </c>
      <c r="F4694" t="str">
        <f>"43560"</f>
        <v>43560</v>
      </c>
      <c r="G4694" t="str">
        <f>"Je06132023"</f>
        <v>Je06132023</v>
      </c>
      <c r="H4694" s="2">
        <f>85</f>
        <v>85</v>
      </c>
      <c r="I4694" t="s">
        <v>15</v>
      </c>
      <c r="J4694" t="s">
        <v>16</v>
      </c>
      <c r="K4694" t="str">
        <f>"60081945"</f>
        <v>60081945</v>
      </c>
    </row>
    <row r="4695" spans="1:11" x14ac:dyDescent="0.25">
      <c r="A4695">
        <v>2023</v>
      </c>
      <c r="B4695" t="s">
        <v>11213</v>
      </c>
      <c r="C4695" t="s">
        <v>11214</v>
      </c>
      <c r="D4695" t="s">
        <v>50</v>
      </c>
      <c r="E4695" t="s">
        <v>20</v>
      </c>
      <c r="F4695" t="str">
        <f>"43560"</f>
        <v>43560</v>
      </c>
      <c r="G4695" t="str">
        <f>"Je06132023"</f>
        <v>Je06132023</v>
      </c>
      <c r="H4695" s="2">
        <f>125</f>
        <v>125</v>
      </c>
      <c r="I4695" t="s">
        <v>15</v>
      </c>
      <c r="J4695" t="s">
        <v>16</v>
      </c>
      <c r="K4695" t="str">
        <f>"60080795"</f>
        <v>60080795</v>
      </c>
    </row>
    <row r="4696" spans="1:11" x14ac:dyDescent="0.25">
      <c r="A4696">
        <v>2023</v>
      </c>
      <c r="B4696" t="s">
        <v>11219</v>
      </c>
      <c r="C4696" t="s">
        <v>11220</v>
      </c>
      <c r="D4696" t="s">
        <v>19</v>
      </c>
      <c r="E4696" t="s">
        <v>20</v>
      </c>
      <c r="F4696" t="str">
        <f>"43609"</f>
        <v>43609</v>
      </c>
      <c r="G4696" t="str">
        <f>"632482"</f>
        <v>632482</v>
      </c>
      <c r="H4696" s="2">
        <f>50</f>
        <v>50</v>
      </c>
      <c r="I4696" t="s">
        <v>27</v>
      </c>
      <c r="J4696" t="s">
        <v>157</v>
      </c>
      <c r="K4696" t="str">
        <f>"521106"</f>
        <v>521106</v>
      </c>
    </row>
    <row r="4697" spans="1:11" x14ac:dyDescent="0.25">
      <c r="A4697">
        <v>2023</v>
      </c>
      <c r="B4697" t="s">
        <v>11226</v>
      </c>
      <c r="C4697" t="s">
        <v>11227</v>
      </c>
      <c r="D4697" t="s">
        <v>125</v>
      </c>
      <c r="E4697" t="s">
        <v>20</v>
      </c>
      <c r="F4697" t="str">
        <f>"43537"</f>
        <v>43537</v>
      </c>
      <c r="G4697" t="str">
        <f>"632482"</f>
        <v>632482</v>
      </c>
      <c r="H4697" s="2">
        <f>17.18</f>
        <v>17.18</v>
      </c>
      <c r="I4697" t="s">
        <v>27</v>
      </c>
      <c r="J4697" t="s">
        <v>157</v>
      </c>
      <c r="K4697" t="str">
        <f>"522090"</f>
        <v>522090</v>
      </c>
    </row>
    <row r="4698" spans="1:11" x14ac:dyDescent="0.25">
      <c r="A4698">
        <v>2023</v>
      </c>
      <c r="B4698" t="s">
        <v>11240</v>
      </c>
      <c r="C4698" t="s">
        <v>11241</v>
      </c>
      <c r="D4698" t="s">
        <v>7070</v>
      </c>
      <c r="E4698" t="s">
        <v>14</v>
      </c>
      <c r="F4698" t="str">
        <f>"48103"</f>
        <v>48103</v>
      </c>
      <c r="G4698" t="str">
        <f>"632514"</f>
        <v>632514</v>
      </c>
      <c r="H4698" s="2">
        <f>87.57</f>
        <v>87.57</v>
      </c>
      <c r="I4698" t="s">
        <v>27</v>
      </c>
      <c r="J4698" t="s">
        <v>195</v>
      </c>
      <c r="K4698" t="str">
        <f>"22024931"</f>
        <v>22024931</v>
      </c>
    </row>
    <row r="4699" spans="1:11" x14ac:dyDescent="0.25">
      <c r="A4699">
        <v>2023</v>
      </c>
      <c r="B4699" t="s">
        <v>11251</v>
      </c>
      <c r="C4699" t="s">
        <v>11252</v>
      </c>
      <c r="D4699" t="s">
        <v>11253</v>
      </c>
      <c r="E4699" t="s">
        <v>20</v>
      </c>
      <c r="F4699" t="str">
        <f>"43212"</f>
        <v>43212</v>
      </c>
      <c r="G4699" t="str">
        <f>"632483"</f>
        <v>632483</v>
      </c>
      <c r="H4699" s="2">
        <f>34</f>
        <v>34</v>
      </c>
      <c r="I4699" t="s">
        <v>27</v>
      </c>
      <c r="J4699" t="s">
        <v>108</v>
      </c>
      <c r="K4699" t="str">
        <f>"39447"</f>
        <v>39447</v>
      </c>
    </row>
    <row r="4700" spans="1:11" x14ac:dyDescent="0.25">
      <c r="A4700">
        <v>2023</v>
      </c>
      <c r="B4700" t="s">
        <v>11308</v>
      </c>
      <c r="C4700" t="s">
        <v>11309</v>
      </c>
      <c r="D4700" t="s">
        <v>1177</v>
      </c>
      <c r="E4700" t="s">
        <v>418</v>
      </c>
      <c r="F4700" t="str">
        <f>"60563"</f>
        <v>60563</v>
      </c>
      <c r="G4700" t="str">
        <f>"632483"</f>
        <v>632483</v>
      </c>
      <c r="H4700" s="2">
        <f>550</f>
        <v>550</v>
      </c>
      <c r="I4700" t="s">
        <v>27</v>
      </c>
      <c r="J4700" t="s">
        <v>108</v>
      </c>
      <c r="K4700" t="str">
        <f>"40120"</f>
        <v>40120</v>
      </c>
    </row>
    <row r="4701" spans="1:11" x14ac:dyDescent="0.25">
      <c r="A4701">
        <v>2023</v>
      </c>
      <c r="B4701" t="s">
        <v>11312</v>
      </c>
      <c r="C4701" t="s">
        <v>11313</v>
      </c>
      <c r="D4701" t="s">
        <v>19</v>
      </c>
      <c r="E4701" t="s">
        <v>20</v>
      </c>
      <c r="F4701" t="str">
        <f>"43614"</f>
        <v>43614</v>
      </c>
      <c r="G4701" t="str">
        <f>"Je04112023"</f>
        <v>Je04112023</v>
      </c>
      <c r="H4701" s="2">
        <f>16.33</f>
        <v>16.329999999999998</v>
      </c>
      <c r="I4701" t="s">
        <v>15</v>
      </c>
      <c r="J4701" t="s">
        <v>412</v>
      </c>
      <c r="K4701" t="str">
        <f>"60069394"</f>
        <v>60069394</v>
      </c>
    </row>
    <row r="4702" spans="1:11" x14ac:dyDescent="0.25">
      <c r="A4702">
        <v>2023</v>
      </c>
      <c r="B4702" t="s">
        <v>11321</v>
      </c>
      <c r="C4702" t="s">
        <v>2634</v>
      </c>
      <c r="D4702" t="s">
        <v>19</v>
      </c>
      <c r="E4702" t="s">
        <v>20</v>
      </c>
      <c r="F4702" t="str">
        <f>"43615"</f>
        <v>43615</v>
      </c>
      <c r="G4702" t="str">
        <f>"632482"</f>
        <v>632482</v>
      </c>
      <c r="H4702" s="2">
        <f>17.18</f>
        <v>17.18</v>
      </c>
      <c r="I4702" t="s">
        <v>27</v>
      </c>
      <c r="J4702" t="s">
        <v>157</v>
      </c>
      <c r="K4702" t="str">
        <f>"522091"</f>
        <v>522091</v>
      </c>
    </row>
    <row r="4703" spans="1:11" x14ac:dyDescent="0.25">
      <c r="A4703">
        <v>2023</v>
      </c>
      <c r="B4703" t="s">
        <v>11330</v>
      </c>
      <c r="C4703" t="s">
        <v>11331</v>
      </c>
      <c r="D4703" t="s">
        <v>19</v>
      </c>
      <c r="E4703" t="s">
        <v>20</v>
      </c>
      <c r="F4703" t="str">
        <f>"43614"</f>
        <v>43614</v>
      </c>
      <c r="G4703" t="str">
        <f>"Je12142023"</f>
        <v>Je12142023</v>
      </c>
      <c r="H4703" s="2">
        <f>35</f>
        <v>35</v>
      </c>
      <c r="I4703" t="s">
        <v>15</v>
      </c>
      <c r="J4703" t="s">
        <v>176</v>
      </c>
      <c r="K4703" t="str">
        <f>"60104454"</f>
        <v>60104454</v>
      </c>
    </row>
    <row r="4704" spans="1:11" x14ac:dyDescent="0.25">
      <c r="A4704">
        <v>2023</v>
      </c>
      <c r="B4704" t="s">
        <v>11371</v>
      </c>
      <c r="C4704" t="s">
        <v>11372</v>
      </c>
      <c r="D4704" t="s">
        <v>19</v>
      </c>
      <c r="E4704" t="s">
        <v>20</v>
      </c>
      <c r="F4704" t="str">
        <f>"43607"</f>
        <v>43607</v>
      </c>
      <c r="G4704" t="str">
        <f>"638581"</f>
        <v>638581</v>
      </c>
      <c r="H4704" s="2">
        <f>10.65</f>
        <v>10.65</v>
      </c>
      <c r="I4704" t="s">
        <v>27</v>
      </c>
      <c r="J4704" t="s">
        <v>61</v>
      </c>
      <c r="K4704" t="str">
        <f>"334256"</f>
        <v>334256</v>
      </c>
    </row>
    <row r="4705" spans="1:11" x14ac:dyDescent="0.25">
      <c r="A4705">
        <v>2023</v>
      </c>
      <c r="B4705" t="s">
        <v>11391</v>
      </c>
      <c r="C4705" t="s">
        <v>11392</v>
      </c>
      <c r="D4705" t="s">
        <v>19</v>
      </c>
      <c r="E4705" t="s">
        <v>20</v>
      </c>
      <c r="F4705" t="str">
        <f>"43615"</f>
        <v>43615</v>
      </c>
      <c r="G4705" t="str">
        <f>"638581"</f>
        <v>638581</v>
      </c>
      <c r="H4705" s="2">
        <f>5.78</f>
        <v>5.78</v>
      </c>
      <c r="I4705" t="s">
        <v>27</v>
      </c>
      <c r="J4705" t="s">
        <v>61</v>
      </c>
      <c r="K4705" t="str">
        <f>"334259"</f>
        <v>334259</v>
      </c>
    </row>
    <row r="4706" spans="1:11" x14ac:dyDescent="0.25">
      <c r="A4706">
        <v>2023</v>
      </c>
      <c r="B4706" t="s">
        <v>11397</v>
      </c>
      <c r="C4706" t="s">
        <v>11398</v>
      </c>
      <c r="D4706" t="s">
        <v>50</v>
      </c>
      <c r="E4706" t="s">
        <v>20</v>
      </c>
      <c r="F4706" t="str">
        <f>"43560-1848"</f>
        <v>43560-1848</v>
      </c>
      <c r="G4706" t="str">
        <f>"637573"</f>
        <v>637573</v>
      </c>
      <c r="H4706" s="2">
        <f>10</f>
        <v>10</v>
      </c>
      <c r="I4706" t="s">
        <v>27</v>
      </c>
      <c r="J4706" t="s">
        <v>61</v>
      </c>
      <c r="K4706" t="str">
        <f>"119230"</f>
        <v>119230</v>
      </c>
    </row>
    <row r="4707" spans="1:11" x14ac:dyDescent="0.25">
      <c r="A4707">
        <v>2023</v>
      </c>
      <c r="B4707" t="s">
        <v>11407</v>
      </c>
      <c r="C4707" t="s">
        <v>11408</v>
      </c>
      <c r="D4707" t="s">
        <v>19</v>
      </c>
      <c r="E4707" t="s">
        <v>20</v>
      </c>
      <c r="F4707" t="str">
        <f>"43608"</f>
        <v>43608</v>
      </c>
      <c r="G4707" t="str">
        <f>"589332"</f>
        <v>589332</v>
      </c>
      <c r="H4707" s="2">
        <f>5</f>
        <v>5</v>
      </c>
      <c r="I4707" t="s">
        <v>519</v>
      </c>
      <c r="J4707" t="s">
        <v>519</v>
      </c>
      <c r="K4707" t="str">
        <f>"15863"</f>
        <v>15863</v>
      </c>
    </row>
    <row r="4708" spans="1:11" x14ac:dyDescent="0.25">
      <c r="A4708">
        <v>2023</v>
      </c>
      <c r="B4708" t="s">
        <v>11411</v>
      </c>
      <c r="C4708" t="s">
        <v>11412</v>
      </c>
      <c r="D4708" t="s">
        <v>19</v>
      </c>
      <c r="E4708" t="s">
        <v>20</v>
      </c>
      <c r="F4708" t="str">
        <f>"43612-1135"</f>
        <v>43612-1135</v>
      </c>
      <c r="G4708" t="str">
        <f>"637573"</f>
        <v>637573</v>
      </c>
      <c r="H4708" s="2">
        <f>10</f>
        <v>10</v>
      </c>
      <c r="I4708" t="s">
        <v>27</v>
      </c>
      <c r="J4708" t="s">
        <v>61</v>
      </c>
      <c r="K4708" t="str">
        <f>"120586"</f>
        <v>120586</v>
      </c>
    </row>
    <row r="4709" spans="1:11" x14ac:dyDescent="0.25">
      <c r="A4709">
        <v>2023</v>
      </c>
      <c r="B4709" t="s">
        <v>11417</v>
      </c>
      <c r="C4709" t="s">
        <v>8724</v>
      </c>
      <c r="D4709" t="s">
        <v>19</v>
      </c>
      <c r="E4709" t="s">
        <v>20</v>
      </c>
      <c r="F4709" t="str">
        <f>"43610-1319"</f>
        <v>43610-1319</v>
      </c>
      <c r="G4709" t="str">
        <f>"637573"</f>
        <v>637573</v>
      </c>
      <c r="H4709" s="2">
        <f>10</f>
        <v>10</v>
      </c>
      <c r="I4709" t="s">
        <v>27</v>
      </c>
      <c r="J4709" t="s">
        <v>61</v>
      </c>
      <c r="K4709" t="str">
        <f>"120450"</f>
        <v>120450</v>
      </c>
    </row>
    <row r="4710" spans="1:11" x14ac:dyDescent="0.25">
      <c r="A4710">
        <v>2023</v>
      </c>
      <c r="B4710" t="s">
        <v>11422</v>
      </c>
      <c r="C4710" t="s">
        <v>11423</v>
      </c>
      <c r="D4710" t="s">
        <v>19</v>
      </c>
      <c r="E4710" t="s">
        <v>20</v>
      </c>
      <c r="F4710" t="str">
        <f>"43613-4011"</f>
        <v>43613-4011</v>
      </c>
      <c r="G4710" t="str">
        <f>"637573"</f>
        <v>637573</v>
      </c>
      <c r="H4710" s="2">
        <f>10</f>
        <v>10</v>
      </c>
      <c r="I4710" t="s">
        <v>27</v>
      </c>
      <c r="J4710" t="s">
        <v>61</v>
      </c>
      <c r="K4710" t="str">
        <f>"120507"</f>
        <v>120507</v>
      </c>
    </row>
    <row r="4711" spans="1:11" x14ac:dyDescent="0.25">
      <c r="A4711">
        <v>2023</v>
      </c>
      <c r="B4711" t="s">
        <v>11428</v>
      </c>
      <c r="C4711" t="s">
        <v>11429</v>
      </c>
      <c r="D4711" t="s">
        <v>19</v>
      </c>
      <c r="E4711" t="s">
        <v>20</v>
      </c>
      <c r="F4711" t="str">
        <f>"43614-2922"</f>
        <v>43614-2922</v>
      </c>
      <c r="G4711" t="str">
        <f>"637573"</f>
        <v>637573</v>
      </c>
      <c r="H4711" s="2">
        <f>10</f>
        <v>10</v>
      </c>
      <c r="I4711" t="s">
        <v>27</v>
      </c>
      <c r="J4711" t="s">
        <v>61</v>
      </c>
      <c r="K4711" t="str">
        <f>"120894"</f>
        <v>120894</v>
      </c>
    </row>
    <row r="4712" spans="1:11" x14ac:dyDescent="0.25">
      <c r="A4712">
        <v>2023</v>
      </c>
      <c r="B4712" t="s">
        <v>11430</v>
      </c>
      <c r="C4712" t="s">
        <v>11431</v>
      </c>
      <c r="D4712" t="s">
        <v>19</v>
      </c>
      <c r="E4712" t="s">
        <v>20</v>
      </c>
      <c r="F4712" t="str">
        <f>"43609"</f>
        <v>43609</v>
      </c>
      <c r="G4712" t="str">
        <f>"Je12142023"</f>
        <v>Je12142023</v>
      </c>
      <c r="H4712" s="2">
        <f>57.2</f>
        <v>57.2</v>
      </c>
      <c r="I4712" t="s">
        <v>15</v>
      </c>
      <c r="J4712" t="s">
        <v>176</v>
      </c>
      <c r="K4712" t="str">
        <f>"60097630"</f>
        <v>60097630</v>
      </c>
    </row>
    <row r="4713" spans="1:11" x14ac:dyDescent="0.25">
      <c r="A4713">
        <v>2023</v>
      </c>
      <c r="B4713" t="s">
        <v>11438</v>
      </c>
      <c r="C4713" t="s">
        <v>11439</v>
      </c>
      <c r="D4713" t="s">
        <v>19</v>
      </c>
      <c r="E4713" t="s">
        <v>20</v>
      </c>
      <c r="F4713" t="str">
        <f>"43615"</f>
        <v>43615</v>
      </c>
      <c r="G4713" t="str">
        <f>"632514"</f>
        <v>632514</v>
      </c>
      <c r="H4713" s="2">
        <f>5</f>
        <v>5</v>
      </c>
      <c r="I4713" t="s">
        <v>27</v>
      </c>
      <c r="J4713" t="s">
        <v>195</v>
      </c>
      <c r="K4713" t="str">
        <f>"33011263"</f>
        <v>33011263</v>
      </c>
    </row>
    <row r="4714" spans="1:11" x14ac:dyDescent="0.25">
      <c r="A4714">
        <v>2023</v>
      </c>
      <c r="B4714" t="s">
        <v>11445</v>
      </c>
      <c r="C4714" t="s">
        <v>11446</v>
      </c>
      <c r="D4714" t="s">
        <v>19</v>
      </c>
      <c r="E4714" t="s">
        <v>20</v>
      </c>
      <c r="F4714" t="str">
        <f>"43607"</f>
        <v>43607</v>
      </c>
      <c r="G4714" t="str">
        <f>"Je12142023"</f>
        <v>Je12142023</v>
      </c>
      <c r="H4714" s="2">
        <f>22.82</f>
        <v>22.82</v>
      </c>
      <c r="I4714" t="s">
        <v>15</v>
      </c>
      <c r="J4714" t="s">
        <v>176</v>
      </c>
      <c r="K4714" t="str">
        <f>"60097853"</f>
        <v>60097853</v>
      </c>
    </row>
    <row r="4715" spans="1:11" x14ac:dyDescent="0.25">
      <c r="A4715">
        <v>2023</v>
      </c>
      <c r="B4715" t="s">
        <v>11447</v>
      </c>
      <c r="C4715" t="s">
        <v>11448</v>
      </c>
      <c r="D4715" t="s">
        <v>19</v>
      </c>
      <c r="E4715" t="s">
        <v>20</v>
      </c>
      <c r="F4715" t="str">
        <f>"43606-1765"</f>
        <v>43606-1765</v>
      </c>
      <c r="G4715" t="str">
        <f>"637573"</f>
        <v>637573</v>
      </c>
      <c r="H4715" s="2">
        <f>20</f>
        <v>20</v>
      </c>
      <c r="I4715" t="s">
        <v>27</v>
      </c>
      <c r="J4715" t="s">
        <v>61</v>
      </c>
      <c r="K4715" t="str">
        <f>"119234"</f>
        <v>119234</v>
      </c>
    </row>
    <row r="4716" spans="1:11" x14ac:dyDescent="0.25">
      <c r="A4716">
        <v>2023</v>
      </c>
      <c r="B4716" t="s">
        <v>11453</v>
      </c>
      <c r="C4716" t="s">
        <v>11454</v>
      </c>
      <c r="D4716" t="s">
        <v>50</v>
      </c>
      <c r="E4716" t="s">
        <v>20</v>
      </c>
      <c r="F4716" t="str">
        <f>"43560-9744"</f>
        <v>43560-9744</v>
      </c>
      <c r="G4716" t="str">
        <f>"637573"</f>
        <v>637573</v>
      </c>
      <c r="H4716" s="2">
        <f>10</f>
        <v>10</v>
      </c>
      <c r="I4716" t="s">
        <v>27</v>
      </c>
      <c r="J4716" t="s">
        <v>61</v>
      </c>
      <c r="K4716" t="str">
        <f>"118610"</f>
        <v>118610</v>
      </c>
    </row>
    <row r="4717" spans="1:11" x14ac:dyDescent="0.25">
      <c r="A4717">
        <v>2023</v>
      </c>
      <c r="B4717" t="s">
        <v>11484</v>
      </c>
      <c r="C4717" t="s">
        <v>11485</v>
      </c>
      <c r="D4717" t="s">
        <v>19</v>
      </c>
      <c r="E4717" t="s">
        <v>20</v>
      </c>
      <c r="F4717" t="str">
        <f>"43617"</f>
        <v>43617</v>
      </c>
      <c r="G4717" t="str">
        <f>"638581"</f>
        <v>638581</v>
      </c>
      <c r="H4717" s="2">
        <f>15.69</f>
        <v>15.69</v>
      </c>
      <c r="I4717" t="s">
        <v>27</v>
      </c>
      <c r="J4717" t="s">
        <v>61</v>
      </c>
      <c r="K4717" t="str">
        <f>"334211"</f>
        <v>334211</v>
      </c>
    </row>
    <row r="4718" spans="1:11" x14ac:dyDescent="0.25">
      <c r="A4718">
        <v>2023</v>
      </c>
      <c r="B4718" t="s">
        <v>11504</v>
      </c>
      <c r="C4718" t="s">
        <v>11505</v>
      </c>
      <c r="D4718" t="s">
        <v>58</v>
      </c>
      <c r="E4718" t="s">
        <v>20</v>
      </c>
      <c r="F4718" t="str">
        <f>"43616-4100"</f>
        <v>43616-4100</v>
      </c>
      <c r="G4718" t="str">
        <f>"637573"</f>
        <v>637573</v>
      </c>
      <c r="H4718" s="2">
        <f>20</f>
        <v>20</v>
      </c>
      <c r="I4718" t="s">
        <v>27</v>
      </c>
      <c r="J4718" t="s">
        <v>61</v>
      </c>
      <c r="K4718" t="str">
        <f>"118818"</f>
        <v>118818</v>
      </c>
    </row>
    <row r="4719" spans="1:11" x14ac:dyDescent="0.25">
      <c r="A4719">
        <v>2023</v>
      </c>
      <c r="B4719" t="s">
        <v>11514</v>
      </c>
      <c r="C4719" t="s">
        <v>11515</v>
      </c>
      <c r="D4719" t="s">
        <v>19</v>
      </c>
      <c r="E4719" t="s">
        <v>20</v>
      </c>
      <c r="F4719" t="str">
        <f>"43608"</f>
        <v>43608</v>
      </c>
      <c r="G4719" t="str">
        <f>"632482"</f>
        <v>632482</v>
      </c>
      <c r="H4719" s="2">
        <f>65</f>
        <v>65</v>
      </c>
      <c r="I4719" t="s">
        <v>27</v>
      </c>
      <c r="J4719" t="s">
        <v>157</v>
      </c>
      <c r="K4719" t="str">
        <f>"523242"</f>
        <v>523242</v>
      </c>
    </row>
    <row r="4720" spans="1:11" x14ac:dyDescent="0.25">
      <c r="A4720">
        <v>2023</v>
      </c>
      <c r="B4720" t="s">
        <v>11514</v>
      </c>
      <c r="C4720" t="s">
        <v>11515</v>
      </c>
      <c r="D4720" t="s">
        <v>19</v>
      </c>
      <c r="E4720" t="s">
        <v>20</v>
      </c>
      <c r="F4720" t="str">
        <f>"43608"</f>
        <v>43608</v>
      </c>
      <c r="G4720" t="str">
        <f>"632482"</f>
        <v>632482</v>
      </c>
      <c r="H4720" s="2">
        <f>86.42</f>
        <v>86.42</v>
      </c>
      <c r="I4720" t="s">
        <v>27</v>
      </c>
      <c r="J4720" t="s">
        <v>157</v>
      </c>
      <c r="K4720" t="str">
        <f>"523056"</f>
        <v>523056</v>
      </c>
    </row>
    <row r="4721" spans="1:11" x14ac:dyDescent="0.25">
      <c r="A4721">
        <v>2023</v>
      </c>
      <c r="B4721" t="s">
        <v>11514</v>
      </c>
      <c r="C4721" t="s">
        <v>11515</v>
      </c>
      <c r="D4721" t="s">
        <v>19</v>
      </c>
      <c r="E4721" t="s">
        <v>20</v>
      </c>
      <c r="F4721" t="str">
        <f>"43608"</f>
        <v>43608</v>
      </c>
      <c r="G4721" t="str">
        <f>"632482"</f>
        <v>632482</v>
      </c>
      <c r="H4721" s="2">
        <f>29.27</f>
        <v>29.27</v>
      </c>
      <c r="I4721" t="s">
        <v>27</v>
      </c>
      <c r="J4721" t="s">
        <v>157</v>
      </c>
      <c r="K4721" t="str">
        <f>"522899"</f>
        <v>522899</v>
      </c>
    </row>
    <row r="4722" spans="1:11" x14ac:dyDescent="0.25">
      <c r="A4722">
        <v>2023</v>
      </c>
      <c r="B4722" t="s">
        <v>11531</v>
      </c>
      <c r="C4722" t="s">
        <v>11532</v>
      </c>
      <c r="D4722" t="s">
        <v>105</v>
      </c>
      <c r="E4722" t="s">
        <v>20</v>
      </c>
      <c r="F4722" t="str">
        <f>"43528"</f>
        <v>43528</v>
      </c>
      <c r="G4722" t="str">
        <f>"Je012023"</f>
        <v>Je012023</v>
      </c>
      <c r="H4722" s="2">
        <f>150</f>
        <v>150</v>
      </c>
      <c r="I4722" t="s">
        <v>15</v>
      </c>
      <c r="J4722" t="s">
        <v>397</v>
      </c>
      <c r="K4722" t="str">
        <f>"60062486"</f>
        <v>60062486</v>
      </c>
    </row>
    <row r="4723" spans="1:11" x14ac:dyDescent="0.25">
      <c r="A4723">
        <v>2023</v>
      </c>
      <c r="B4723" t="s">
        <v>11535</v>
      </c>
      <c r="C4723" t="s">
        <v>11536</v>
      </c>
      <c r="D4723" t="s">
        <v>11537</v>
      </c>
      <c r="E4723" t="s">
        <v>1341</v>
      </c>
      <c r="F4723" t="str">
        <f>"78741"</f>
        <v>78741</v>
      </c>
      <c r="G4723" t="str">
        <f>"608466"</f>
        <v>608466</v>
      </c>
      <c r="H4723" s="2">
        <f>48261.6</f>
        <v>48261.599999999999</v>
      </c>
      <c r="I4723" t="s">
        <v>148</v>
      </c>
      <c r="J4723" t="s">
        <v>11538</v>
      </c>
      <c r="K4723" t="str">
        <f>"26265"</f>
        <v>26265</v>
      </c>
    </row>
    <row r="4724" spans="1:11" x14ac:dyDescent="0.25">
      <c r="A4724">
        <v>2023</v>
      </c>
      <c r="B4724" t="s">
        <v>11543</v>
      </c>
      <c r="C4724" t="s">
        <v>8343</v>
      </c>
      <c r="D4724" t="s">
        <v>380</v>
      </c>
      <c r="E4724" t="s">
        <v>20</v>
      </c>
      <c r="F4724" t="str">
        <f>"44406"</f>
        <v>44406</v>
      </c>
      <c r="G4724" t="str">
        <f>"632483"</f>
        <v>632483</v>
      </c>
      <c r="H4724" s="2">
        <f>20</f>
        <v>20</v>
      </c>
      <c r="I4724" t="s">
        <v>27</v>
      </c>
      <c r="J4724" t="s">
        <v>108</v>
      </c>
      <c r="K4724" t="str">
        <f>"40268"</f>
        <v>40268</v>
      </c>
    </row>
    <row r="4725" spans="1:11" x14ac:dyDescent="0.25">
      <c r="A4725">
        <v>2023</v>
      </c>
      <c r="B4725" t="s">
        <v>11543</v>
      </c>
      <c r="C4725" t="s">
        <v>1139</v>
      </c>
      <c r="D4725" t="s">
        <v>380</v>
      </c>
      <c r="E4725" t="s">
        <v>20</v>
      </c>
      <c r="F4725" t="str">
        <f>"44406"</f>
        <v>44406</v>
      </c>
      <c r="G4725" t="str">
        <f>"632483"</f>
        <v>632483</v>
      </c>
      <c r="H4725" s="2">
        <f>20</f>
        <v>20</v>
      </c>
      <c r="I4725" t="s">
        <v>27</v>
      </c>
      <c r="J4725" t="s">
        <v>108</v>
      </c>
      <c r="K4725" t="str">
        <f>"40279"</f>
        <v>40279</v>
      </c>
    </row>
    <row r="4726" spans="1:11" x14ac:dyDescent="0.25">
      <c r="A4726">
        <v>2023</v>
      </c>
      <c r="B4726" t="s">
        <v>11555</v>
      </c>
      <c r="C4726" t="s">
        <v>11556</v>
      </c>
      <c r="D4726" t="s">
        <v>10854</v>
      </c>
      <c r="E4726" t="s">
        <v>418</v>
      </c>
      <c r="F4726" t="str">
        <f>"60197"</f>
        <v>60197</v>
      </c>
      <c r="G4726" t="str">
        <f>"Je04112023"</f>
        <v>Je04112023</v>
      </c>
      <c r="H4726" s="2">
        <f>186.83</f>
        <v>186.83</v>
      </c>
      <c r="I4726" t="s">
        <v>15</v>
      </c>
      <c r="J4726" t="s">
        <v>412</v>
      </c>
      <c r="K4726" t="str">
        <f>"60074614"</f>
        <v>60074614</v>
      </c>
    </row>
    <row r="4727" spans="1:11" x14ac:dyDescent="0.25">
      <c r="A4727">
        <v>2023</v>
      </c>
      <c r="B4727" t="s">
        <v>11575</v>
      </c>
      <c r="C4727" t="s">
        <v>11576</v>
      </c>
      <c r="D4727" t="s">
        <v>19</v>
      </c>
      <c r="E4727" t="s">
        <v>20</v>
      </c>
      <c r="F4727" t="str">
        <f>"43612-1637"</f>
        <v>43612-1637</v>
      </c>
      <c r="G4727" t="str">
        <f>"637573"</f>
        <v>637573</v>
      </c>
      <c r="H4727" s="2">
        <f>10</f>
        <v>10</v>
      </c>
      <c r="I4727" t="s">
        <v>27</v>
      </c>
      <c r="J4727" t="s">
        <v>61</v>
      </c>
      <c r="K4727" t="str">
        <f>"119723"</f>
        <v>119723</v>
      </c>
    </row>
    <row r="4728" spans="1:11" x14ac:dyDescent="0.25">
      <c r="A4728">
        <v>2023</v>
      </c>
      <c r="B4728" t="s">
        <v>11587</v>
      </c>
      <c r="C4728" t="s">
        <v>11588</v>
      </c>
      <c r="D4728" t="s">
        <v>19</v>
      </c>
      <c r="E4728" t="s">
        <v>20</v>
      </c>
      <c r="F4728" t="str">
        <f>"43605-7707"</f>
        <v>43605-7707</v>
      </c>
      <c r="G4728" t="str">
        <f>"637573"</f>
        <v>637573</v>
      </c>
      <c r="H4728" s="2">
        <f>30</f>
        <v>30</v>
      </c>
      <c r="I4728" t="s">
        <v>27</v>
      </c>
      <c r="J4728" t="s">
        <v>61</v>
      </c>
      <c r="K4728" t="str">
        <f>"118581"</f>
        <v>118581</v>
      </c>
    </row>
    <row r="4729" spans="1:11" x14ac:dyDescent="0.25">
      <c r="A4729">
        <v>2023</v>
      </c>
      <c r="B4729" t="s">
        <v>11599</v>
      </c>
      <c r="C4729" t="s">
        <v>11600</v>
      </c>
      <c r="D4729" t="s">
        <v>58</v>
      </c>
      <c r="E4729" t="s">
        <v>20</v>
      </c>
      <c r="F4729" t="str">
        <f>"43616-3471"</f>
        <v>43616-3471</v>
      </c>
      <c r="G4729" t="str">
        <f>"637573"</f>
        <v>637573</v>
      </c>
      <c r="H4729" s="2">
        <f>10</f>
        <v>10</v>
      </c>
      <c r="I4729" t="s">
        <v>27</v>
      </c>
      <c r="J4729" t="s">
        <v>61</v>
      </c>
      <c r="K4729" t="str">
        <f>"120193"</f>
        <v>120193</v>
      </c>
    </row>
    <row r="4730" spans="1:11" x14ac:dyDescent="0.25">
      <c r="A4730">
        <v>2023</v>
      </c>
      <c r="B4730" t="s">
        <v>11613</v>
      </c>
      <c r="C4730" t="s">
        <v>11614</v>
      </c>
      <c r="D4730" t="s">
        <v>50</v>
      </c>
      <c r="E4730" t="s">
        <v>20</v>
      </c>
      <c r="F4730" t="str">
        <f>"43560"</f>
        <v>43560</v>
      </c>
      <c r="G4730" t="str">
        <f>"Je12142023"</f>
        <v>Je12142023</v>
      </c>
      <c r="H4730" s="2">
        <f>225.4</f>
        <v>225.4</v>
      </c>
      <c r="I4730" t="s">
        <v>15</v>
      </c>
      <c r="J4730" t="s">
        <v>176</v>
      </c>
      <c r="K4730" t="str">
        <f>"60098589"</f>
        <v>60098589</v>
      </c>
    </row>
    <row r="4731" spans="1:11" x14ac:dyDescent="0.25">
      <c r="A4731">
        <v>2023</v>
      </c>
      <c r="B4731" t="s">
        <v>11623</v>
      </c>
      <c r="C4731" t="s">
        <v>11624</v>
      </c>
      <c r="D4731" t="s">
        <v>19</v>
      </c>
      <c r="E4731" t="s">
        <v>20</v>
      </c>
      <c r="F4731" t="str">
        <f>"43613-5605"</f>
        <v>43613-5605</v>
      </c>
      <c r="G4731" t="str">
        <f>"637573"</f>
        <v>637573</v>
      </c>
      <c r="H4731" s="2">
        <f>10</f>
        <v>10</v>
      </c>
      <c r="I4731" t="s">
        <v>27</v>
      </c>
      <c r="J4731" t="s">
        <v>61</v>
      </c>
      <c r="K4731" t="str">
        <f>"120589"</f>
        <v>120589</v>
      </c>
    </row>
    <row r="4732" spans="1:11" x14ac:dyDescent="0.25">
      <c r="A4732">
        <v>2023</v>
      </c>
      <c r="B4732" t="s">
        <v>11628</v>
      </c>
      <c r="C4732" t="s">
        <v>11629</v>
      </c>
      <c r="D4732" t="s">
        <v>125</v>
      </c>
      <c r="E4732" t="s">
        <v>20</v>
      </c>
      <c r="F4732" t="str">
        <f>"43537"</f>
        <v>43537</v>
      </c>
      <c r="G4732" t="str">
        <f>"Je012023"</f>
        <v>Je012023</v>
      </c>
      <c r="H4732" s="2">
        <f>602.72</f>
        <v>602.72</v>
      </c>
      <c r="I4732" t="s">
        <v>15</v>
      </c>
      <c r="J4732" t="s">
        <v>397</v>
      </c>
      <c r="K4732" t="str">
        <f>"60062447"</f>
        <v>60062447</v>
      </c>
    </row>
    <row r="4733" spans="1:11" x14ac:dyDescent="0.25">
      <c r="A4733">
        <v>2023</v>
      </c>
      <c r="B4733" t="s">
        <v>11628</v>
      </c>
      <c r="C4733" t="s">
        <v>11629</v>
      </c>
      <c r="D4733" t="s">
        <v>125</v>
      </c>
      <c r="E4733" t="s">
        <v>20</v>
      </c>
      <c r="F4733" t="str">
        <f>"43537"</f>
        <v>43537</v>
      </c>
      <c r="G4733" t="str">
        <f>"Je012023"</f>
        <v>Je012023</v>
      </c>
      <c r="H4733" s="2">
        <f>18.27</f>
        <v>18.27</v>
      </c>
      <c r="I4733" t="s">
        <v>15</v>
      </c>
      <c r="J4733" t="s">
        <v>397</v>
      </c>
      <c r="K4733" t="str">
        <f>"60062446"</f>
        <v>60062446</v>
      </c>
    </row>
    <row r="4734" spans="1:11" x14ac:dyDescent="0.25">
      <c r="A4734">
        <v>2023</v>
      </c>
      <c r="B4734" t="s">
        <v>11634</v>
      </c>
      <c r="C4734" t="s">
        <v>11635</v>
      </c>
      <c r="D4734" t="s">
        <v>19</v>
      </c>
      <c r="E4734" t="s">
        <v>20</v>
      </c>
      <c r="F4734" t="str">
        <f>"43615-2241"</f>
        <v>43615-2241</v>
      </c>
      <c r="G4734" t="str">
        <f>"637573"</f>
        <v>637573</v>
      </c>
      <c r="H4734" s="2">
        <f>10</f>
        <v>10</v>
      </c>
      <c r="I4734" t="s">
        <v>27</v>
      </c>
      <c r="J4734" t="s">
        <v>61</v>
      </c>
      <c r="K4734" t="str">
        <f>"119086"</f>
        <v>119086</v>
      </c>
    </row>
    <row r="4735" spans="1:11" x14ac:dyDescent="0.25">
      <c r="A4735">
        <v>2023</v>
      </c>
      <c r="B4735" t="s">
        <v>11638</v>
      </c>
      <c r="C4735" t="s">
        <v>11639</v>
      </c>
      <c r="D4735" t="s">
        <v>50</v>
      </c>
      <c r="E4735" t="s">
        <v>20</v>
      </c>
      <c r="F4735" t="str">
        <f>"43560"</f>
        <v>43560</v>
      </c>
      <c r="G4735" t="str">
        <f>"589300"</f>
        <v>589300</v>
      </c>
      <c r="H4735" s="2">
        <f>15</f>
        <v>15</v>
      </c>
      <c r="I4735" t="s">
        <v>148</v>
      </c>
      <c r="J4735" t="s">
        <v>11640</v>
      </c>
      <c r="K4735" t="str">
        <f>"26023"</f>
        <v>26023</v>
      </c>
    </row>
    <row r="4736" spans="1:11" x14ac:dyDescent="0.25">
      <c r="A4736">
        <v>2023</v>
      </c>
      <c r="B4736" t="s">
        <v>11684</v>
      </c>
      <c r="C4736" t="s">
        <v>11685</v>
      </c>
      <c r="D4736" t="s">
        <v>19</v>
      </c>
      <c r="E4736" t="s">
        <v>20</v>
      </c>
      <c r="F4736" t="str">
        <f>"43613"</f>
        <v>43613</v>
      </c>
      <c r="G4736" t="str">
        <f>"Je12142023"</f>
        <v>Je12142023</v>
      </c>
      <c r="H4736" s="2">
        <f>204.5</f>
        <v>204.5</v>
      </c>
      <c r="I4736" t="s">
        <v>15</v>
      </c>
      <c r="J4736" t="s">
        <v>176</v>
      </c>
      <c r="K4736" t="str">
        <f>"60098103"</f>
        <v>60098103</v>
      </c>
    </row>
    <row r="4737" spans="1:11" x14ac:dyDescent="0.25">
      <c r="A4737">
        <v>2023</v>
      </c>
      <c r="B4737" t="s">
        <v>11692</v>
      </c>
      <c r="C4737" t="s">
        <v>11693</v>
      </c>
      <c r="D4737" t="s">
        <v>50</v>
      </c>
      <c r="E4737" t="s">
        <v>20</v>
      </c>
      <c r="F4737" t="str">
        <f>"43560"</f>
        <v>43560</v>
      </c>
      <c r="G4737" t="str">
        <f>"Je04112023"</f>
        <v>Je04112023</v>
      </c>
      <c r="H4737" s="2">
        <f>44.55</f>
        <v>44.55</v>
      </c>
      <c r="I4737" t="s">
        <v>15</v>
      </c>
      <c r="J4737" t="s">
        <v>412</v>
      </c>
      <c r="K4737" t="str">
        <f>"60074339"</f>
        <v>60074339</v>
      </c>
    </row>
    <row r="4738" spans="1:11" x14ac:dyDescent="0.25">
      <c r="A4738">
        <v>2023</v>
      </c>
      <c r="B4738" t="s">
        <v>11692</v>
      </c>
      <c r="C4738" t="s">
        <v>11693</v>
      </c>
      <c r="D4738" t="s">
        <v>50</v>
      </c>
      <c r="E4738" t="s">
        <v>20</v>
      </c>
      <c r="F4738" t="str">
        <f>"43560"</f>
        <v>43560</v>
      </c>
      <c r="G4738" t="str">
        <f>"Je04112023"</f>
        <v>Je04112023</v>
      </c>
      <c r="H4738" s="2">
        <f>44.55</f>
        <v>44.55</v>
      </c>
      <c r="I4738" t="s">
        <v>15</v>
      </c>
      <c r="J4738" t="s">
        <v>412</v>
      </c>
      <c r="K4738" t="str">
        <f>"60072192"</f>
        <v>60072192</v>
      </c>
    </row>
    <row r="4739" spans="1:11" x14ac:dyDescent="0.25">
      <c r="A4739">
        <v>2023</v>
      </c>
      <c r="B4739" t="s">
        <v>11694</v>
      </c>
      <c r="C4739" t="s">
        <v>11695</v>
      </c>
      <c r="D4739" t="s">
        <v>19</v>
      </c>
      <c r="E4739" t="s">
        <v>20</v>
      </c>
      <c r="F4739" t="str">
        <f>"43612-4385"</f>
        <v>43612-4385</v>
      </c>
      <c r="G4739" t="str">
        <f>"637573"</f>
        <v>637573</v>
      </c>
      <c r="H4739" s="2">
        <f>10</f>
        <v>10</v>
      </c>
      <c r="I4739" t="s">
        <v>27</v>
      </c>
      <c r="J4739" t="s">
        <v>61</v>
      </c>
      <c r="K4739" t="str">
        <f>"119734"</f>
        <v>119734</v>
      </c>
    </row>
    <row r="4740" spans="1:11" x14ac:dyDescent="0.25">
      <c r="A4740">
        <v>2023</v>
      </c>
      <c r="B4740" t="s">
        <v>11702</v>
      </c>
      <c r="C4740" t="s">
        <v>11703</v>
      </c>
      <c r="D4740" t="s">
        <v>19</v>
      </c>
      <c r="E4740" t="s">
        <v>20</v>
      </c>
      <c r="F4740" t="str">
        <f>"43613-4420"</f>
        <v>43613-4420</v>
      </c>
      <c r="G4740" t="str">
        <f>"637573"</f>
        <v>637573</v>
      </c>
      <c r="H4740" s="2">
        <f>30</f>
        <v>30</v>
      </c>
      <c r="I4740" t="s">
        <v>27</v>
      </c>
      <c r="J4740" t="s">
        <v>61</v>
      </c>
      <c r="K4740" t="str">
        <f>"119727"</f>
        <v>119727</v>
      </c>
    </row>
    <row r="4741" spans="1:11" x14ac:dyDescent="0.25">
      <c r="A4741">
        <v>2023</v>
      </c>
      <c r="B4741" t="s">
        <v>11702</v>
      </c>
      <c r="C4741" t="s">
        <v>11703</v>
      </c>
      <c r="D4741" t="s">
        <v>19</v>
      </c>
      <c r="E4741" t="s">
        <v>20</v>
      </c>
      <c r="F4741" t="str">
        <f>"43613-4420"</f>
        <v>43613-4420</v>
      </c>
      <c r="G4741" t="str">
        <f>"637573"</f>
        <v>637573</v>
      </c>
      <c r="H4741" s="2">
        <f>40</f>
        <v>40</v>
      </c>
      <c r="I4741" t="s">
        <v>27</v>
      </c>
      <c r="J4741" t="s">
        <v>61</v>
      </c>
      <c r="K4741" t="str">
        <f>"119868"</f>
        <v>119868</v>
      </c>
    </row>
    <row r="4742" spans="1:11" x14ac:dyDescent="0.25">
      <c r="A4742">
        <v>2023</v>
      </c>
      <c r="B4742" t="s">
        <v>11717</v>
      </c>
      <c r="C4742" t="s">
        <v>11718</v>
      </c>
      <c r="D4742" t="s">
        <v>19</v>
      </c>
      <c r="E4742" t="s">
        <v>20</v>
      </c>
      <c r="F4742" t="str">
        <f>"43611-1953"</f>
        <v>43611-1953</v>
      </c>
      <c r="G4742" t="str">
        <f>"637573"</f>
        <v>637573</v>
      </c>
      <c r="H4742" s="2">
        <f>10</f>
        <v>10</v>
      </c>
      <c r="I4742" t="s">
        <v>27</v>
      </c>
      <c r="J4742" t="s">
        <v>61</v>
      </c>
      <c r="K4742" t="str">
        <f>"118575"</f>
        <v>118575</v>
      </c>
    </row>
    <row r="4743" spans="1:11" x14ac:dyDescent="0.25">
      <c r="A4743">
        <v>2023</v>
      </c>
      <c r="B4743" t="s">
        <v>11719</v>
      </c>
      <c r="C4743" t="s">
        <v>11720</v>
      </c>
      <c r="D4743" t="s">
        <v>64</v>
      </c>
      <c r="E4743" t="s">
        <v>20</v>
      </c>
      <c r="F4743" t="str">
        <f>"43566-9744"</f>
        <v>43566-9744</v>
      </c>
      <c r="G4743" t="str">
        <f>"637573"</f>
        <v>637573</v>
      </c>
      <c r="H4743" s="2">
        <f>17.5</f>
        <v>17.5</v>
      </c>
      <c r="I4743" t="s">
        <v>27</v>
      </c>
      <c r="J4743" t="s">
        <v>61</v>
      </c>
      <c r="K4743" t="str">
        <f>"120100"</f>
        <v>120100</v>
      </c>
    </row>
    <row r="4744" spans="1:11" x14ac:dyDescent="0.25">
      <c r="A4744">
        <v>2023</v>
      </c>
      <c r="B4744" t="s">
        <v>11731</v>
      </c>
      <c r="C4744" t="s">
        <v>11732</v>
      </c>
      <c r="D4744" t="s">
        <v>19</v>
      </c>
      <c r="E4744" t="s">
        <v>20</v>
      </c>
      <c r="F4744" t="str">
        <f>"43615"</f>
        <v>43615</v>
      </c>
      <c r="G4744" t="str">
        <f>"632514"</f>
        <v>632514</v>
      </c>
      <c r="H4744" s="2">
        <f>4</f>
        <v>4</v>
      </c>
      <c r="I4744" t="s">
        <v>27</v>
      </c>
      <c r="J4744" t="s">
        <v>195</v>
      </c>
      <c r="K4744" t="str">
        <f>"22025320"</f>
        <v>22025320</v>
      </c>
    </row>
    <row r="4745" spans="1:11" x14ac:dyDescent="0.25">
      <c r="A4745">
        <v>2023</v>
      </c>
      <c r="B4745" t="s">
        <v>11754</v>
      </c>
      <c r="C4745" t="s">
        <v>11757</v>
      </c>
      <c r="D4745" t="s">
        <v>1074</v>
      </c>
      <c r="E4745" t="s">
        <v>20</v>
      </c>
      <c r="F4745" t="str">
        <f>"43551"</f>
        <v>43551</v>
      </c>
      <c r="G4745" t="str">
        <f>"589300"</f>
        <v>589300</v>
      </c>
      <c r="H4745" s="2">
        <f>5</f>
        <v>5</v>
      </c>
      <c r="I4745" t="s">
        <v>148</v>
      </c>
      <c r="J4745" t="s">
        <v>11758</v>
      </c>
      <c r="K4745" t="str">
        <f>"26023"</f>
        <v>26023</v>
      </c>
    </row>
    <row r="4746" spans="1:11" x14ac:dyDescent="0.25">
      <c r="A4746">
        <v>2023</v>
      </c>
      <c r="B4746" t="s">
        <v>11771</v>
      </c>
      <c r="C4746" t="s">
        <v>11772</v>
      </c>
      <c r="D4746" t="s">
        <v>323</v>
      </c>
      <c r="E4746" t="s">
        <v>20</v>
      </c>
      <c r="F4746" t="str">
        <f>"43571-9519"</f>
        <v>43571-9519</v>
      </c>
      <c r="G4746" t="str">
        <f>"637573"</f>
        <v>637573</v>
      </c>
      <c r="H4746" s="2">
        <f>40</f>
        <v>40</v>
      </c>
      <c r="I4746" t="s">
        <v>27</v>
      </c>
      <c r="J4746" t="s">
        <v>61</v>
      </c>
      <c r="K4746" t="str">
        <f>"118560"</f>
        <v>118560</v>
      </c>
    </row>
    <row r="4747" spans="1:11" x14ac:dyDescent="0.25">
      <c r="A4747">
        <v>2023</v>
      </c>
      <c r="B4747" t="s">
        <v>11788</v>
      </c>
      <c r="C4747" t="s">
        <v>11789</v>
      </c>
      <c r="D4747" t="s">
        <v>50</v>
      </c>
      <c r="E4747" t="s">
        <v>20</v>
      </c>
      <c r="F4747" t="str">
        <f>"43560-3229"</f>
        <v>43560-3229</v>
      </c>
      <c r="G4747" t="str">
        <f>"637573"</f>
        <v>637573</v>
      </c>
      <c r="H4747" s="2">
        <f>30</f>
        <v>30</v>
      </c>
      <c r="I4747" t="s">
        <v>27</v>
      </c>
      <c r="J4747" t="s">
        <v>61</v>
      </c>
      <c r="K4747" t="str">
        <f>"118481"</f>
        <v>118481</v>
      </c>
    </row>
    <row r="4748" spans="1:11" x14ac:dyDescent="0.25">
      <c r="A4748">
        <v>2023</v>
      </c>
      <c r="B4748" t="s">
        <v>11788</v>
      </c>
      <c r="C4748" t="s">
        <v>11789</v>
      </c>
      <c r="D4748" t="s">
        <v>50</v>
      </c>
      <c r="E4748" t="s">
        <v>20</v>
      </c>
      <c r="F4748" t="str">
        <f>"43560-3229"</f>
        <v>43560-3229</v>
      </c>
      <c r="G4748" t="str">
        <f>"637573"</f>
        <v>637573</v>
      </c>
      <c r="H4748" s="2">
        <f>30</f>
        <v>30</v>
      </c>
      <c r="I4748" t="s">
        <v>27</v>
      </c>
      <c r="J4748" t="s">
        <v>61</v>
      </c>
      <c r="K4748" t="str">
        <f>"118493"</f>
        <v>118493</v>
      </c>
    </row>
    <row r="4749" spans="1:11" x14ac:dyDescent="0.25">
      <c r="A4749">
        <v>2023</v>
      </c>
      <c r="B4749" t="s">
        <v>11814</v>
      </c>
      <c r="C4749" t="s">
        <v>11815</v>
      </c>
      <c r="D4749" t="s">
        <v>19</v>
      </c>
      <c r="E4749" t="s">
        <v>20</v>
      </c>
      <c r="F4749" t="str">
        <f>"43613"</f>
        <v>43613</v>
      </c>
      <c r="G4749" t="str">
        <f>"632483"</f>
        <v>632483</v>
      </c>
      <c r="H4749" s="2">
        <f>9.94</f>
        <v>9.94</v>
      </c>
      <c r="I4749" t="s">
        <v>27</v>
      </c>
      <c r="J4749" t="s">
        <v>108</v>
      </c>
      <c r="K4749" t="str">
        <f>"40540"</f>
        <v>40540</v>
      </c>
    </row>
    <row r="4750" spans="1:11" x14ac:dyDescent="0.25">
      <c r="A4750">
        <v>2023</v>
      </c>
      <c r="B4750" t="s">
        <v>11827</v>
      </c>
      <c r="C4750" t="s">
        <v>11828</v>
      </c>
      <c r="D4750" t="s">
        <v>19</v>
      </c>
      <c r="E4750" t="s">
        <v>20</v>
      </c>
      <c r="F4750" t="str">
        <f>"43604"</f>
        <v>43604</v>
      </c>
      <c r="G4750" t="str">
        <f t="shared" ref="G4750:G4756" si="159">"632514"</f>
        <v>632514</v>
      </c>
      <c r="H4750" s="2">
        <f>1</f>
        <v>1</v>
      </c>
      <c r="I4750" t="s">
        <v>27</v>
      </c>
      <c r="J4750" t="s">
        <v>195</v>
      </c>
      <c r="K4750" t="str">
        <f>"44009499"</f>
        <v>44009499</v>
      </c>
    </row>
    <row r="4751" spans="1:11" x14ac:dyDescent="0.25">
      <c r="A4751">
        <v>2023</v>
      </c>
      <c r="B4751" t="s">
        <v>11837</v>
      </c>
      <c r="C4751" t="s">
        <v>11838</v>
      </c>
      <c r="D4751" t="s">
        <v>19</v>
      </c>
      <c r="E4751" t="s">
        <v>20</v>
      </c>
      <c r="F4751" t="str">
        <f t="shared" ref="F4751:F4756" si="160">"43613"</f>
        <v>43613</v>
      </c>
      <c r="G4751" t="str">
        <f t="shared" si="159"/>
        <v>632514</v>
      </c>
      <c r="H4751" s="2">
        <f>5</f>
        <v>5</v>
      </c>
      <c r="I4751" t="s">
        <v>27</v>
      </c>
      <c r="J4751" t="s">
        <v>195</v>
      </c>
      <c r="K4751" t="str">
        <f>"33011980"</f>
        <v>33011980</v>
      </c>
    </row>
    <row r="4752" spans="1:11" x14ac:dyDescent="0.25">
      <c r="A4752">
        <v>2023</v>
      </c>
      <c r="B4752" t="s">
        <v>11839</v>
      </c>
      <c r="C4752" t="s">
        <v>11838</v>
      </c>
      <c r="D4752" t="s">
        <v>19</v>
      </c>
      <c r="E4752" t="s">
        <v>20</v>
      </c>
      <c r="F4752" t="str">
        <f t="shared" si="160"/>
        <v>43613</v>
      </c>
      <c r="G4752" t="str">
        <f t="shared" si="159"/>
        <v>632514</v>
      </c>
      <c r="H4752" s="2">
        <f>22.83</f>
        <v>22.83</v>
      </c>
      <c r="I4752" t="s">
        <v>27</v>
      </c>
      <c r="J4752" t="s">
        <v>195</v>
      </c>
      <c r="K4752" t="str">
        <f>"33012068"</f>
        <v>33012068</v>
      </c>
    </row>
    <row r="4753" spans="1:11" x14ac:dyDescent="0.25">
      <c r="A4753">
        <v>2023</v>
      </c>
      <c r="B4753" t="s">
        <v>11839</v>
      </c>
      <c r="C4753" t="s">
        <v>11838</v>
      </c>
      <c r="D4753" t="s">
        <v>19</v>
      </c>
      <c r="E4753" t="s">
        <v>20</v>
      </c>
      <c r="F4753" t="str">
        <f t="shared" si="160"/>
        <v>43613</v>
      </c>
      <c r="G4753" t="str">
        <f t="shared" si="159"/>
        <v>632514</v>
      </c>
      <c r="H4753" s="2">
        <f>3.5</f>
        <v>3.5</v>
      </c>
      <c r="I4753" t="s">
        <v>27</v>
      </c>
      <c r="J4753" t="s">
        <v>195</v>
      </c>
      <c r="K4753" t="str">
        <f>"22025332"</f>
        <v>22025332</v>
      </c>
    </row>
    <row r="4754" spans="1:11" x14ac:dyDescent="0.25">
      <c r="A4754">
        <v>2023</v>
      </c>
      <c r="B4754" t="s">
        <v>11839</v>
      </c>
      <c r="C4754" t="s">
        <v>11838</v>
      </c>
      <c r="D4754" t="s">
        <v>19</v>
      </c>
      <c r="E4754" t="s">
        <v>20</v>
      </c>
      <c r="F4754" t="str">
        <f t="shared" si="160"/>
        <v>43613</v>
      </c>
      <c r="G4754" t="str">
        <f t="shared" si="159"/>
        <v>632514</v>
      </c>
      <c r="H4754" s="2">
        <f>9.1</f>
        <v>9.1</v>
      </c>
      <c r="I4754" t="s">
        <v>27</v>
      </c>
      <c r="J4754" t="s">
        <v>195</v>
      </c>
      <c r="K4754" t="str">
        <f>"33012127"</f>
        <v>33012127</v>
      </c>
    </row>
    <row r="4755" spans="1:11" x14ac:dyDescent="0.25">
      <c r="A4755">
        <v>2023</v>
      </c>
      <c r="B4755" t="s">
        <v>11839</v>
      </c>
      <c r="C4755" t="s">
        <v>11838</v>
      </c>
      <c r="D4755" t="s">
        <v>19</v>
      </c>
      <c r="E4755" t="s">
        <v>20</v>
      </c>
      <c r="F4755" t="str">
        <f t="shared" si="160"/>
        <v>43613</v>
      </c>
      <c r="G4755" t="str">
        <f t="shared" si="159"/>
        <v>632514</v>
      </c>
      <c r="H4755" s="2">
        <f>6.5</f>
        <v>6.5</v>
      </c>
      <c r="I4755" t="s">
        <v>27</v>
      </c>
      <c r="J4755" t="s">
        <v>195</v>
      </c>
      <c r="K4755" t="str">
        <f>"33011627"</f>
        <v>33011627</v>
      </c>
    </row>
    <row r="4756" spans="1:11" x14ac:dyDescent="0.25">
      <c r="A4756">
        <v>2023</v>
      </c>
      <c r="B4756" t="s">
        <v>11839</v>
      </c>
      <c r="C4756" t="s">
        <v>11838</v>
      </c>
      <c r="D4756" t="s">
        <v>19</v>
      </c>
      <c r="E4756" t="s">
        <v>20</v>
      </c>
      <c r="F4756" t="str">
        <f t="shared" si="160"/>
        <v>43613</v>
      </c>
      <c r="G4756" t="str">
        <f t="shared" si="159"/>
        <v>632514</v>
      </c>
      <c r="H4756" s="2">
        <f>11.18</f>
        <v>11.18</v>
      </c>
      <c r="I4756" t="s">
        <v>27</v>
      </c>
      <c r="J4756" t="s">
        <v>195</v>
      </c>
      <c r="K4756" t="str">
        <f>"33011682"</f>
        <v>33011682</v>
      </c>
    </row>
    <row r="4757" spans="1:11" x14ac:dyDescent="0.25">
      <c r="A4757">
        <v>2023</v>
      </c>
      <c r="B4757" t="s">
        <v>11842</v>
      </c>
      <c r="C4757" t="s">
        <v>11843</v>
      </c>
      <c r="D4757" t="s">
        <v>19</v>
      </c>
      <c r="E4757" t="s">
        <v>20</v>
      </c>
      <c r="F4757" t="str">
        <f>"43607"</f>
        <v>43607</v>
      </c>
      <c r="G4757" t="str">
        <f>"638581"</f>
        <v>638581</v>
      </c>
      <c r="H4757" s="2">
        <f>4.9</f>
        <v>4.9000000000000004</v>
      </c>
      <c r="I4757" t="s">
        <v>27</v>
      </c>
      <c r="J4757" t="s">
        <v>61</v>
      </c>
      <c r="K4757" t="str">
        <f>"334067"</f>
        <v>334067</v>
      </c>
    </row>
    <row r="4758" spans="1:11" x14ac:dyDescent="0.25">
      <c r="A4758">
        <v>2023</v>
      </c>
      <c r="B4758" t="s">
        <v>11849</v>
      </c>
      <c r="C4758" t="s">
        <v>11850</v>
      </c>
      <c r="D4758" t="s">
        <v>125</v>
      </c>
      <c r="E4758" t="s">
        <v>20</v>
      </c>
      <c r="F4758" t="str">
        <f>"43537"</f>
        <v>43537</v>
      </c>
      <c r="G4758" t="str">
        <f>"Je04112023"</f>
        <v>Je04112023</v>
      </c>
      <c r="H4758" s="2">
        <f>800.74</f>
        <v>800.74</v>
      </c>
      <c r="I4758" t="s">
        <v>15</v>
      </c>
      <c r="J4758" t="s">
        <v>412</v>
      </c>
      <c r="K4758" t="str">
        <f>"60072203"</f>
        <v>60072203</v>
      </c>
    </row>
    <row r="4759" spans="1:11" x14ac:dyDescent="0.25">
      <c r="A4759">
        <v>2023</v>
      </c>
      <c r="B4759" t="s">
        <v>11851</v>
      </c>
      <c r="C4759" t="s">
        <v>11852</v>
      </c>
      <c r="D4759" t="s">
        <v>125</v>
      </c>
      <c r="E4759" t="s">
        <v>20</v>
      </c>
      <c r="F4759" t="str">
        <f>"43537"</f>
        <v>43537</v>
      </c>
      <c r="G4759" t="str">
        <f>"Je06132023"</f>
        <v>Je06132023</v>
      </c>
      <c r="H4759" s="2">
        <f>125</f>
        <v>125</v>
      </c>
      <c r="I4759" t="s">
        <v>15</v>
      </c>
      <c r="J4759" t="s">
        <v>16</v>
      </c>
      <c r="K4759" t="str">
        <f>"60080830"</f>
        <v>60080830</v>
      </c>
    </row>
    <row r="4760" spans="1:11" x14ac:dyDescent="0.25">
      <c r="A4760">
        <v>2023</v>
      </c>
      <c r="B4760" t="s">
        <v>11851</v>
      </c>
      <c r="C4760" t="s">
        <v>11852</v>
      </c>
      <c r="D4760" t="s">
        <v>125</v>
      </c>
      <c r="E4760" t="s">
        <v>20</v>
      </c>
      <c r="F4760" t="str">
        <f>"43537"</f>
        <v>43537</v>
      </c>
      <c r="G4760" t="str">
        <f>"Je06132023"</f>
        <v>Je06132023</v>
      </c>
      <c r="H4760" s="2">
        <f>95</f>
        <v>95</v>
      </c>
      <c r="I4760" t="s">
        <v>15</v>
      </c>
      <c r="J4760" t="s">
        <v>16</v>
      </c>
      <c r="K4760" t="str">
        <f>"60081983"</f>
        <v>60081983</v>
      </c>
    </row>
    <row r="4761" spans="1:11" x14ac:dyDescent="0.25">
      <c r="A4761">
        <v>2023</v>
      </c>
      <c r="B4761" t="s">
        <v>11865</v>
      </c>
      <c r="C4761" t="s">
        <v>11866</v>
      </c>
      <c r="D4761" t="s">
        <v>19</v>
      </c>
      <c r="E4761" t="s">
        <v>20</v>
      </c>
      <c r="F4761" t="str">
        <f>"43617-1612"</f>
        <v>43617-1612</v>
      </c>
      <c r="G4761" t="str">
        <f>"637573"</f>
        <v>637573</v>
      </c>
      <c r="H4761" s="2">
        <f>10</f>
        <v>10</v>
      </c>
      <c r="I4761" t="s">
        <v>27</v>
      </c>
      <c r="J4761" t="s">
        <v>61</v>
      </c>
      <c r="K4761" t="str">
        <f>"119538"</f>
        <v>119538</v>
      </c>
    </row>
    <row r="4762" spans="1:11" x14ac:dyDescent="0.25">
      <c r="A4762">
        <v>2023</v>
      </c>
      <c r="B4762" t="s">
        <v>11869</v>
      </c>
      <c r="C4762" t="s">
        <v>11870</v>
      </c>
      <c r="D4762" t="s">
        <v>19</v>
      </c>
      <c r="E4762" t="s">
        <v>20</v>
      </c>
      <c r="F4762" t="str">
        <f>"43612-1074"</f>
        <v>43612-1074</v>
      </c>
      <c r="G4762" t="str">
        <f>"637573"</f>
        <v>637573</v>
      </c>
      <c r="H4762" s="2">
        <f>10</f>
        <v>10</v>
      </c>
      <c r="I4762" t="s">
        <v>27</v>
      </c>
      <c r="J4762" t="s">
        <v>61</v>
      </c>
      <c r="K4762" t="str">
        <f>"118901"</f>
        <v>118901</v>
      </c>
    </row>
    <row r="4763" spans="1:11" x14ac:dyDescent="0.25">
      <c r="A4763">
        <v>2023</v>
      </c>
      <c r="B4763" t="s">
        <v>11885</v>
      </c>
      <c r="C4763" t="s">
        <v>11886</v>
      </c>
      <c r="D4763" t="s">
        <v>19</v>
      </c>
      <c r="E4763" t="s">
        <v>20</v>
      </c>
      <c r="F4763" t="str">
        <f>"43604"</f>
        <v>43604</v>
      </c>
      <c r="G4763" t="str">
        <f>"Je012023"</f>
        <v>Je012023</v>
      </c>
      <c r="H4763" s="2">
        <f>15</f>
        <v>15</v>
      </c>
      <c r="I4763" t="s">
        <v>15</v>
      </c>
      <c r="J4763" t="s">
        <v>397</v>
      </c>
      <c r="K4763" t="str">
        <f>"60060254"</f>
        <v>60060254</v>
      </c>
    </row>
    <row r="4764" spans="1:11" x14ac:dyDescent="0.25">
      <c r="A4764">
        <v>2023</v>
      </c>
      <c r="B4764" t="s">
        <v>11914</v>
      </c>
      <c r="C4764" t="s">
        <v>11915</v>
      </c>
      <c r="D4764" t="s">
        <v>11916</v>
      </c>
      <c r="E4764" t="s">
        <v>9729</v>
      </c>
      <c r="F4764" t="str">
        <f>"02722"</f>
        <v>02722</v>
      </c>
      <c r="G4764" t="str">
        <f>"632482"</f>
        <v>632482</v>
      </c>
      <c r="H4764" s="2">
        <f>34.5</f>
        <v>34.5</v>
      </c>
      <c r="I4764" t="s">
        <v>27</v>
      </c>
      <c r="J4764" t="s">
        <v>157</v>
      </c>
      <c r="K4764" t="str">
        <f>"524092"</f>
        <v>524092</v>
      </c>
    </row>
    <row r="4765" spans="1:11" x14ac:dyDescent="0.25">
      <c r="A4765">
        <v>2023</v>
      </c>
      <c r="B4765" t="s">
        <v>11917</v>
      </c>
      <c r="C4765" t="s">
        <v>11918</v>
      </c>
      <c r="D4765" t="s">
        <v>11919</v>
      </c>
      <c r="E4765" t="s">
        <v>20</v>
      </c>
      <c r="F4765" t="str">
        <f>"44124"</f>
        <v>44124</v>
      </c>
      <c r="G4765" t="str">
        <f>"632482"</f>
        <v>632482</v>
      </c>
      <c r="H4765" s="2">
        <f>34.5</f>
        <v>34.5</v>
      </c>
      <c r="I4765" t="s">
        <v>27</v>
      </c>
      <c r="J4765" t="s">
        <v>157</v>
      </c>
      <c r="K4765" t="str">
        <f>"524091"</f>
        <v>524091</v>
      </c>
    </row>
    <row r="4766" spans="1:11" x14ac:dyDescent="0.25">
      <c r="A4766">
        <v>2023</v>
      </c>
      <c r="B4766" t="s">
        <v>11935</v>
      </c>
      <c r="C4766" t="s">
        <v>11936</v>
      </c>
      <c r="D4766" t="s">
        <v>111</v>
      </c>
      <c r="E4766" t="s">
        <v>20</v>
      </c>
      <c r="F4766" t="str">
        <f>"43215-6108"</f>
        <v>43215-6108</v>
      </c>
      <c r="G4766" t="str">
        <f>"Je10162023"</f>
        <v>Je10162023</v>
      </c>
      <c r="H4766" s="2">
        <f>50</f>
        <v>50</v>
      </c>
      <c r="I4766" t="s">
        <v>15</v>
      </c>
      <c r="J4766" t="s">
        <v>93</v>
      </c>
      <c r="K4766" t="str">
        <f>"60094144"</f>
        <v>60094144</v>
      </c>
    </row>
    <row r="4767" spans="1:11" x14ac:dyDescent="0.25">
      <c r="A4767">
        <v>2023</v>
      </c>
      <c r="B4767" t="s">
        <v>11971</v>
      </c>
      <c r="C4767" t="s">
        <v>11972</v>
      </c>
      <c r="D4767" t="s">
        <v>19</v>
      </c>
      <c r="E4767" t="s">
        <v>20</v>
      </c>
      <c r="F4767" t="str">
        <f>"43617-2206"</f>
        <v>43617-2206</v>
      </c>
      <c r="G4767" t="str">
        <f>"637573"</f>
        <v>637573</v>
      </c>
      <c r="H4767" s="2">
        <f>10</f>
        <v>10</v>
      </c>
      <c r="I4767" t="s">
        <v>27</v>
      </c>
      <c r="J4767" t="s">
        <v>61</v>
      </c>
      <c r="K4767" t="str">
        <f>"119746"</f>
        <v>119746</v>
      </c>
    </row>
    <row r="4768" spans="1:11" x14ac:dyDescent="0.25">
      <c r="A4768">
        <v>2023</v>
      </c>
      <c r="B4768" t="s">
        <v>11990</v>
      </c>
      <c r="C4768" t="s">
        <v>11991</v>
      </c>
      <c r="D4768" t="s">
        <v>19</v>
      </c>
      <c r="E4768" t="s">
        <v>20</v>
      </c>
      <c r="F4768" t="str">
        <f>"43609"</f>
        <v>43609</v>
      </c>
      <c r="G4768" t="str">
        <f>"Je06132023"</f>
        <v>Je06132023</v>
      </c>
      <c r="H4768" s="2">
        <f>32.5</f>
        <v>32.5</v>
      </c>
      <c r="I4768" t="s">
        <v>15</v>
      </c>
      <c r="J4768" t="s">
        <v>16</v>
      </c>
      <c r="K4768" t="str">
        <f>"60077110"</f>
        <v>60077110</v>
      </c>
    </row>
    <row r="4769" spans="1:11" x14ac:dyDescent="0.25">
      <c r="A4769">
        <v>2023</v>
      </c>
      <c r="B4769" t="s">
        <v>11994</v>
      </c>
      <c r="C4769" t="s">
        <v>11995</v>
      </c>
      <c r="D4769" t="s">
        <v>19</v>
      </c>
      <c r="E4769" t="s">
        <v>20</v>
      </c>
      <c r="F4769" t="str">
        <f>"43612-1138"</f>
        <v>43612-1138</v>
      </c>
      <c r="G4769" t="str">
        <f>"637573"</f>
        <v>637573</v>
      </c>
      <c r="H4769" s="2">
        <f>20</f>
        <v>20</v>
      </c>
      <c r="I4769" t="s">
        <v>27</v>
      </c>
      <c r="J4769" t="s">
        <v>61</v>
      </c>
      <c r="K4769" t="str">
        <f>"119231"</f>
        <v>119231</v>
      </c>
    </row>
    <row r="4770" spans="1:11" x14ac:dyDescent="0.25">
      <c r="A4770">
        <v>2023</v>
      </c>
      <c r="B4770" t="s">
        <v>12000</v>
      </c>
      <c r="C4770" t="s">
        <v>12001</v>
      </c>
      <c r="D4770" t="s">
        <v>19</v>
      </c>
      <c r="E4770" t="s">
        <v>20</v>
      </c>
      <c r="F4770" t="str">
        <f>"43613"</f>
        <v>43613</v>
      </c>
      <c r="G4770" t="str">
        <f>"Je012023"</f>
        <v>Je012023</v>
      </c>
      <c r="H4770" s="2">
        <f>10</f>
        <v>10</v>
      </c>
      <c r="I4770" t="s">
        <v>15</v>
      </c>
      <c r="J4770" t="s">
        <v>397</v>
      </c>
      <c r="K4770" t="str">
        <f>"60066020"</f>
        <v>60066020</v>
      </c>
    </row>
    <row r="4771" spans="1:11" x14ac:dyDescent="0.25">
      <c r="A4771">
        <v>2023</v>
      </c>
      <c r="B4771" t="s">
        <v>12002</v>
      </c>
      <c r="C4771" t="s">
        <v>12003</v>
      </c>
      <c r="D4771" t="s">
        <v>19</v>
      </c>
      <c r="E4771" t="s">
        <v>20</v>
      </c>
      <c r="F4771" t="str">
        <f>"43615"</f>
        <v>43615</v>
      </c>
      <c r="G4771" t="str">
        <f>"Je04112023"</f>
        <v>Je04112023</v>
      </c>
      <c r="H4771" s="2">
        <f>44.55</f>
        <v>44.55</v>
      </c>
      <c r="I4771" t="s">
        <v>15</v>
      </c>
      <c r="J4771" t="s">
        <v>412</v>
      </c>
      <c r="K4771" t="str">
        <f>"60072212"</f>
        <v>60072212</v>
      </c>
    </row>
    <row r="4772" spans="1:11" x14ac:dyDescent="0.25">
      <c r="A4772">
        <v>2023</v>
      </c>
      <c r="B4772" t="s">
        <v>12005</v>
      </c>
      <c r="C4772" t="s">
        <v>12006</v>
      </c>
      <c r="D4772" t="s">
        <v>19</v>
      </c>
      <c r="E4772" t="s">
        <v>20</v>
      </c>
      <c r="F4772" t="str">
        <f>"43605"</f>
        <v>43605</v>
      </c>
      <c r="G4772" t="str">
        <f>"632482"</f>
        <v>632482</v>
      </c>
      <c r="H4772" s="2">
        <f>25</f>
        <v>25</v>
      </c>
      <c r="I4772" t="s">
        <v>27</v>
      </c>
      <c r="J4772" t="s">
        <v>157</v>
      </c>
      <c r="K4772" t="str">
        <f>"522198"</f>
        <v>522198</v>
      </c>
    </row>
    <row r="4773" spans="1:11" x14ac:dyDescent="0.25">
      <c r="A4773">
        <v>2023</v>
      </c>
      <c r="B4773" t="s">
        <v>12012</v>
      </c>
      <c r="C4773" t="s">
        <v>12013</v>
      </c>
      <c r="D4773" t="s">
        <v>19</v>
      </c>
      <c r="E4773" t="s">
        <v>20</v>
      </c>
      <c r="F4773" t="str">
        <f>"43615"</f>
        <v>43615</v>
      </c>
      <c r="G4773" t="str">
        <f>"632482"</f>
        <v>632482</v>
      </c>
      <c r="H4773" s="2">
        <f>35</f>
        <v>35</v>
      </c>
      <c r="I4773" t="s">
        <v>27</v>
      </c>
      <c r="J4773" t="s">
        <v>157</v>
      </c>
      <c r="K4773" t="str">
        <f>"521596"</f>
        <v>521596</v>
      </c>
    </row>
    <row r="4774" spans="1:11" x14ac:dyDescent="0.25">
      <c r="A4774">
        <v>2023</v>
      </c>
      <c r="B4774" t="s">
        <v>12025</v>
      </c>
      <c r="C4774" t="s">
        <v>12026</v>
      </c>
      <c r="D4774" t="s">
        <v>19</v>
      </c>
      <c r="E4774" t="s">
        <v>20</v>
      </c>
      <c r="F4774" t="str">
        <f>"43612"</f>
        <v>43612</v>
      </c>
      <c r="G4774" t="str">
        <f>"632514"</f>
        <v>632514</v>
      </c>
      <c r="H4774" s="2">
        <f>2</f>
        <v>2</v>
      </c>
      <c r="I4774" t="s">
        <v>27</v>
      </c>
      <c r="J4774" t="s">
        <v>195</v>
      </c>
      <c r="K4774" t="str">
        <f>"33011207"</f>
        <v>33011207</v>
      </c>
    </row>
    <row r="4775" spans="1:11" x14ac:dyDescent="0.25">
      <c r="A4775">
        <v>2023</v>
      </c>
      <c r="B4775" t="s">
        <v>12064</v>
      </c>
      <c r="C4775" t="s">
        <v>12065</v>
      </c>
      <c r="D4775" t="s">
        <v>19</v>
      </c>
      <c r="E4775" t="s">
        <v>20</v>
      </c>
      <c r="F4775" t="str">
        <f>"43606"</f>
        <v>43606</v>
      </c>
      <c r="G4775" t="str">
        <f>"632482"</f>
        <v>632482</v>
      </c>
      <c r="H4775" s="2">
        <f>50</f>
        <v>50</v>
      </c>
      <c r="I4775" t="s">
        <v>27</v>
      </c>
      <c r="J4775" t="s">
        <v>157</v>
      </c>
      <c r="K4775" t="str">
        <f>"521751"</f>
        <v>521751</v>
      </c>
    </row>
    <row r="4776" spans="1:11" x14ac:dyDescent="0.25">
      <c r="A4776">
        <v>2023</v>
      </c>
      <c r="B4776" t="s">
        <v>12064</v>
      </c>
      <c r="C4776" t="s">
        <v>12065</v>
      </c>
      <c r="D4776" t="s">
        <v>19</v>
      </c>
      <c r="E4776" t="s">
        <v>20</v>
      </c>
      <c r="F4776" t="str">
        <f>"43606"</f>
        <v>43606</v>
      </c>
      <c r="G4776" t="str">
        <f>"632482"</f>
        <v>632482</v>
      </c>
      <c r="H4776" s="2">
        <f>30</f>
        <v>30</v>
      </c>
      <c r="I4776" t="s">
        <v>27</v>
      </c>
      <c r="J4776" t="s">
        <v>157</v>
      </c>
      <c r="K4776" t="str">
        <f>"522984"</f>
        <v>522984</v>
      </c>
    </row>
    <row r="4777" spans="1:11" x14ac:dyDescent="0.25">
      <c r="A4777">
        <v>2023</v>
      </c>
      <c r="B4777" t="s">
        <v>12064</v>
      </c>
      <c r="C4777" t="s">
        <v>12065</v>
      </c>
      <c r="D4777" t="s">
        <v>19</v>
      </c>
      <c r="E4777" t="s">
        <v>20</v>
      </c>
      <c r="F4777" t="str">
        <f>"43606"</f>
        <v>43606</v>
      </c>
      <c r="G4777" t="str">
        <f>"632482"</f>
        <v>632482</v>
      </c>
      <c r="H4777" s="2">
        <f>25</f>
        <v>25</v>
      </c>
      <c r="I4777" t="s">
        <v>27</v>
      </c>
      <c r="J4777" t="s">
        <v>157</v>
      </c>
      <c r="K4777" t="str">
        <f>"522254"</f>
        <v>522254</v>
      </c>
    </row>
    <row r="4778" spans="1:11" x14ac:dyDescent="0.25">
      <c r="A4778">
        <v>2023</v>
      </c>
      <c r="B4778" t="s">
        <v>12064</v>
      </c>
      <c r="C4778" t="s">
        <v>12065</v>
      </c>
      <c r="D4778" t="s">
        <v>19</v>
      </c>
      <c r="E4778" t="s">
        <v>20</v>
      </c>
      <c r="F4778" t="str">
        <f>"43606"</f>
        <v>43606</v>
      </c>
      <c r="G4778" t="str">
        <f>"632482"</f>
        <v>632482</v>
      </c>
      <c r="H4778" s="2">
        <f>40</f>
        <v>40</v>
      </c>
      <c r="I4778" t="s">
        <v>27</v>
      </c>
      <c r="J4778" t="s">
        <v>157</v>
      </c>
      <c r="K4778" t="str">
        <f>"520691"</f>
        <v>520691</v>
      </c>
    </row>
    <row r="4779" spans="1:11" x14ac:dyDescent="0.25">
      <c r="A4779">
        <v>2023</v>
      </c>
      <c r="B4779" t="s">
        <v>12064</v>
      </c>
      <c r="C4779" t="s">
        <v>12065</v>
      </c>
      <c r="D4779" t="s">
        <v>19</v>
      </c>
      <c r="E4779" t="s">
        <v>20</v>
      </c>
      <c r="F4779" t="str">
        <f>"43606"</f>
        <v>43606</v>
      </c>
      <c r="G4779" t="str">
        <f>"632482"</f>
        <v>632482</v>
      </c>
      <c r="H4779" s="2">
        <f>50</f>
        <v>50</v>
      </c>
      <c r="I4779" t="s">
        <v>27</v>
      </c>
      <c r="J4779" t="s">
        <v>157</v>
      </c>
      <c r="K4779" t="str">
        <f>"521183"</f>
        <v>521183</v>
      </c>
    </row>
    <row r="4780" spans="1:11" x14ac:dyDescent="0.25">
      <c r="A4780">
        <v>2023</v>
      </c>
      <c r="B4780" t="s">
        <v>12082</v>
      </c>
      <c r="C4780" t="s">
        <v>12083</v>
      </c>
      <c r="D4780" t="s">
        <v>19</v>
      </c>
      <c r="E4780" t="s">
        <v>20</v>
      </c>
      <c r="F4780" t="str">
        <f>"43604"</f>
        <v>43604</v>
      </c>
      <c r="G4780" t="str">
        <f>"Je06132023"</f>
        <v>Je06132023</v>
      </c>
      <c r="H4780" s="2">
        <f>20</f>
        <v>20</v>
      </c>
      <c r="I4780" t="s">
        <v>15</v>
      </c>
      <c r="J4780" t="s">
        <v>16</v>
      </c>
      <c r="K4780" t="str">
        <f>"60081994"</f>
        <v>60081994</v>
      </c>
    </row>
    <row r="4781" spans="1:11" x14ac:dyDescent="0.25">
      <c r="A4781">
        <v>2023</v>
      </c>
      <c r="B4781" t="s">
        <v>12096</v>
      </c>
      <c r="C4781" t="s">
        <v>12097</v>
      </c>
      <c r="D4781" t="s">
        <v>12098</v>
      </c>
      <c r="E4781" t="s">
        <v>1341</v>
      </c>
      <c r="F4781" t="str">
        <f>"75063"</f>
        <v>75063</v>
      </c>
      <c r="G4781" t="str">
        <f>"Je10162023"</f>
        <v>Je10162023</v>
      </c>
      <c r="H4781" s="2">
        <f>190.76</f>
        <v>190.76</v>
      </c>
      <c r="I4781" t="s">
        <v>15</v>
      </c>
      <c r="J4781" t="s">
        <v>93</v>
      </c>
      <c r="K4781" t="str">
        <f>"60086060"</f>
        <v>60086060</v>
      </c>
    </row>
    <row r="4782" spans="1:11" x14ac:dyDescent="0.25">
      <c r="A4782">
        <v>2023</v>
      </c>
      <c r="B4782" t="s">
        <v>12105</v>
      </c>
      <c r="C4782" t="s">
        <v>12106</v>
      </c>
      <c r="D4782" t="s">
        <v>19</v>
      </c>
      <c r="E4782" t="s">
        <v>20</v>
      </c>
      <c r="F4782" t="str">
        <f>"43623"</f>
        <v>43623</v>
      </c>
      <c r="G4782" t="str">
        <f>"632483"</f>
        <v>632483</v>
      </c>
      <c r="H4782" s="2">
        <f>20</f>
        <v>20</v>
      </c>
      <c r="I4782" t="s">
        <v>27</v>
      </c>
      <c r="J4782" t="s">
        <v>108</v>
      </c>
      <c r="K4782" t="str">
        <f>"39018"</f>
        <v>39018</v>
      </c>
    </row>
    <row r="4783" spans="1:11" x14ac:dyDescent="0.25">
      <c r="A4783">
        <v>2023</v>
      </c>
      <c r="B4783" t="s">
        <v>12119</v>
      </c>
      <c r="C4783" t="s">
        <v>12120</v>
      </c>
      <c r="D4783" t="s">
        <v>50</v>
      </c>
      <c r="E4783" t="s">
        <v>20</v>
      </c>
      <c r="F4783" t="str">
        <f>"43560-9019"</f>
        <v>43560-9019</v>
      </c>
      <c r="G4783" t="str">
        <f>"637573"</f>
        <v>637573</v>
      </c>
      <c r="H4783" s="2">
        <f>40</f>
        <v>40</v>
      </c>
      <c r="I4783" t="s">
        <v>27</v>
      </c>
      <c r="J4783" t="s">
        <v>61</v>
      </c>
      <c r="K4783" t="str">
        <f>"120942"</f>
        <v>120942</v>
      </c>
    </row>
    <row r="4784" spans="1:11" x14ac:dyDescent="0.25">
      <c r="A4784">
        <v>2023</v>
      </c>
      <c r="B4784" t="s">
        <v>12123</v>
      </c>
      <c r="C4784" t="s">
        <v>12124</v>
      </c>
      <c r="D4784" t="s">
        <v>19</v>
      </c>
      <c r="E4784" t="s">
        <v>20</v>
      </c>
      <c r="F4784" t="str">
        <f>"43612"</f>
        <v>43612</v>
      </c>
      <c r="G4784" t="str">
        <f>"632514"</f>
        <v>632514</v>
      </c>
      <c r="H4784" s="2">
        <f>10.01</f>
        <v>10.01</v>
      </c>
      <c r="I4784" t="s">
        <v>27</v>
      </c>
      <c r="J4784" t="s">
        <v>195</v>
      </c>
      <c r="K4784" t="str">
        <f>"22025299"</f>
        <v>22025299</v>
      </c>
    </row>
    <row r="4785" spans="1:11" x14ac:dyDescent="0.25">
      <c r="A4785">
        <v>2023</v>
      </c>
      <c r="B4785" t="s">
        <v>12136</v>
      </c>
      <c r="C4785" t="s">
        <v>12137</v>
      </c>
      <c r="D4785" t="s">
        <v>19</v>
      </c>
      <c r="E4785" t="s">
        <v>20</v>
      </c>
      <c r="F4785" t="str">
        <f>"43615"</f>
        <v>43615</v>
      </c>
      <c r="G4785" t="str">
        <f>"Je04112023"</f>
        <v>Je04112023</v>
      </c>
      <c r="H4785" s="2">
        <f>29.7</f>
        <v>29.7</v>
      </c>
      <c r="I4785" t="s">
        <v>15</v>
      </c>
      <c r="J4785" t="s">
        <v>412</v>
      </c>
      <c r="K4785" t="str">
        <f>"60072219"</f>
        <v>60072219</v>
      </c>
    </row>
    <row r="4786" spans="1:11" x14ac:dyDescent="0.25">
      <c r="A4786">
        <v>2023</v>
      </c>
      <c r="B4786" t="s">
        <v>12136</v>
      </c>
      <c r="C4786" t="s">
        <v>12137</v>
      </c>
      <c r="D4786" t="s">
        <v>19</v>
      </c>
      <c r="E4786" t="s">
        <v>20</v>
      </c>
      <c r="F4786" t="str">
        <f>"43615"</f>
        <v>43615</v>
      </c>
      <c r="G4786" t="str">
        <f>"Je04112023"</f>
        <v>Je04112023</v>
      </c>
      <c r="H4786" s="2">
        <f>29.7</f>
        <v>29.7</v>
      </c>
      <c r="I4786" t="s">
        <v>15</v>
      </c>
      <c r="J4786" t="s">
        <v>412</v>
      </c>
      <c r="K4786" t="str">
        <f>"60074365"</f>
        <v>60074365</v>
      </c>
    </row>
    <row r="4787" spans="1:11" x14ac:dyDescent="0.25">
      <c r="A4787">
        <v>2023</v>
      </c>
      <c r="B4787" t="s">
        <v>12142</v>
      </c>
      <c r="C4787" t="s">
        <v>12143</v>
      </c>
      <c r="D4787" t="s">
        <v>19</v>
      </c>
      <c r="E4787" t="s">
        <v>20</v>
      </c>
      <c r="F4787" t="str">
        <f>"43613"</f>
        <v>43613</v>
      </c>
      <c r="G4787" t="str">
        <f>"632482"</f>
        <v>632482</v>
      </c>
      <c r="H4787" s="2">
        <f>25</f>
        <v>25</v>
      </c>
      <c r="I4787" t="s">
        <v>27</v>
      </c>
      <c r="J4787" t="s">
        <v>157</v>
      </c>
      <c r="K4787" t="str">
        <f>"521065"</f>
        <v>521065</v>
      </c>
    </row>
    <row r="4788" spans="1:11" x14ac:dyDescent="0.25">
      <c r="A4788">
        <v>2023</v>
      </c>
      <c r="B4788" t="s">
        <v>12157</v>
      </c>
      <c r="C4788" t="s">
        <v>12158</v>
      </c>
      <c r="D4788" t="s">
        <v>19</v>
      </c>
      <c r="E4788" t="s">
        <v>20</v>
      </c>
      <c r="F4788" t="str">
        <f>"43613-1123"</f>
        <v>43613-1123</v>
      </c>
      <c r="G4788" t="str">
        <f>"637573"</f>
        <v>637573</v>
      </c>
      <c r="H4788" s="2">
        <f>40</f>
        <v>40</v>
      </c>
      <c r="I4788" t="s">
        <v>27</v>
      </c>
      <c r="J4788" t="s">
        <v>61</v>
      </c>
      <c r="K4788" t="str">
        <f>"120491"</f>
        <v>120491</v>
      </c>
    </row>
    <row r="4789" spans="1:11" x14ac:dyDescent="0.25">
      <c r="A4789">
        <v>2023</v>
      </c>
      <c r="B4789" t="s">
        <v>12187</v>
      </c>
      <c r="C4789" t="s">
        <v>12188</v>
      </c>
      <c r="D4789" t="s">
        <v>19</v>
      </c>
      <c r="E4789" t="s">
        <v>20</v>
      </c>
      <c r="F4789" t="str">
        <f>"43612"</f>
        <v>43612</v>
      </c>
      <c r="G4789" t="str">
        <f>"Je04112023"</f>
        <v>Je04112023</v>
      </c>
      <c r="H4789" s="2">
        <f>44.55</f>
        <v>44.55</v>
      </c>
      <c r="I4789" t="s">
        <v>15</v>
      </c>
      <c r="J4789" t="s">
        <v>412</v>
      </c>
      <c r="K4789" t="str">
        <f>"60069461"</f>
        <v>60069461</v>
      </c>
    </row>
    <row r="4790" spans="1:11" x14ac:dyDescent="0.25">
      <c r="A4790">
        <v>2023</v>
      </c>
      <c r="B4790" t="s">
        <v>12226</v>
      </c>
      <c r="C4790" t="s">
        <v>12227</v>
      </c>
      <c r="D4790" t="s">
        <v>19</v>
      </c>
      <c r="E4790" t="s">
        <v>20</v>
      </c>
      <c r="F4790" t="str">
        <f>"43620"</f>
        <v>43620</v>
      </c>
      <c r="G4790" t="str">
        <f>"Je06132023"</f>
        <v>Je06132023</v>
      </c>
      <c r="H4790" s="2">
        <f>38.38</f>
        <v>38.380000000000003</v>
      </c>
      <c r="I4790" t="s">
        <v>15</v>
      </c>
      <c r="J4790" t="s">
        <v>16</v>
      </c>
      <c r="K4790" t="str">
        <f>"60084337"</f>
        <v>60084337</v>
      </c>
    </row>
    <row r="4791" spans="1:11" x14ac:dyDescent="0.25">
      <c r="A4791">
        <v>2023</v>
      </c>
      <c r="B4791" t="s">
        <v>12228</v>
      </c>
      <c r="C4791" t="s">
        <v>12229</v>
      </c>
      <c r="D4791" t="s">
        <v>19</v>
      </c>
      <c r="E4791" t="s">
        <v>20</v>
      </c>
      <c r="F4791" t="str">
        <f>"43623"</f>
        <v>43623</v>
      </c>
      <c r="G4791" t="str">
        <f>"632482"</f>
        <v>632482</v>
      </c>
      <c r="H4791" s="2">
        <f>17.18</f>
        <v>17.18</v>
      </c>
      <c r="I4791" t="s">
        <v>27</v>
      </c>
      <c r="J4791" t="s">
        <v>157</v>
      </c>
      <c r="K4791" t="str">
        <f>"522096"</f>
        <v>522096</v>
      </c>
    </row>
    <row r="4792" spans="1:11" x14ac:dyDescent="0.25">
      <c r="A4792">
        <v>2023</v>
      </c>
      <c r="B4792" t="s">
        <v>12234</v>
      </c>
      <c r="C4792" t="s">
        <v>12235</v>
      </c>
      <c r="D4792" t="s">
        <v>19</v>
      </c>
      <c r="E4792" t="s">
        <v>20</v>
      </c>
      <c r="F4792" t="str">
        <f>"43605"</f>
        <v>43605</v>
      </c>
      <c r="G4792" t="str">
        <f>"Je06132023"</f>
        <v>Je06132023</v>
      </c>
      <c r="H4792" s="2">
        <f>80</f>
        <v>80</v>
      </c>
      <c r="I4792" t="s">
        <v>15</v>
      </c>
      <c r="J4792" t="s">
        <v>16</v>
      </c>
      <c r="K4792" t="str">
        <f>"60083023"</f>
        <v>60083023</v>
      </c>
    </row>
    <row r="4793" spans="1:11" x14ac:dyDescent="0.25">
      <c r="A4793">
        <v>2023</v>
      </c>
      <c r="B4793" t="s">
        <v>12234</v>
      </c>
      <c r="C4793" t="s">
        <v>12235</v>
      </c>
      <c r="D4793" t="s">
        <v>19</v>
      </c>
      <c r="E4793" t="s">
        <v>20</v>
      </c>
      <c r="F4793" t="str">
        <f>"43605-2345"</f>
        <v>43605-2345</v>
      </c>
      <c r="G4793" t="str">
        <f>"Je10162023"</f>
        <v>Je10162023</v>
      </c>
      <c r="H4793" s="2">
        <f>96</f>
        <v>96</v>
      </c>
      <c r="I4793" t="s">
        <v>15</v>
      </c>
      <c r="J4793" t="s">
        <v>93</v>
      </c>
      <c r="K4793" t="str">
        <f>"60089076"</f>
        <v>60089076</v>
      </c>
    </row>
    <row r="4794" spans="1:11" x14ac:dyDescent="0.25">
      <c r="A4794">
        <v>2023</v>
      </c>
      <c r="B4794" t="s">
        <v>12236</v>
      </c>
      <c r="C4794" t="s">
        <v>12237</v>
      </c>
      <c r="D4794" t="s">
        <v>19</v>
      </c>
      <c r="E4794" t="s">
        <v>20</v>
      </c>
      <c r="F4794" t="str">
        <f>"43623"</f>
        <v>43623</v>
      </c>
      <c r="G4794" t="str">
        <f>"638581"</f>
        <v>638581</v>
      </c>
      <c r="H4794" s="2">
        <f>32.35</f>
        <v>32.35</v>
      </c>
      <c r="I4794" t="s">
        <v>27</v>
      </c>
      <c r="J4794" t="s">
        <v>61</v>
      </c>
      <c r="K4794" t="str">
        <f>"333795"</f>
        <v>333795</v>
      </c>
    </row>
    <row r="4795" spans="1:11" x14ac:dyDescent="0.25">
      <c r="A4795">
        <v>2023</v>
      </c>
      <c r="B4795" t="s">
        <v>12242</v>
      </c>
      <c r="C4795" t="s">
        <v>12243</v>
      </c>
      <c r="D4795" t="s">
        <v>7913</v>
      </c>
      <c r="E4795" t="s">
        <v>20</v>
      </c>
      <c r="F4795" t="str">
        <f>"43420"</f>
        <v>43420</v>
      </c>
      <c r="G4795" t="str">
        <f>"632482"</f>
        <v>632482</v>
      </c>
      <c r="H4795" s="2">
        <f>17.18</f>
        <v>17.18</v>
      </c>
      <c r="I4795" t="s">
        <v>27</v>
      </c>
      <c r="J4795" t="s">
        <v>157</v>
      </c>
      <c r="K4795" t="str">
        <f>"522097"</f>
        <v>522097</v>
      </c>
    </row>
    <row r="4796" spans="1:11" x14ac:dyDescent="0.25">
      <c r="A4796">
        <v>2023</v>
      </c>
      <c r="B4796" t="s">
        <v>12244</v>
      </c>
      <c r="C4796" t="s">
        <v>2634</v>
      </c>
      <c r="D4796" t="s">
        <v>19</v>
      </c>
      <c r="E4796" t="s">
        <v>20</v>
      </c>
      <c r="F4796" t="str">
        <f>"43615"</f>
        <v>43615</v>
      </c>
      <c r="G4796" t="str">
        <f>"632482"</f>
        <v>632482</v>
      </c>
      <c r="H4796" s="2">
        <f>17.18</f>
        <v>17.18</v>
      </c>
      <c r="I4796" t="s">
        <v>27</v>
      </c>
      <c r="J4796" t="s">
        <v>157</v>
      </c>
      <c r="K4796" t="str">
        <f>"522098"</f>
        <v>522098</v>
      </c>
    </row>
    <row r="4797" spans="1:11" x14ac:dyDescent="0.25">
      <c r="A4797">
        <v>2023</v>
      </c>
      <c r="B4797" t="s">
        <v>12245</v>
      </c>
      <c r="C4797" t="s">
        <v>12246</v>
      </c>
      <c r="D4797" t="s">
        <v>19</v>
      </c>
      <c r="E4797" t="s">
        <v>20</v>
      </c>
      <c r="F4797" t="str">
        <f>"43611"</f>
        <v>43611</v>
      </c>
      <c r="G4797" t="str">
        <f>"632482"</f>
        <v>632482</v>
      </c>
      <c r="H4797" s="2">
        <f>17.18</f>
        <v>17.18</v>
      </c>
      <c r="I4797" t="s">
        <v>27</v>
      </c>
      <c r="J4797" t="s">
        <v>157</v>
      </c>
      <c r="K4797" t="str">
        <f>"522099"</f>
        <v>522099</v>
      </c>
    </row>
    <row r="4798" spans="1:11" x14ac:dyDescent="0.25">
      <c r="A4798">
        <v>2023</v>
      </c>
      <c r="B4798" t="s">
        <v>12247</v>
      </c>
      <c r="C4798" t="s">
        <v>12248</v>
      </c>
      <c r="D4798" t="s">
        <v>19</v>
      </c>
      <c r="E4798" t="s">
        <v>20</v>
      </c>
      <c r="F4798" t="str">
        <f>"43615"</f>
        <v>43615</v>
      </c>
      <c r="G4798" t="str">
        <f>"632482"</f>
        <v>632482</v>
      </c>
      <c r="H4798" s="2">
        <f>81</f>
        <v>81</v>
      </c>
      <c r="I4798" t="s">
        <v>27</v>
      </c>
      <c r="J4798" t="s">
        <v>157</v>
      </c>
      <c r="K4798" t="str">
        <f>"522460"</f>
        <v>522460</v>
      </c>
    </row>
    <row r="4799" spans="1:11" x14ac:dyDescent="0.25">
      <c r="A4799">
        <v>2023</v>
      </c>
      <c r="B4799" t="s">
        <v>12249</v>
      </c>
      <c r="C4799" t="s">
        <v>12250</v>
      </c>
      <c r="D4799" t="s">
        <v>19</v>
      </c>
      <c r="E4799" t="s">
        <v>20</v>
      </c>
      <c r="F4799" t="str">
        <f>"43608"</f>
        <v>43608</v>
      </c>
      <c r="G4799" t="str">
        <f>"Je12142023"</f>
        <v>Je12142023</v>
      </c>
      <c r="H4799" s="2">
        <f>62.17</f>
        <v>62.17</v>
      </c>
      <c r="I4799" t="s">
        <v>15</v>
      </c>
      <c r="J4799" t="s">
        <v>176</v>
      </c>
      <c r="K4799" t="str">
        <f>"60096363"</f>
        <v>60096363</v>
      </c>
    </row>
    <row r="4800" spans="1:11" x14ac:dyDescent="0.25">
      <c r="A4800">
        <v>2023</v>
      </c>
      <c r="B4800" t="s">
        <v>12266</v>
      </c>
      <c r="C4800" t="s">
        <v>12267</v>
      </c>
      <c r="D4800" t="s">
        <v>19</v>
      </c>
      <c r="E4800" t="s">
        <v>20</v>
      </c>
      <c r="F4800" t="str">
        <f>"43614"</f>
        <v>43614</v>
      </c>
      <c r="G4800" t="str">
        <f>"589332"</f>
        <v>589332</v>
      </c>
      <c r="H4800" s="2">
        <f>20</f>
        <v>20</v>
      </c>
      <c r="I4800" t="s">
        <v>519</v>
      </c>
      <c r="J4800" t="s">
        <v>519</v>
      </c>
      <c r="K4800" t="str">
        <f>"15816"</f>
        <v>15816</v>
      </c>
    </row>
    <row r="4801" spans="1:11" x14ac:dyDescent="0.25">
      <c r="A4801">
        <v>2023</v>
      </c>
      <c r="B4801" t="s">
        <v>12266</v>
      </c>
      <c r="C4801" t="s">
        <v>12268</v>
      </c>
      <c r="D4801" t="s">
        <v>19</v>
      </c>
      <c r="E4801" t="s">
        <v>20</v>
      </c>
      <c r="F4801" t="str">
        <f>"43616"</f>
        <v>43616</v>
      </c>
      <c r="G4801" t="str">
        <f>"589332"</f>
        <v>589332</v>
      </c>
      <c r="H4801" s="2">
        <f>146.82</f>
        <v>146.82</v>
      </c>
      <c r="I4801" t="s">
        <v>519</v>
      </c>
      <c r="J4801" t="s">
        <v>519</v>
      </c>
      <c r="K4801" t="str">
        <f>"15866"</f>
        <v>15866</v>
      </c>
    </row>
    <row r="4802" spans="1:11" x14ac:dyDescent="0.25">
      <c r="A4802">
        <v>2023</v>
      </c>
      <c r="B4802" t="s">
        <v>12266</v>
      </c>
      <c r="C4802" t="s">
        <v>12268</v>
      </c>
      <c r="D4802" t="s">
        <v>19</v>
      </c>
      <c r="E4802" t="s">
        <v>20</v>
      </c>
      <c r="F4802" t="str">
        <f>"43616"</f>
        <v>43616</v>
      </c>
      <c r="G4802" t="str">
        <f>"589332"</f>
        <v>589332</v>
      </c>
      <c r="H4802" s="2">
        <f>7</f>
        <v>7</v>
      </c>
      <c r="I4802" t="s">
        <v>519</v>
      </c>
      <c r="J4802" t="s">
        <v>519</v>
      </c>
      <c r="K4802" t="str">
        <f>"15948"</f>
        <v>15948</v>
      </c>
    </row>
    <row r="4803" spans="1:11" x14ac:dyDescent="0.25">
      <c r="A4803">
        <v>2023</v>
      </c>
      <c r="B4803" t="s">
        <v>12284</v>
      </c>
      <c r="C4803" t="s">
        <v>12285</v>
      </c>
      <c r="D4803" t="s">
        <v>19</v>
      </c>
      <c r="E4803" t="s">
        <v>20</v>
      </c>
      <c r="F4803" t="str">
        <f>"43606"</f>
        <v>43606</v>
      </c>
      <c r="G4803" t="str">
        <f>"Je012023"</f>
        <v>Je012023</v>
      </c>
      <c r="H4803" s="2">
        <f>15</f>
        <v>15</v>
      </c>
      <c r="I4803" t="s">
        <v>15</v>
      </c>
      <c r="J4803" t="s">
        <v>397</v>
      </c>
      <c r="K4803" t="str">
        <f>"60060262"</f>
        <v>60060262</v>
      </c>
    </row>
    <row r="4804" spans="1:11" x14ac:dyDescent="0.25">
      <c r="A4804">
        <v>2023</v>
      </c>
      <c r="B4804" t="s">
        <v>12288</v>
      </c>
      <c r="C4804" t="s">
        <v>12289</v>
      </c>
      <c r="D4804" t="s">
        <v>50</v>
      </c>
      <c r="E4804" t="s">
        <v>20</v>
      </c>
      <c r="F4804" t="str">
        <f>"43560"</f>
        <v>43560</v>
      </c>
      <c r="G4804" t="str">
        <f>"Je12142023"</f>
        <v>Je12142023</v>
      </c>
      <c r="H4804" s="2">
        <f>550.48</f>
        <v>550.48</v>
      </c>
      <c r="I4804" t="s">
        <v>15</v>
      </c>
      <c r="J4804" t="s">
        <v>176</v>
      </c>
      <c r="K4804" t="str">
        <f>"60097265"</f>
        <v>60097265</v>
      </c>
    </row>
    <row r="4805" spans="1:11" x14ac:dyDescent="0.25">
      <c r="A4805">
        <v>2023</v>
      </c>
      <c r="B4805" t="s">
        <v>12295</v>
      </c>
      <c r="C4805" t="s">
        <v>12296</v>
      </c>
      <c r="D4805" t="s">
        <v>19</v>
      </c>
      <c r="E4805" t="s">
        <v>20</v>
      </c>
      <c r="F4805" t="str">
        <f>"43613"</f>
        <v>43613</v>
      </c>
      <c r="G4805" t="str">
        <f>"632482"</f>
        <v>632482</v>
      </c>
      <c r="H4805" s="2">
        <f>900</f>
        <v>900</v>
      </c>
      <c r="I4805" t="s">
        <v>27</v>
      </c>
      <c r="J4805" t="s">
        <v>157</v>
      </c>
      <c r="K4805" t="str">
        <f>"523165"</f>
        <v>523165</v>
      </c>
    </row>
    <row r="4806" spans="1:11" x14ac:dyDescent="0.25">
      <c r="A4806">
        <v>2023</v>
      </c>
      <c r="B4806" t="s">
        <v>12315</v>
      </c>
      <c r="C4806" t="s">
        <v>10639</v>
      </c>
      <c r="D4806" t="s">
        <v>19</v>
      </c>
      <c r="E4806" t="s">
        <v>20</v>
      </c>
      <c r="F4806" t="str">
        <f>"43605"</f>
        <v>43605</v>
      </c>
      <c r="G4806" t="str">
        <f>"Je012023"</f>
        <v>Je012023</v>
      </c>
      <c r="H4806" s="2">
        <f>15</f>
        <v>15</v>
      </c>
      <c r="I4806" t="s">
        <v>15</v>
      </c>
      <c r="J4806" t="s">
        <v>397</v>
      </c>
      <c r="K4806" t="str">
        <f>"60060265"</f>
        <v>60060265</v>
      </c>
    </row>
    <row r="4807" spans="1:11" x14ac:dyDescent="0.25">
      <c r="A4807">
        <v>2023</v>
      </c>
      <c r="B4807" t="s">
        <v>12315</v>
      </c>
      <c r="C4807" t="s">
        <v>10639</v>
      </c>
      <c r="D4807" t="s">
        <v>19</v>
      </c>
      <c r="E4807" t="s">
        <v>20</v>
      </c>
      <c r="F4807" t="str">
        <f>"43605"</f>
        <v>43605</v>
      </c>
      <c r="G4807" t="str">
        <f>"Je06132023"</f>
        <v>Je06132023</v>
      </c>
      <c r="H4807" s="2">
        <f>20</f>
        <v>20</v>
      </c>
      <c r="I4807" t="s">
        <v>15</v>
      </c>
      <c r="J4807" t="s">
        <v>16</v>
      </c>
      <c r="K4807" t="str">
        <f>"60082021"</f>
        <v>60082021</v>
      </c>
    </row>
    <row r="4808" spans="1:11" x14ac:dyDescent="0.25">
      <c r="A4808">
        <v>2023</v>
      </c>
      <c r="B4808" t="s">
        <v>12325</v>
      </c>
      <c r="C4808" t="s">
        <v>12326</v>
      </c>
      <c r="D4808" t="s">
        <v>2715</v>
      </c>
      <c r="E4808" t="s">
        <v>20</v>
      </c>
      <c r="F4808" t="str">
        <f>"43450"</f>
        <v>43450</v>
      </c>
      <c r="G4808" t="str">
        <f>"632482"</f>
        <v>632482</v>
      </c>
      <c r="H4808" s="2">
        <f>17.18</f>
        <v>17.18</v>
      </c>
      <c r="I4808" t="s">
        <v>27</v>
      </c>
      <c r="J4808" t="s">
        <v>157</v>
      </c>
      <c r="K4808" t="str">
        <f>"522103"</f>
        <v>522103</v>
      </c>
    </row>
    <row r="4809" spans="1:11" x14ac:dyDescent="0.25">
      <c r="A4809">
        <v>2023</v>
      </c>
      <c r="B4809" t="s">
        <v>12327</v>
      </c>
      <c r="C4809" t="s">
        <v>12328</v>
      </c>
      <c r="D4809" t="s">
        <v>12329</v>
      </c>
      <c r="E4809" t="s">
        <v>12095</v>
      </c>
      <c r="F4809" t="str">
        <f>"08057"</f>
        <v>08057</v>
      </c>
      <c r="G4809" t="str">
        <f>"632514"</f>
        <v>632514</v>
      </c>
      <c r="H4809" s="2">
        <f>32.28</f>
        <v>32.28</v>
      </c>
      <c r="I4809" t="s">
        <v>27</v>
      </c>
      <c r="J4809" t="s">
        <v>195</v>
      </c>
      <c r="K4809" t="str">
        <f>"22023851"</f>
        <v>22023851</v>
      </c>
    </row>
    <row r="4810" spans="1:11" x14ac:dyDescent="0.25">
      <c r="A4810">
        <v>2023</v>
      </c>
      <c r="B4810" t="s">
        <v>12334</v>
      </c>
      <c r="C4810" t="s">
        <v>12335</v>
      </c>
      <c r="D4810" t="s">
        <v>58</v>
      </c>
      <c r="E4810" t="s">
        <v>20</v>
      </c>
      <c r="F4810" t="str">
        <f>"43616-3405"</f>
        <v>43616-3405</v>
      </c>
      <c r="G4810" t="str">
        <f>"637573"</f>
        <v>637573</v>
      </c>
      <c r="H4810" s="2">
        <f>10</f>
        <v>10</v>
      </c>
      <c r="I4810" t="s">
        <v>27</v>
      </c>
      <c r="J4810" t="s">
        <v>61</v>
      </c>
      <c r="K4810" t="str">
        <f>"120832"</f>
        <v>120832</v>
      </c>
    </row>
    <row r="4811" spans="1:11" x14ac:dyDescent="0.25">
      <c r="A4811">
        <v>2023</v>
      </c>
      <c r="B4811" t="s">
        <v>12338</v>
      </c>
      <c r="C4811" t="s">
        <v>12339</v>
      </c>
      <c r="D4811" t="s">
        <v>19</v>
      </c>
      <c r="E4811" t="s">
        <v>20</v>
      </c>
      <c r="F4811" t="str">
        <f>"43614-1100"</f>
        <v>43614-1100</v>
      </c>
      <c r="G4811" t="str">
        <f>"637573"</f>
        <v>637573</v>
      </c>
      <c r="H4811" s="2">
        <f>10</f>
        <v>10</v>
      </c>
      <c r="I4811" t="s">
        <v>27</v>
      </c>
      <c r="J4811" t="s">
        <v>61</v>
      </c>
      <c r="K4811" t="str">
        <f>"119143"</f>
        <v>119143</v>
      </c>
    </row>
    <row r="4812" spans="1:11" x14ac:dyDescent="0.25">
      <c r="A4812">
        <v>2023</v>
      </c>
      <c r="B4812" t="s">
        <v>12342</v>
      </c>
      <c r="C4812" t="s">
        <v>12343</v>
      </c>
      <c r="D4812" t="s">
        <v>19</v>
      </c>
      <c r="E4812" t="s">
        <v>20</v>
      </c>
      <c r="F4812" t="str">
        <f>"43620"</f>
        <v>43620</v>
      </c>
      <c r="G4812" t="str">
        <f>"638581"</f>
        <v>638581</v>
      </c>
      <c r="H4812" s="2">
        <f>11.14</f>
        <v>11.14</v>
      </c>
      <c r="I4812" t="s">
        <v>27</v>
      </c>
      <c r="J4812" t="s">
        <v>61</v>
      </c>
      <c r="K4812" t="str">
        <f>"334221"</f>
        <v>334221</v>
      </c>
    </row>
    <row r="4813" spans="1:11" x14ac:dyDescent="0.25">
      <c r="A4813">
        <v>2023</v>
      </c>
      <c r="B4813" t="s">
        <v>12354</v>
      </c>
      <c r="C4813" t="s">
        <v>12355</v>
      </c>
      <c r="D4813" t="s">
        <v>19</v>
      </c>
      <c r="E4813" t="s">
        <v>20</v>
      </c>
      <c r="F4813" t="str">
        <f>"43623"</f>
        <v>43623</v>
      </c>
      <c r="G4813" t="str">
        <f>"589332"</f>
        <v>589332</v>
      </c>
      <c r="H4813" s="2">
        <f>20</f>
        <v>20</v>
      </c>
      <c r="I4813" t="s">
        <v>519</v>
      </c>
      <c r="J4813" t="s">
        <v>519</v>
      </c>
      <c r="K4813" t="str">
        <f>"14905"</f>
        <v>14905</v>
      </c>
    </row>
    <row r="4814" spans="1:11" x14ac:dyDescent="0.25">
      <c r="A4814">
        <v>2023</v>
      </c>
      <c r="B4814" t="s">
        <v>12362</v>
      </c>
      <c r="C4814" t="s">
        <v>12363</v>
      </c>
      <c r="D4814" t="s">
        <v>19</v>
      </c>
      <c r="E4814" t="s">
        <v>20</v>
      </c>
      <c r="F4814" t="str">
        <f>"43606"</f>
        <v>43606</v>
      </c>
      <c r="G4814" t="str">
        <f>"Je10162023"</f>
        <v>Je10162023</v>
      </c>
      <c r="H4814" s="2">
        <f>140</f>
        <v>140</v>
      </c>
      <c r="I4814" t="s">
        <v>15</v>
      </c>
      <c r="J4814" t="s">
        <v>93</v>
      </c>
      <c r="K4814" t="str">
        <f>"60091585"</f>
        <v>60091585</v>
      </c>
    </row>
    <row r="4815" spans="1:11" x14ac:dyDescent="0.25">
      <c r="A4815">
        <v>2023</v>
      </c>
      <c r="B4815" t="s">
        <v>12362</v>
      </c>
      <c r="C4815" t="s">
        <v>12363</v>
      </c>
      <c r="D4815" t="s">
        <v>19</v>
      </c>
      <c r="E4815" t="s">
        <v>20</v>
      </c>
      <c r="F4815" t="str">
        <f>"43606"</f>
        <v>43606</v>
      </c>
      <c r="G4815" t="str">
        <f>"Je10162023"</f>
        <v>Je10162023</v>
      </c>
      <c r="H4815" s="2">
        <f>125</f>
        <v>125</v>
      </c>
      <c r="I4815" t="s">
        <v>15</v>
      </c>
      <c r="J4815" t="s">
        <v>93</v>
      </c>
      <c r="K4815" t="str">
        <f>"60090112"</f>
        <v>60090112</v>
      </c>
    </row>
    <row r="4816" spans="1:11" x14ac:dyDescent="0.25">
      <c r="A4816">
        <v>2023</v>
      </c>
      <c r="B4816" t="s">
        <v>12372</v>
      </c>
      <c r="C4816" t="s">
        <v>12373</v>
      </c>
      <c r="D4816" t="s">
        <v>19</v>
      </c>
      <c r="E4816" t="s">
        <v>20</v>
      </c>
      <c r="F4816" t="str">
        <f>"43604"</f>
        <v>43604</v>
      </c>
      <c r="G4816" t="str">
        <f>"632483"</f>
        <v>632483</v>
      </c>
      <c r="H4816" s="2">
        <f>6.03</f>
        <v>6.03</v>
      </c>
      <c r="I4816" t="s">
        <v>27</v>
      </c>
      <c r="J4816" t="s">
        <v>108</v>
      </c>
      <c r="K4816" t="str">
        <f>"39773"</f>
        <v>39773</v>
      </c>
    </row>
    <row r="4817" spans="1:11" x14ac:dyDescent="0.25">
      <c r="A4817">
        <v>2023</v>
      </c>
      <c r="B4817" t="s">
        <v>12374</v>
      </c>
      <c r="C4817" t="s">
        <v>12375</v>
      </c>
      <c r="D4817" t="s">
        <v>1074</v>
      </c>
      <c r="E4817" t="s">
        <v>20</v>
      </c>
      <c r="F4817" t="str">
        <f>"43551"</f>
        <v>43551</v>
      </c>
      <c r="G4817" t="str">
        <f>"632482"</f>
        <v>632482</v>
      </c>
      <c r="H4817" s="2">
        <f>321</f>
        <v>321</v>
      </c>
      <c r="I4817" t="s">
        <v>27</v>
      </c>
      <c r="J4817" t="s">
        <v>157</v>
      </c>
      <c r="K4817" t="str">
        <f>"521604"</f>
        <v>521604</v>
      </c>
    </row>
    <row r="4818" spans="1:11" x14ac:dyDescent="0.25">
      <c r="A4818">
        <v>2023</v>
      </c>
      <c r="B4818" t="s">
        <v>12381</v>
      </c>
      <c r="C4818" t="s">
        <v>12382</v>
      </c>
      <c r="D4818" t="s">
        <v>19</v>
      </c>
      <c r="E4818" t="s">
        <v>20</v>
      </c>
      <c r="F4818" t="str">
        <f>"43614"</f>
        <v>43614</v>
      </c>
      <c r="G4818" t="str">
        <f>"Je12142023"</f>
        <v>Je12142023</v>
      </c>
      <c r="H4818" s="2">
        <f>35</f>
        <v>35</v>
      </c>
      <c r="I4818" t="s">
        <v>15</v>
      </c>
      <c r="J4818" t="s">
        <v>176</v>
      </c>
      <c r="K4818" t="str">
        <f>"60104564"</f>
        <v>60104564</v>
      </c>
    </row>
    <row r="4819" spans="1:11" x14ac:dyDescent="0.25">
      <c r="A4819">
        <v>2023</v>
      </c>
      <c r="B4819" t="s">
        <v>12387</v>
      </c>
      <c r="C4819" t="s">
        <v>12388</v>
      </c>
      <c r="D4819" t="s">
        <v>19</v>
      </c>
      <c r="E4819" t="s">
        <v>20</v>
      </c>
      <c r="F4819" t="str">
        <f>"43615-5964"</f>
        <v>43615-5964</v>
      </c>
      <c r="G4819" t="str">
        <f>"Je012023"</f>
        <v>Je012023</v>
      </c>
      <c r="H4819" s="2">
        <f>4432.71</f>
        <v>4432.71</v>
      </c>
      <c r="I4819" t="s">
        <v>15</v>
      </c>
      <c r="J4819" t="s">
        <v>397</v>
      </c>
      <c r="K4819" t="str">
        <f>"60068263"</f>
        <v>60068263</v>
      </c>
    </row>
    <row r="4820" spans="1:11" x14ac:dyDescent="0.25">
      <c r="A4820">
        <v>2023</v>
      </c>
      <c r="B4820" t="s">
        <v>12389</v>
      </c>
      <c r="C4820" t="s">
        <v>12390</v>
      </c>
      <c r="D4820" t="s">
        <v>19</v>
      </c>
      <c r="E4820" t="s">
        <v>20</v>
      </c>
      <c r="F4820" t="str">
        <f t="shared" ref="F4820:F4826" si="161">"43615"</f>
        <v>43615</v>
      </c>
      <c r="G4820" t="str">
        <f t="shared" ref="G4820:G4826" si="162">"632482"</f>
        <v>632482</v>
      </c>
      <c r="H4820" s="2">
        <f>4.55</f>
        <v>4.55</v>
      </c>
      <c r="I4820" t="s">
        <v>27</v>
      </c>
      <c r="J4820" t="s">
        <v>157</v>
      </c>
      <c r="K4820" t="str">
        <f>"521416"</f>
        <v>521416</v>
      </c>
    </row>
    <row r="4821" spans="1:11" x14ac:dyDescent="0.25">
      <c r="A4821">
        <v>2023</v>
      </c>
      <c r="B4821" t="s">
        <v>12389</v>
      </c>
      <c r="C4821" t="s">
        <v>12390</v>
      </c>
      <c r="D4821" t="s">
        <v>19</v>
      </c>
      <c r="E4821" t="s">
        <v>20</v>
      </c>
      <c r="F4821" t="str">
        <f t="shared" si="161"/>
        <v>43615</v>
      </c>
      <c r="G4821" t="str">
        <f t="shared" si="162"/>
        <v>632482</v>
      </c>
      <c r="H4821" s="2">
        <f>4.55</f>
        <v>4.55</v>
      </c>
      <c r="I4821" t="s">
        <v>27</v>
      </c>
      <c r="J4821" t="s">
        <v>157</v>
      </c>
      <c r="K4821" t="str">
        <f>"521540"</f>
        <v>521540</v>
      </c>
    </row>
    <row r="4822" spans="1:11" x14ac:dyDescent="0.25">
      <c r="A4822">
        <v>2023</v>
      </c>
      <c r="B4822" t="s">
        <v>12389</v>
      </c>
      <c r="C4822" t="s">
        <v>12390</v>
      </c>
      <c r="D4822" t="s">
        <v>19</v>
      </c>
      <c r="E4822" t="s">
        <v>20</v>
      </c>
      <c r="F4822" t="str">
        <f t="shared" si="161"/>
        <v>43615</v>
      </c>
      <c r="G4822" t="str">
        <f t="shared" si="162"/>
        <v>632482</v>
      </c>
      <c r="H4822" s="2">
        <f>1.82</f>
        <v>1.82</v>
      </c>
      <c r="I4822" t="s">
        <v>27</v>
      </c>
      <c r="J4822" t="s">
        <v>157</v>
      </c>
      <c r="K4822" t="str">
        <f>"521853"</f>
        <v>521853</v>
      </c>
    </row>
    <row r="4823" spans="1:11" x14ac:dyDescent="0.25">
      <c r="A4823">
        <v>2023</v>
      </c>
      <c r="B4823" t="s">
        <v>12389</v>
      </c>
      <c r="C4823" t="s">
        <v>12390</v>
      </c>
      <c r="D4823" t="s">
        <v>19</v>
      </c>
      <c r="E4823" t="s">
        <v>20</v>
      </c>
      <c r="F4823" t="str">
        <f t="shared" si="161"/>
        <v>43615</v>
      </c>
      <c r="G4823" t="str">
        <f t="shared" si="162"/>
        <v>632482</v>
      </c>
      <c r="H4823" s="2">
        <f>4.55</f>
        <v>4.55</v>
      </c>
      <c r="I4823" t="s">
        <v>27</v>
      </c>
      <c r="J4823" t="s">
        <v>157</v>
      </c>
      <c r="K4823" t="str">
        <f>"520602"</f>
        <v>520602</v>
      </c>
    </row>
    <row r="4824" spans="1:11" x14ac:dyDescent="0.25">
      <c r="A4824">
        <v>2023</v>
      </c>
      <c r="B4824" t="s">
        <v>12389</v>
      </c>
      <c r="C4824" t="s">
        <v>12390</v>
      </c>
      <c r="D4824" t="s">
        <v>19</v>
      </c>
      <c r="E4824" t="s">
        <v>20</v>
      </c>
      <c r="F4824" t="str">
        <f t="shared" si="161"/>
        <v>43615</v>
      </c>
      <c r="G4824" t="str">
        <f t="shared" si="162"/>
        <v>632482</v>
      </c>
      <c r="H4824" s="2">
        <f>2.27</f>
        <v>2.27</v>
      </c>
      <c r="I4824" t="s">
        <v>27</v>
      </c>
      <c r="J4824" t="s">
        <v>157</v>
      </c>
      <c r="K4824" t="str">
        <f>"521076"</f>
        <v>521076</v>
      </c>
    </row>
    <row r="4825" spans="1:11" x14ac:dyDescent="0.25">
      <c r="A4825">
        <v>2023</v>
      </c>
      <c r="B4825" t="s">
        <v>12389</v>
      </c>
      <c r="C4825" t="s">
        <v>12390</v>
      </c>
      <c r="D4825" t="s">
        <v>19</v>
      </c>
      <c r="E4825" t="s">
        <v>20</v>
      </c>
      <c r="F4825" t="str">
        <f t="shared" si="161"/>
        <v>43615</v>
      </c>
      <c r="G4825" t="str">
        <f t="shared" si="162"/>
        <v>632482</v>
      </c>
      <c r="H4825" s="2">
        <f>4.55</f>
        <v>4.55</v>
      </c>
      <c r="I4825" t="s">
        <v>27</v>
      </c>
      <c r="J4825" t="s">
        <v>157</v>
      </c>
      <c r="K4825" t="str">
        <f>"520823"</f>
        <v>520823</v>
      </c>
    </row>
    <row r="4826" spans="1:11" x14ac:dyDescent="0.25">
      <c r="A4826">
        <v>2023</v>
      </c>
      <c r="B4826" t="s">
        <v>12389</v>
      </c>
      <c r="C4826" t="s">
        <v>12390</v>
      </c>
      <c r="D4826" t="s">
        <v>19</v>
      </c>
      <c r="E4826" t="s">
        <v>20</v>
      </c>
      <c r="F4826" t="str">
        <f t="shared" si="161"/>
        <v>43615</v>
      </c>
      <c r="G4826" t="str">
        <f t="shared" si="162"/>
        <v>632482</v>
      </c>
      <c r="H4826" s="2">
        <f>2.27</f>
        <v>2.27</v>
      </c>
      <c r="I4826" t="s">
        <v>27</v>
      </c>
      <c r="J4826" t="s">
        <v>157</v>
      </c>
      <c r="K4826" t="str">
        <f>"522258"</f>
        <v>522258</v>
      </c>
    </row>
    <row r="4827" spans="1:11" x14ac:dyDescent="0.25">
      <c r="A4827">
        <v>2023</v>
      </c>
      <c r="B4827" t="s">
        <v>12397</v>
      </c>
      <c r="C4827" t="s">
        <v>12398</v>
      </c>
      <c r="D4827" t="s">
        <v>125</v>
      </c>
      <c r="E4827" t="s">
        <v>20</v>
      </c>
      <c r="F4827" t="str">
        <f>"43537"</f>
        <v>43537</v>
      </c>
      <c r="G4827" t="str">
        <f>"Je012023"</f>
        <v>Je012023</v>
      </c>
      <c r="H4827" s="2">
        <f>15</f>
        <v>15</v>
      </c>
      <c r="I4827" t="s">
        <v>15</v>
      </c>
      <c r="J4827" t="s">
        <v>397</v>
      </c>
      <c r="K4827" t="str">
        <f>"60060271"</f>
        <v>60060271</v>
      </c>
    </row>
    <row r="4828" spans="1:11" x14ac:dyDescent="0.25">
      <c r="A4828">
        <v>2023</v>
      </c>
      <c r="B4828" t="s">
        <v>12415</v>
      </c>
      <c r="C4828" t="s">
        <v>12416</v>
      </c>
      <c r="D4828" t="s">
        <v>125</v>
      </c>
      <c r="E4828" t="s">
        <v>20</v>
      </c>
      <c r="F4828" t="str">
        <f>"43537-3014"</f>
        <v>43537-3014</v>
      </c>
      <c r="G4828" t="str">
        <f>"637573"</f>
        <v>637573</v>
      </c>
      <c r="H4828" s="2">
        <f>10</f>
        <v>10</v>
      </c>
      <c r="I4828" t="s">
        <v>27</v>
      </c>
      <c r="J4828" t="s">
        <v>61</v>
      </c>
      <c r="K4828" t="str">
        <f>"120611"</f>
        <v>120611</v>
      </c>
    </row>
    <row r="4829" spans="1:11" x14ac:dyDescent="0.25">
      <c r="A4829">
        <v>2023</v>
      </c>
      <c r="B4829" t="s">
        <v>12452</v>
      </c>
      <c r="C4829" t="s">
        <v>12453</v>
      </c>
      <c r="D4829" t="s">
        <v>19</v>
      </c>
      <c r="E4829" t="s">
        <v>20</v>
      </c>
      <c r="F4829" t="str">
        <f>"43605-2646"</f>
        <v>43605-2646</v>
      </c>
      <c r="G4829" t="str">
        <f>"637573"</f>
        <v>637573</v>
      </c>
      <c r="H4829" s="2">
        <f>20</f>
        <v>20</v>
      </c>
      <c r="I4829" t="s">
        <v>27</v>
      </c>
      <c r="J4829" t="s">
        <v>61</v>
      </c>
      <c r="K4829" t="str">
        <f>"119916"</f>
        <v>119916</v>
      </c>
    </row>
    <row r="4830" spans="1:11" x14ac:dyDescent="0.25">
      <c r="A4830">
        <v>2023</v>
      </c>
      <c r="B4830" t="s">
        <v>12454</v>
      </c>
      <c r="C4830" t="s">
        <v>12455</v>
      </c>
      <c r="D4830" t="s">
        <v>422</v>
      </c>
      <c r="E4830" t="s">
        <v>20</v>
      </c>
      <c r="F4830" t="str">
        <f>"44114"</f>
        <v>44114</v>
      </c>
      <c r="G4830" t="str">
        <f>"632483"</f>
        <v>632483</v>
      </c>
      <c r="H4830" s="2">
        <f>20</f>
        <v>20</v>
      </c>
      <c r="I4830" t="s">
        <v>27</v>
      </c>
      <c r="J4830" t="s">
        <v>108</v>
      </c>
      <c r="K4830" t="str">
        <f>"40832"</f>
        <v>40832</v>
      </c>
    </row>
    <row r="4831" spans="1:11" x14ac:dyDescent="0.25">
      <c r="A4831">
        <v>2023</v>
      </c>
      <c r="B4831" t="s">
        <v>12465</v>
      </c>
      <c r="C4831" t="s">
        <v>12466</v>
      </c>
      <c r="D4831" t="s">
        <v>19</v>
      </c>
      <c r="E4831" t="s">
        <v>20</v>
      </c>
      <c r="F4831" t="str">
        <f>"43607-3327"</f>
        <v>43607-3327</v>
      </c>
      <c r="G4831" t="str">
        <f>"637573"</f>
        <v>637573</v>
      </c>
      <c r="H4831" s="2">
        <f>20</f>
        <v>20</v>
      </c>
      <c r="I4831" t="s">
        <v>27</v>
      </c>
      <c r="J4831" t="s">
        <v>61</v>
      </c>
      <c r="K4831" t="str">
        <f>"119463"</f>
        <v>119463</v>
      </c>
    </row>
    <row r="4832" spans="1:11" x14ac:dyDescent="0.25">
      <c r="A4832">
        <v>2023</v>
      </c>
      <c r="B4832" t="s">
        <v>12484</v>
      </c>
      <c r="C4832" t="s">
        <v>12485</v>
      </c>
      <c r="D4832" t="s">
        <v>19</v>
      </c>
      <c r="E4832" t="s">
        <v>20</v>
      </c>
      <c r="F4832" t="str">
        <f>"43615"</f>
        <v>43615</v>
      </c>
      <c r="G4832" t="str">
        <f>"Je12142023"</f>
        <v>Je12142023</v>
      </c>
      <c r="H4832" s="2">
        <f>725.36</f>
        <v>725.36</v>
      </c>
      <c r="I4832" t="s">
        <v>15</v>
      </c>
      <c r="J4832" t="s">
        <v>176</v>
      </c>
      <c r="K4832" t="str">
        <f>"60098376"</f>
        <v>60098376</v>
      </c>
    </row>
    <row r="4833" spans="1:11" x14ac:dyDescent="0.25">
      <c r="A4833">
        <v>2023</v>
      </c>
      <c r="B4833" t="s">
        <v>12488</v>
      </c>
      <c r="C4833" t="s">
        <v>12489</v>
      </c>
      <c r="D4833" t="s">
        <v>58</v>
      </c>
      <c r="E4833" t="s">
        <v>20</v>
      </c>
      <c r="F4833" t="str">
        <f>"43616"</f>
        <v>43616</v>
      </c>
      <c r="G4833" t="str">
        <f>"Je06132023"</f>
        <v>Je06132023</v>
      </c>
      <c r="H4833" s="2">
        <f>49.07</f>
        <v>49.07</v>
      </c>
      <c r="I4833" t="s">
        <v>15</v>
      </c>
      <c r="J4833" t="s">
        <v>16</v>
      </c>
      <c r="K4833" t="str">
        <f>"60080029"</f>
        <v>60080029</v>
      </c>
    </row>
    <row r="4834" spans="1:11" x14ac:dyDescent="0.25">
      <c r="A4834">
        <v>2023</v>
      </c>
      <c r="B4834" t="s">
        <v>12492</v>
      </c>
      <c r="C4834" t="s">
        <v>12493</v>
      </c>
      <c r="D4834" t="s">
        <v>19</v>
      </c>
      <c r="E4834" t="s">
        <v>20</v>
      </c>
      <c r="F4834" t="str">
        <f>"43606-1520"</f>
        <v>43606-1520</v>
      </c>
      <c r="G4834" t="str">
        <f>"637573"</f>
        <v>637573</v>
      </c>
      <c r="H4834" s="2">
        <f>10</f>
        <v>10</v>
      </c>
      <c r="I4834" t="s">
        <v>27</v>
      </c>
      <c r="J4834" t="s">
        <v>61</v>
      </c>
      <c r="K4834" t="str">
        <f>"120446"</f>
        <v>120446</v>
      </c>
    </row>
    <row r="4835" spans="1:11" x14ac:dyDescent="0.25">
      <c r="A4835">
        <v>2023</v>
      </c>
      <c r="B4835" t="s">
        <v>12505</v>
      </c>
      <c r="C4835" t="s">
        <v>12506</v>
      </c>
      <c r="D4835" t="s">
        <v>19</v>
      </c>
      <c r="E4835" t="s">
        <v>20</v>
      </c>
      <c r="F4835" t="str">
        <f>"43606"</f>
        <v>43606</v>
      </c>
      <c r="G4835" t="str">
        <f>"Je012023"</f>
        <v>Je012023</v>
      </c>
      <c r="H4835" s="2">
        <f>150</f>
        <v>150</v>
      </c>
      <c r="I4835" t="s">
        <v>15</v>
      </c>
      <c r="J4835" t="s">
        <v>397</v>
      </c>
      <c r="K4835" t="str">
        <f>"60065281"</f>
        <v>60065281</v>
      </c>
    </row>
    <row r="4836" spans="1:11" x14ac:dyDescent="0.25">
      <c r="A4836">
        <v>2023</v>
      </c>
      <c r="B4836" t="s">
        <v>12507</v>
      </c>
      <c r="C4836" t="s">
        <v>12508</v>
      </c>
      <c r="D4836" t="s">
        <v>19</v>
      </c>
      <c r="E4836" t="s">
        <v>20</v>
      </c>
      <c r="F4836" t="str">
        <f>"43620"</f>
        <v>43620</v>
      </c>
      <c r="G4836" t="str">
        <f>"Je10162023"</f>
        <v>Je10162023</v>
      </c>
      <c r="H4836" s="2">
        <f>125</f>
        <v>125</v>
      </c>
      <c r="I4836" t="s">
        <v>15</v>
      </c>
      <c r="J4836" t="s">
        <v>93</v>
      </c>
      <c r="K4836" t="str">
        <f>"60090147"</f>
        <v>60090147</v>
      </c>
    </row>
    <row r="4837" spans="1:11" x14ac:dyDescent="0.25">
      <c r="A4837">
        <v>2023</v>
      </c>
      <c r="B4837" t="s">
        <v>12509</v>
      </c>
      <c r="C4837" t="s">
        <v>12510</v>
      </c>
      <c r="D4837" t="s">
        <v>19</v>
      </c>
      <c r="E4837" t="s">
        <v>20</v>
      </c>
      <c r="F4837" t="str">
        <f>"43615"</f>
        <v>43615</v>
      </c>
      <c r="G4837" t="str">
        <f>"632482"</f>
        <v>632482</v>
      </c>
      <c r="H4837" s="2">
        <f>25</f>
        <v>25</v>
      </c>
      <c r="I4837" t="s">
        <v>27</v>
      </c>
      <c r="J4837" t="s">
        <v>157</v>
      </c>
      <c r="K4837" t="str">
        <f>"522199"</f>
        <v>522199</v>
      </c>
    </row>
    <row r="4838" spans="1:11" x14ac:dyDescent="0.25">
      <c r="A4838">
        <v>2023</v>
      </c>
      <c r="B4838" t="s">
        <v>12515</v>
      </c>
      <c r="C4838" t="s">
        <v>2634</v>
      </c>
      <c r="D4838" t="s">
        <v>19</v>
      </c>
      <c r="E4838" t="s">
        <v>20</v>
      </c>
      <c r="F4838" t="str">
        <f>"43615"</f>
        <v>43615</v>
      </c>
      <c r="G4838" t="str">
        <f>"632482"</f>
        <v>632482</v>
      </c>
      <c r="H4838" s="2">
        <f>17.18</f>
        <v>17.18</v>
      </c>
      <c r="I4838" t="s">
        <v>27</v>
      </c>
      <c r="J4838" t="s">
        <v>157</v>
      </c>
      <c r="K4838" t="str">
        <f>"522104"</f>
        <v>522104</v>
      </c>
    </row>
    <row r="4839" spans="1:11" x14ac:dyDescent="0.25">
      <c r="A4839">
        <v>2023</v>
      </c>
      <c r="B4839" t="s">
        <v>12520</v>
      </c>
      <c r="C4839" t="s">
        <v>12521</v>
      </c>
      <c r="D4839" t="s">
        <v>58</v>
      </c>
      <c r="E4839" t="s">
        <v>20</v>
      </c>
      <c r="F4839" t="str">
        <f>"43616"</f>
        <v>43616</v>
      </c>
      <c r="G4839" t="str">
        <f>"Je12142023"</f>
        <v>Je12142023</v>
      </c>
      <c r="H4839" s="2">
        <f>20</f>
        <v>20</v>
      </c>
      <c r="I4839" t="s">
        <v>15</v>
      </c>
      <c r="J4839" t="s">
        <v>176</v>
      </c>
      <c r="K4839" t="str">
        <f>"60102170"</f>
        <v>60102170</v>
      </c>
    </row>
    <row r="4840" spans="1:11" x14ac:dyDescent="0.25">
      <c r="A4840">
        <v>2023</v>
      </c>
      <c r="B4840" t="s">
        <v>12525</v>
      </c>
      <c r="C4840" t="s">
        <v>12526</v>
      </c>
      <c r="D4840" t="s">
        <v>4390</v>
      </c>
      <c r="E4840" t="s">
        <v>14</v>
      </c>
      <c r="F4840" t="str">
        <f t="shared" ref="F4840:F4851" si="163">"48131"</f>
        <v>48131</v>
      </c>
      <c r="G4840" t="str">
        <f t="shared" ref="G4840:G4851" si="164">"632514"</f>
        <v>632514</v>
      </c>
      <c r="H4840" s="2">
        <f>1.24</f>
        <v>1.24</v>
      </c>
      <c r="I4840" t="s">
        <v>27</v>
      </c>
      <c r="J4840" t="s">
        <v>195</v>
      </c>
      <c r="K4840" t="str">
        <f>"33012071"</f>
        <v>33012071</v>
      </c>
    </row>
    <row r="4841" spans="1:11" x14ac:dyDescent="0.25">
      <c r="A4841">
        <v>2023</v>
      </c>
      <c r="B4841" t="s">
        <v>12525</v>
      </c>
      <c r="C4841" t="s">
        <v>12526</v>
      </c>
      <c r="D4841" t="s">
        <v>4390</v>
      </c>
      <c r="E4841" t="s">
        <v>14</v>
      </c>
      <c r="F4841" t="str">
        <f t="shared" si="163"/>
        <v>48131</v>
      </c>
      <c r="G4841" t="str">
        <f t="shared" si="164"/>
        <v>632514</v>
      </c>
      <c r="H4841" s="2">
        <f>2.24</f>
        <v>2.2400000000000002</v>
      </c>
      <c r="I4841" t="s">
        <v>27</v>
      </c>
      <c r="J4841" t="s">
        <v>195</v>
      </c>
      <c r="K4841" t="str">
        <f>"33012026"</f>
        <v>33012026</v>
      </c>
    </row>
    <row r="4842" spans="1:11" x14ac:dyDescent="0.25">
      <c r="A4842">
        <v>2023</v>
      </c>
      <c r="B4842" t="s">
        <v>12525</v>
      </c>
      <c r="C4842" t="s">
        <v>12526</v>
      </c>
      <c r="D4842" t="s">
        <v>4390</v>
      </c>
      <c r="E4842" t="s">
        <v>14</v>
      </c>
      <c r="F4842" t="str">
        <f t="shared" si="163"/>
        <v>48131</v>
      </c>
      <c r="G4842" t="str">
        <f t="shared" si="164"/>
        <v>632514</v>
      </c>
      <c r="H4842" s="2">
        <f>71.41</f>
        <v>71.41</v>
      </c>
      <c r="I4842" t="s">
        <v>27</v>
      </c>
      <c r="J4842" t="s">
        <v>195</v>
      </c>
      <c r="K4842" t="str">
        <f>"33011817"</f>
        <v>33011817</v>
      </c>
    </row>
    <row r="4843" spans="1:11" x14ac:dyDescent="0.25">
      <c r="A4843">
        <v>2023</v>
      </c>
      <c r="B4843" t="s">
        <v>12525</v>
      </c>
      <c r="C4843" t="s">
        <v>12526</v>
      </c>
      <c r="D4843" t="s">
        <v>4390</v>
      </c>
      <c r="E4843" t="s">
        <v>14</v>
      </c>
      <c r="F4843" t="str">
        <f t="shared" si="163"/>
        <v>48131</v>
      </c>
      <c r="G4843" t="str">
        <f t="shared" si="164"/>
        <v>632514</v>
      </c>
      <c r="H4843" s="2">
        <f>1.74</f>
        <v>1.74</v>
      </c>
      <c r="I4843" t="s">
        <v>27</v>
      </c>
      <c r="J4843" t="s">
        <v>195</v>
      </c>
      <c r="K4843" t="str">
        <f>"33011763"</f>
        <v>33011763</v>
      </c>
    </row>
    <row r="4844" spans="1:11" x14ac:dyDescent="0.25">
      <c r="A4844">
        <v>2023</v>
      </c>
      <c r="B4844" t="s">
        <v>12525</v>
      </c>
      <c r="C4844" t="s">
        <v>12526</v>
      </c>
      <c r="D4844" t="s">
        <v>4390</v>
      </c>
      <c r="E4844" t="s">
        <v>14</v>
      </c>
      <c r="F4844" t="str">
        <f t="shared" si="163"/>
        <v>48131</v>
      </c>
      <c r="G4844" t="str">
        <f t="shared" si="164"/>
        <v>632514</v>
      </c>
      <c r="H4844" s="2">
        <f>42.85</f>
        <v>42.85</v>
      </c>
      <c r="I4844" t="s">
        <v>27</v>
      </c>
      <c r="J4844" t="s">
        <v>195</v>
      </c>
      <c r="K4844" t="str">
        <f>"33011838"</f>
        <v>33011838</v>
      </c>
    </row>
    <row r="4845" spans="1:11" x14ac:dyDescent="0.25">
      <c r="A4845">
        <v>2023</v>
      </c>
      <c r="B4845" t="s">
        <v>12525</v>
      </c>
      <c r="C4845" t="s">
        <v>12526</v>
      </c>
      <c r="D4845" t="s">
        <v>4390</v>
      </c>
      <c r="E4845" t="s">
        <v>14</v>
      </c>
      <c r="F4845" t="str">
        <f t="shared" si="163"/>
        <v>48131</v>
      </c>
      <c r="G4845" t="str">
        <f t="shared" si="164"/>
        <v>632514</v>
      </c>
      <c r="H4845" s="2">
        <f>2.68</f>
        <v>2.68</v>
      </c>
      <c r="I4845" t="s">
        <v>27</v>
      </c>
      <c r="J4845" t="s">
        <v>195</v>
      </c>
      <c r="K4845" t="str">
        <f>"33011872"</f>
        <v>33011872</v>
      </c>
    </row>
    <row r="4846" spans="1:11" x14ac:dyDescent="0.25">
      <c r="A4846">
        <v>2023</v>
      </c>
      <c r="B4846" t="s">
        <v>12525</v>
      </c>
      <c r="C4846" t="s">
        <v>12526</v>
      </c>
      <c r="D4846" t="s">
        <v>4390</v>
      </c>
      <c r="E4846" t="s">
        <v>14</v>
      </c>
      <c r="F4846" t="str">
        <f t="shared" si="163"/>
        <v>48131</v>
      </c>
      <c r="G4846" t="str">
        <f t="shared" si="164"/>
        <v>632514</v>
      </c>
      <c r="H4846" s="2">
        <f>1.24</f>
        <v>1.24</v>
      </c>
      <c r="I4846" t="s">
        <v>27</v>
      </c>
      <c r="J4846" t="s">
        <v>195</v>
      </c>
      <c r="K4846" t="str">
        <f>"33011873"</f>
        <v>33011873</v>
      </c>
    </row>
    <row r="4847" spans="1:11" x14ac:dyDescent="0.25">
      <c r="A4847">
        <v>2023</v>
      </c>
      <c r="B4847" t="s">
        <v>12525</v>
      </c>
      <c r="C4847" t="s">
        <v>12526</v>
      </c>
      <c r="D4847" t="s">
        <v>4390</v>
      </c>
      <c r="E4847" t="s">
        <v>14</v>
      </c>
      <c r="F4847" t="str">
        <f t="shared" si="163"/>
        <v>48131</v>
      </c>
      <c r="G4847" t="str">
        <f t="shared" si="164"/>
        <v>632514</v>
      </c>
      <c r="H4847" s="2">
        <f>2.74</f>
        <v>2.74</v>
      </c>
      <c r="I4847" t="s">
        <v>27</v>
      </c>
      <c r="J4847" t="s">
        <v>195</v>
      </c>
      <c r="K4847" t="str">
        <f>"33011922"</f>
        <v>33011922</v>
      </c>
    </row>
    <row r="4848" spans="1:11" x14ac:dyDescent="0.25">
      <c r="A4848">
        <v>2023</v>
      </c>
      <c r="B4848" t="s">
        <v>12525</v>
      </c>
      <c r="C4848" t="s">
        <v>12526</v>
      </c>
      <c r="D4848" t="s">
        <v>4390</v>
      </c>
      <c r="E4848" t="s">
        <v>14</v>
      </c>
      <c r="F4848" t="str">
        <f t="shared" si="163"/>
        <v>48131</v>
      </c>
      <c r="G4848" t="str">
        <f t="shared" si="164"/>
        <v>632514</v>
      </c>
      <c r="H4848" s="2">
        <f>1.98</f>
        <v>1.98</v>
      </c>
      <c r="I4848" t="s">
        <v>27</v>
      </c>
      <c r="J4848" t="s">
        <v>195</v>
      </c>
      <c r="K4848" t="str">
        <f>"33011222"</f>
        <v>33011222</v>
      </c>
    </row>
    <row r="4849" spans="1:11" x14ac:dyDescent="0.25">
      <c r="A4849">
        <v>2023</v>
      </c>
      <c r="B4849" t="s">
        <v>12525</v>
      </c>
      <c r="C4849" t="s">
        <v>12526</v>
      </c>
      <c r="D4849" t="s">
        <v>4390</v>
      </c>
      <c r="E4849" t="s">
        <v>14</v>
      </c>
      <c r="F4849" t="str">
        <f t="shared" si="163"/>
        <v>48131</v>
      </c>
      <c r="G4849" t="str">
        <f t="shared" si="164"/>
        <v>632514</v>
      </c>
      <c r="H4849" s="2">
        <f>1.68</f>
        <v>1.68</v>
      </c>
      <c r="I4849" t="s">
        <v>27</v>
      </c>
      <c r="J4849" t="s">
        <v>195</v>
      </c>
      <c r="K4849" t="str">
        <f>"33011675"</f>
        <v>33011675</v>
      </c>
    </row>
    <row r="4850" spans="1:11" x14ac:dyDescent="0.25">
      <c r="A4850">
        <v>2023</v>
      </c>
      <c r="B4850" t="s">
        <v>12525</v>
      </c>
      <c r="C4850" t="s">
        <v>12526</v>
      </c>
      <c r="D4850" t="s">
        <v>4390</v>
      </c>
      <c r="E4850" t="s">
        <v>14</v>
      </c>
      <c r="F4850" t="str">
        <f t="shared" si="163"/>
        <v>48131</v>
      </c>
      <c r="G4850" t="str">
        <f t="shared" si="164"/>
        <v>632514</v>
      </c>
      <c r="H4850" s="2">
        <f>1.74</f>
        <v>1.74</v>
      </c>
      <c r="I4850" t="s">
        <v>27</v>
      </c>
      <c r="J4850" t="s">
        <v>195</v>
      </c>
      <c r="K4850" t="str">
        <f>"33011713"</f>
        <v>33011713</v>
      </c>
    </row>
    <row r="4851" spans="1:11" x14ac:dyDescent="0.25">
      <c r="A4851">
        <v>2023</v>
      </c>
      <c r="B4851" t="s">
        <v>12525</v>
      </c>
      <c r="C4851" t="s">
        <v>12526</v>
      </c>
      <c r="D4851" t="s">
        <v>4390</v>
      </c>
      <c r="E4851" t="s">
        <v>14</v>
      </c>
      <c r="F4851" t="str">
        <f t="shared" si="163"/>
        <v>48131</v>
      </c>
      <c r="G4851" t="str">
        <f t="shared" si="164"/>
        <v>632514</v>
      </c>
      <c r="H4851" s="2">
        <f>1.74</f>
        <v>1.74</v>
      </c>
      <c r="I4851" t="s">
        <v>27</v>
      </c>
      <c r="J4851" t="s">
        <v>195</v>
      </c>
      <c r="K4851" t="str">
        <f>"33011714"</f>
        <v>33011714</v>
      </c>
    </row>
    <row r="4852" spans="1:11" x14ac:dyDescent="0.25">
      <c r="A4852">
        <v>2023</v>
      </c>
      <c r="B4852" t="s">
        <v>12535</v>
      </c>
      <c r="C4852" t="s">
        <v>12536</v>
      </c>
      <c r="D4852" t="s">
        <v>19</v>
      </c>
      <c r="E4852" t="s">
        <v>20</v>
      </c>
      <c r="F4852" t="str">
        <f>"43608"</f>
        <v>43608</v>
      </c>
      <c r="G4852" t="str">
        <f>"Je12142023"</f>
        <v>Je12142023</v>
      </c>
      <c r="H4852" s="2">
        <f>59.81</f>
        <v>59.81</v>
      </c>
      <c r="I4852" t="s">
        <v>15</v>
      </c>
      <c r="J4852" t="s">
        <v>176</v>
      </c>
      <c r="K4852" t="str">
        <f>"60097862"</f>
        <v>60097862</v>
      </c>
    </row>
    <row r="4853" spans="1:11" x14ac:dyDescent="0.25">
      <c r="A4853">
        <v>2023</v>
      </c>
      <c r="B4853" t="s">
        <v>12549</v>
      </c>
      <c r="C4853" t="s">
        <v>12550</v>
      </c>
      <c r="D4853" t="s">
        <v>19</v>
      </c>
      <c r="E4853" t="s">
        <v>20</v>
      </c>
      <c r="F4853" t="str">
        <f>"43612"</f>
        <v>43612</v>
      </c>
      <c r="G4853" t="str">
        <f>"Je12142023"</f>
        <v>Je12142023</v>
      </c>
      <c r="H4853" s="2">
        <f>142.36</f>
        <v>142.36000000000001</v>
      </c>
      <c r="I4853" t="s">
        <v>15</v>
      </c>
      <c r="J4853" t="s">
        <v>176</v>
      </c>
      <c r="K4853" t="str">
        <f>"60099982"</f>
        <v>60099982</v>
      </c>
    </row>
    <row r="4854" spans="1:11" x14ac:dyDescent="0.25">
      <c r="A4854">
        <v>2023</v>
      </c>
      <c r="B4854" t="s">
        <v>12553</v>
      </c>
      <c r="C4854" t="s">
        <v>12554</v>
      </c>
      <c r="D4854" t="s">
        <v>19</v>
      </c>
      <c r="E4854" t="s">
        <v>20</v>
      </c>
      <c r="F4854" t="str">
        <f>"43607"</f>
        <v>43607</v>
      </c>
      <c r="G4854" t="str">
        <f>"632514"</f>
        <v>632514</v>
      </c>
      <c r="H4854" s="2">
        <f>2</f>
        <v>2</v>
      </c>
      <c r="I4854" t="s">
        <v>27</v>
      </c>
      <c r="J4854" t="s">
        <v>195</v>
      </c>
      <c r="K4854" t="str">
        <f>"33011850"</f>
        <v>33011850</v>
      </c>
    </row>
    <row r="4855" spans="1:11" x14ac:dyDescent="0.25">
      <c r="A4855">
        <v>2023</v>
      </c>
      <c r="B4855" t="s">
        <v>12557</v>
      </c>
      <c r="C4855" t="s">
        <v>12558</v>
      </c>
      <c r="D4855" t="s">
        <v>19</v>
      </c>
      <c r="E4855" t="s">
        <v>20</v>
      </c>
      <c r="F4855" t="str">
        <f>"43605"</f>
        <v>43605</v>
      </c>
      <c r="G4855" t="str">
        <f>"Je12142023"</f>
        <v>Je12142023</v>
      </c>
      <c r="H4855" s="2">
        <f>64.44</f>
        <v>64.44</v>
      </c>
      <c r="I4855" t="s">
        <v>15</v>
      </c>
      <c r="J4855" t="s">
        <v>176</v>
      </c>
      <c r="K4855" t="str">
        <f>"60096801"</f>
        <v>60096801</v>
      </c>
    </row>
    <row r="4856" spans="1:11" x14ac:dyDescent="0.25">
      <c r="A4856">
        <v>2023</v>
      </c>
      <c r="B4856" t="s">
        <v>12559</v>
      </c>
      <c r="C4856" t="s">
        <v>12560</v>
      </c>
      <c r="D4856" t="s">
        <v>19</v>
      </c>
      <c r="E4856" t="s">
        <v>20</v>
      </c>
      <c r="F4856" t="str">
        <f>"43623"</f>
        <v>43623</v>
      </c>
      <c r="G4856" t="str">
        <f>"Je12142023"</f>
        <v>Je12142023</v>
      </c>
      <c r="H4856" s="2">
        <f>220.06</f>
        <v>220.06</v>
      </c>
      <c r="I4856" t="s">
        <v>15</v>
      </c>
      <c r="J4856" t="s">
        <v>176</v>
      </c>
      <c r="K4856" t="str">
        <f>"60097658"</f>
        <v>60097658</v>
      </c>
    </row>
    <row r="4857" spans="1:11" x14ac:dyDescent="0.25">
      <c r="A4857">
        <v>2023</v>
      </c>
      <c r="B4857" t="s">
        <v>12570</v>
      </c>
      <c r="C4857" t="s">
        <v>12571</v>
      </c>
      <c r="D4857" t="s">
        <v>1074</v>
      </c>
      <c r="E4857" t="s">
        <v>20</v>
      </c>
      <c r="F4857" t="str">
        <f>"43551"</f>
        <v>43551</v>
      </c>
      <c r="G4857" t="str">
        <f>"632514"</f>
        <v>632514</v>
      </c>
      <c r="H4857" s="2">
        <f>5</f>
        <v>5</v>
      </c>
      <c r="I4857" t="s">
        <v>27</v>
      </c>
      <c r="J4857" t="s">
        <v>195</v>
      </c>
      <c r="K4857" t="str">
        <f>"22024950"</f>
        <v>22024950</v>
      </c>
    </row>
    <row r="4858" spans="1:11" x14ac:dyDescent="0.25">
      <c r="A4858">
        <v>2023</v>
      </c>
      <c r="B4858" t="s">
        <v>12586</v>
      </c>
      <c r="C4858" t="s">
        <v>12587</v>
      </c>
      <c r="D4858" t="s">
        <v>164</v>
      </c>
      <c r="E4858" t="s">
        <v>20</v>
      </c>
      <c r="F4858" t="str">
        <f>"43558"</f>
        <v>43558</v>
      </c>
      <c r="G4858" t="str">
        <f>"632482"</f>
        <v>632482</v>
      </c>
      <c r="H4858" s="2">
        <f>25</f>
        <v>25</v>
      </c>
      <c r="I4858" t="s">
        <v>27</v>
      </c>
      <c r="J4858" t="s">
        <v>157</v>
      </c>
      <c r="K4858" t="str">
        <f>"522217"</f>
        <v>522217</v>
      </c>
    </row>
    <row r="4859" spans="1:11" x14ac:dyDescent="0.25">
      <c r="A4859">
        <v>2023</v>
      </c>
      <c r="B4859" t="s">
        <v>12588</v>
      </c>
      <c r="C4859" t="s">
        <v>12589</v>
      </c>
      <c r="D4859" t="s">
        <v>19</v>
      </c>
      <c r="E4859" t="s">
        <v>20</v>
      </c>
      <c r="F4859" t="str">
        <f>"43607"</f>
        <v>43607</v>
      </c>
      <c r="G4859" t="str">
        <f>"Je12142023"</f>
        <v>Je12142023</v>
      </c>
      <c r="H4859" s="2">
        <f>45</f>
        <v>45</v>
      </c>
      <c r="I4859" t="s">
        <v>15</v>
      </c>
      <c r="J4859" t="s">
        <v>176</v>
      </c>
      <c r="K4859" t="str">
        <f>"60102417"</f>
        <v>60102417</v>
      </c>
    </row>
    <row r="4860" spans="1:11" x14ac:dyDescent="0.25">
      <c r="A4860">
        <v>2023</v>
      </c>
      <c r="B4860" t="s">
        <v>12596</v>
      </c>
      <c r="C4860" t="s">
        <v>12597</v>
      </c>
      <c r="D4860" t="s">
        <v>19</v>
      </c>
      <c r="E4860" t="s">
        <v>20</v>
      </c>
      <c r="F4860" t="str">
        <f>"43611"</f>
        <v>43611</v>
      </c>
      <c r="G4860" t="str">
        <f>"632482"</f>
        <v>632482</v>
      </c>
      <c r="H4860" s="2">
        <f>10</f>
        <v>10</v>
      </c>
      <c r="I4860" t="s">
        <v>27</v>
      </c>
      <c r="J4860" t="s">
        <v>157</v>
      </c>
      <c r="K4860" t="str">
        <f>"522193"</f>
        <v>522193</v>
      </c>
    </row>
    <row r="4861" spans="1:11" x14ac:dyDescent="0.25">
      <c r="A4861">
        <v>2023</v>
      </c>
      <c r="B4861" t="s">
        <v>12606</v>
      </c>
      <c r="C4861" t="s">
        <v>12607</v>
      </c>
      <c r="D4861" t="s">
        <v>12608</v>
      </c>
      <c r="E4861" t="s">
        <v>216</v>
      </c>
      <c r="F4861" t="str">
        <f>"47711"</f>
        <v>47711</v>
      </c>
      <c r="G4861" t="str">
        <f>"589287"</f>
        <v>589287</v>
      </c>
      <c r="H4861" s="2">
        <f>32.8</f>
        <v>32.799999999999997</v>
      </c>
      <c r="I4861" t="s">
        <v>148</v>
      </c>
      <c r="J4861" t="s">
        <v>12609</v>
      </c>
      <c r="K4861" t="str">
        <f>"26022"</f>
        <v>26022</v>
      </c>
    </row>
    <row r="4862" spans="1:11" x14ac:dyDescent="0.25">
      <c r="A4862">
        <v>2023</v>
      </c>
      <c r="B4862" t="s">
        <v>12606</v>
      </c>
      <c r="C4862" t="s">
        <v>12607</v>
      </c>
      <c r="D4862" t="s">
        <v>12608</v>
      </c>
      <c r="E4862" t="s">
        <v>216</v>
      </c>
      <c r="F4862" t="str">
        <f>"47711"</f>
        <v>47711</v>
      </c>
      <c r="G4862" t="str">
        <f>"641652"</f>
        <v>641652</v>
      </c>
      <c r="H4862" s="2">
        <f>28.98</f>
        <v>28.98</v>
      </c>
      <c r="I4862" t="s">
        <v>148</v>
      </c>
      <c r="J4862" t="s">
        <v>2620</v>
      </c>
      <c r="K4862" t="str">
        <f>"26396"</f>
        <v>26396</v>
      </c>
    </row>
    <row r="4863" spans="1:11" x14ac:dyDescent="0.25">
      <c r="A4863">
        <v>2023</v>
      </c>
      <c r="B4863" t="s">
        <v>12628</v>
      </c>
      <c r="C4863" t="s">
        <v>12629</v>
      </c>
      <c r="D4863" t="s">
        <v>19</v>
      </c>
      <c r="E4863" t="s">
        <v>20</v>
      </c>
      <c r="F4863" t="str">
        <f>"43605"</f>
        <v>43605</v>
      </c>
      <c r="G4863" t="str">
        <f>"632482"</f>
        <v>632482</v>
      </c>
      <c r="H4863" s="2">
        <f>1770</f>
        <v>1770</v>
      </c>
      <c r="I4863" t="s">
        <v>27</v>
      </c>
      <c r="J4863" t="s">
        <v>157</v>
      </c>
      <c r="K4863" t="str">
        <f>"521061"</f>
        <v>521061</v>
      </c>
    </row>
    <row r="4864" spans="1:11" x14ac:dyDescent="0.25">
      <c r="A4864">
        <v>2023</v>
      </c>
      <c r="B4864" t="s">
        <v>12636</v>
      </c>
      <c r="C4864" t="s">
        <v>12638</v>
      </c>
      <c r="D4864" t="s">
        <v>19</v>
      </c>
      <c r="E4864" t="s">
        <v>20</v>
      </c>
      <c r="F4864" t="str">
        <f>"43617"</f>
        <v>43617</v>
      </c>
      <c r="G4864" t="str">
        <f>"632482"</f>
        <v>632482</v>
      </c>
      <c r="H4864" s="2">
        <f>17.18</f>
        <v>17.18</v>
      </c>
      <c r="I4864" t="s">
        <v>27</v>
      </c>
      <c r="J4864" t="s">
        <v>157</v>
      </c>
      <c r="K4864" t="str">
        <f>"522109"</f>
        <v>522109</v>
      </c>
    </row>
    <row r="4865" spans="1:11" x14ac:dyDescent="0.25">
      <c r="A4865">
        <v>2024</v>
      </c>
      <c r="B4865" t="s">
        <v>17</v>
      </c>
      <c r="C4865" t="s">
        <v>18</v>
      </c>
      <c r="D4865" t="s">
        <v>19</v>
      </c>
      <c r="E4865" t="s">
        <v>20</v>
      </c>
      <c r="F4865" t="str">
        <f>"43613"</f>
        <v>43613</v>
      </c>
      <c r="G4865" t="str">
        <f>"Je03262024"</f>
        <v>Je03262024</v>
      </c>
      <c r="H4865" s="2">
        <f>414.55</f>
        <v>414.55</v>
      </c>
      <c r="I4865" t="s">
        <v>15</v>
      </c>
      <c r="J4865" t="s">
        <v>21</v>
      </c>
      <c r="K4865" t="str">
        <f>"60111794"</f>
        <v>60111794</v>
      </c>
    </row>
    <row r="4866" spans="1:11" x14ac:dyDescent="0.25">
      <c r="A4866">
        <v>2024</v>
      </c>
      <c r="B4866" t="s">
        <v>32</v>
      </c>
      <c r="C4866" t="s">
        <v>33</v>
      </c>
      <c r="D4866" t="s">
        <v>19</v>
      </c>
      <c r="E4866" t="s">
        <v>20</v>
      </c>
      <c r="F4866" t="str">
        <f>"43613-4921"</f>
        <v>43613-4921</v>
      </c>
      <c r="G4866" t="str">
        <f t="shared" ref="G4866:G4872" si="165">"716165"</f>
        <v>716165</v>
      </c>
      <c r="H4866" s="2">
        <f>10</f>
        <v>10</v>
      </c>
      <c r="I4866" t="s">
        <v>27</v>
      </c>
      <c r="J4866" t="s">
        <v>34</v>
      </c>
      <c r="K4866" t="str">
        <f>"121881"</f>
        <v>121881</v>
      </c>
    </row>
    <row r="4867" spans="1:11" x14ac:dyDescent="0.25">
      <c r="A4867">
        <v>2024</v>
      </c>
      <c r="B4867" t="s">
        <v>35</v>
      </c>
      <c r="C4867" t="s">
        <v>36</v>
      </c>
      <c r="D4867" t="s">
        <v>19</v>
      </c>
      <c r="E4867" t="s">
        <v>20</v>
      </c>
      <c r="F4867" t="str">
        <f>"43614-2717"</f>
        <v>43614-2717</v>
      </c>
      <c r="G4867" t="str">
        <f t="shared" si="165"/>
        <v>716165</v>
      </c>
      <c r="H4867" s="2">
        <f>100</f>
        <v>100</v>
      </c>
      <c r="I4867" t="s">
        <v>27</v>
      </c>
      <c r="J4867" t="s">
        <v>34</v>
      </c>
      <c r="K4867" t="str">
        <f>"122646"</f>
        <v>122646</v>
      </c>
    </row>
    <row r="4868" spans="1:11" x14ac:dyDescent="0.25">
      <c r="A4868">
        <v>2024</v>
      </c>
      <c r="B4868" t="s">
        <v>46</v>
      </c>
      <c r="C4868" t="s">
        <v>47</v>
      </c>
      <c r="D4868" t="s">
        <v>19</v>
      </c>
      <c r="E4868" t="s">
        <v>20</v>
      </c>
      <c r="F4868" t="str">
        <f>"43614"</f>
        <v>43614</v>
      </c>
      <c r="G4868" t="str">
        <f t="shared" si="165"/>
        <v>716165</v>
      </c>
      <c r="H4868" s="2">
        <f>10</f>
        <v>10</v>
      </c>
      <c r="I4868" t="s">
        <v>27</v>
      </c>
      <c r="J4868" t="s">
        <v>34</v>
      </c>
      <c r="K4868" t="str">
        <f>"125108"</f>
        <v>125108</v>
      </c>
    </row>
    <row r="4869" spans="1:11" x14ac:dyDescent="0.25">
      <c r="A4869">
        <v>2024</v>
      </c>
      <c r="B4869" t="s">
        <v>54</v>
      </c>
      <c r="C4869" t="s">
        <v>55</v>
      </c>
      <c r="D4869" t="s">
        <v>19</v>
      </c>
      <c r="E4869" t="s">
        <v>20</v>
      </c>
      <c r="F4869" t="str">
        <f>"43612-1852"</f>
        <v>43612-1852</v>
      </c>
      <c r="G4869" t="str">
        <f t="shared" si="165"/>
        <v>716165</v>
      </c>
      <c r="H4869" s="2">
        <f>10</f>
        <v>10</v>
      </c>
      <c r="I4869" t="s">
        <v>27</v>
      </c>
      <c r="J4869" t="s">
        <v>34</v>
      </c>
      <c r="K4869" t="str">
        <f>"125156"</f>
        <v>125156</v>
      </c>
    </row>
    <row r="4870" spans="1:11" x14ac:dyDescent="0.25">
      <c r="A4870">
        <v>2024</v>
      </c>
      <c r="B4870" t="s">
        <v>121</v>
      </c>
      <c r="C4870" t="s">
        <v>122</v>
      </c>
      <c r="D4870" t="s">
        <v>19</v>
      </c>
      <c r="E4870" t="s">
        <v>20</v>
      </c>
      <c r="F4870" t="str">
        <f>"43615-6453"</f>
        <v>43615-6453</v>
      </c>
      <c r="G4870" t="str">
        <f t="shared" si="165"/>
        <v>716165</v>
      </c>
      <c r="H4870" s="2">
        <f>10</f>
        <v>10</v>
      </c>
      <c r="I4870" t="s">
        <v>27</v>
      </c>
      <c r="J4870" t="s">
        <v>34</v>
      </c>
      <c r="K4870" t="str">
        <f>"125072"</f>
        <v>125072</v>
      </c>
    </row>
    <row r="4871" spans="1:11" x14ac:dyDescent="0.25">
      <c r="A4871">
        <v>2024</v>
      </c>
      <c r="B4871" t="s">
        <v>140</v>
      </c>
      <c r="C4871" t="s">
        <v>141</v>
      </c>
      <c r="D4871" t="s">
        <v>45</v>
      </c>
      <c r="E4871" t="s">
        <v>20</v>
      </c>
      <c r="F4871" t="str">
        <f>"43542-9639"</f>
        <v>43542-9639</v>
      </c>
      <c r="G4871" t="str">
        <f t="shared" si="165"/>
        <v>716165</v>
      </c>
      <c r="H4871" s="2">
        <f>20</f>
        <v>20</v>
      </c>
      <c r="I4871" t="s">
        <v>27</v>
      </c>
      <c r="J4871" t="s">
        <v>34</v>
      </c>
      <c r="K4871" t="str">
        <f>"122123"</f>
        <v>122123</v>
      </c>
    </row>
    <row r="4872" spans="1:11" x14ac:dyDescent="0.25">
      <c r="A4872">
        <v>2024</v>
      </c>
      <c r="B4872" t="s">
        <v>142</v>
      </c>
      <c r="C4872" t="s">
        <v>143</v>
      </c>
      <c r="D4872" t="s">
        <v>64</v>
      </c>
      <c r="E4872" t="s">
        <v>20</v>
      </c>
      <c r="F4872" t="str">
        <f>"43566-1134"</f>
        <v>43566-1134</v>
      </c>
      <c r="G4872" t="str">
        <f t="shared" si="165"/>
        <v>716165</v>
      </c>
      <c r="H4872" s="2">
        <f>10</f>
        <v>10</v>
      </c>
      <c r="I4872" t="s">
        <v>27</v>
      </c>
      <c r="J4872" t="s">
        <v>34</v>
      </c>
      <c r="K4872" t="str">
        <f>"125026"</f>
        <v>125026</v>
      </c>
    </row>
    <row r="4873" spans="1:11" x14ac:dyDescent="0.25">
      <c r="A4873">
        <v>2024</v>
      </c>
      <c r="B4873" t="s">
        <v>189</v>
      </c>
      <c r="C4873" t="s">
        <v>190</v>
      </c>
      <c r="D4873" t="s">
        <v>19</v>
      </c>
      <c r="E4873" t="s">
        <v>20</v>
      </c>
      <c r="F4873" t="str">
        <f>"43615"</f>
        <v>43615</v>
      </c>
      <c r="G4873" t="str">
        <f>"718470"</f>
        <v>718470</v>
      </c>
      <c r="H4873" s="2">
        <f>76.52</f>
        <v>76.52</v>
      </c>
      <c r="I4873" t="s">
        <v>27</v>
      </c>
      <c r="J4873" t="s">
        <v>34</v>
      </c>
      <c r="K4873" t="str">
        <f>"334561"</f>
        <v>334561</v>
      </c>
    </row>
    <row r="4874" spans="1:11" x14ac:dyDescent="0.25">
      <c r="A4874">
        <v>2024</v>
      </c>
      <c r="B4874" t="s">
        <v>198</v>
      </c>
      <c r="C4874" t="s">
        <v>199</v>
      </c>
      <c r="D4874" t="s">
        <v>19</v>
      </c>
      <c r="E4874" t="s">
        <v>20</v>
      </c>
      <c r="F4874" t="str">
        <f>"43607"</f>
        <v>43607</v>
      </c>
      <c r="G4874" t="str">
        <f>"719211"</f>
        <v>719211</v>
      </c>
      <c r="H4874" s="2">
        <f>225</f>
        <v>225</v>
      </c>
      <c r="I4874" t="s">
        <v>27</v>
      </c>
      <c r="J4874" t="s">
        <v>200</v>
      </c>
      <c r="K4874" t="str">
        <f>"N/A"</f>
        <v>N/A</v>
      </c>
    </row>
    <row r="4875" spans="1:11" x14ac:dyDescent="0.25">
      <c r="A4875">
        <v>2024</v>
      </c>
      <c r="B4875" t="s">
        <v>201</v>
      </c>
      <c r="C4875" t="s">
        <v>202</v>
      </c>
      <c r="D4875" t="s">
        <v>203</v>
      </c>
      <c r="E4875" t="s">
        <v>204</v>
      </c>
      <c r="F4875" t="str">
        <f>"30374-2063"</f>
        <v>30374-2063</v>
      </c>
      <c r="G4875" t="str">
        <f>"Je10112024"</f>
        <v>Je10112024</v>
      </c>
      <c r="H4875" s="2">
        <f>7.79</f>
        <v>7.79</v>
      </c>
      <c r="I4875" t="s">
        <v>15</v>
      </c>
      <c r="J4875" t="s">
        <v>205</v>
      </c>
      <c r="K4875" t="str">
        <f>"60130494"</f>
        <v>60130494</v>
      </c>
    </row>
    <row r="4876" spans="1:11" x14ac:dyDescent="0.25">
      <c r="A4876">
        <v>2024</v>
      </c>
      <c r="B4876" t="s">
        <v>260</v>
      </c>
      <c r="C4876" t="s">
        <v>261</v>
      </c>
      <c r="D4876" t="s">
        <v>19</v>
      </c>
      <c r="E4876" t="s">
        <v>20</v>
      </c>
      <c r="F4876" t="str">
        <f>"43617"</f>
        <v>43617</v>
      </c>
      <c r="G4876" t="str">
        <f>"716166"</f>
        <v>716166</v>
      </c>
      <c r="H4876" s="2">
        <f>8.95</f>
        <v>8.9499999999999993</v>
      </c>
      <c r="I4876" t="s">
        <v>27</v>
      </c>
      <c r="J4876" t="s">
        <v>262</v>
      </c>
      <c r="K4876" t="str">
        <f>"41164"</f>
        <v>41164</v>
      </c>
    </row>
    <row r="4877" spans="1:11" x14ac:dyDescent="0.25">
      <c r="A4877">
        <v>2024</v>
      </c>
      <c r="B4877" t="s">
        <v>273</v>
      </c>
      <c r="C4877" t="s">
        <v>274</v>
      </c>
      <c r="D4877" t="s">
        <v>19</v>
      </c>
      <c r="E4877" t="s">
        <v>20</v>
      </c>
      <c r="F4877" t="str">
        <f>"43613-3904"</f>
        <v>43613-3904</v>
      </c>
      <c r="G4877" t="str">
        <f>"716165"</f>
        <v>716165</v>
      </c>
      <c r="H4877" s="2">
        <f>10</f>
        <v>10</v>
      </c>
      <c r="I4877" t="s">
        <v>27</v>
      </c>
      <c r="J4877" t="s">
        <v>34</v>
      </c>
      <c r="K4877" t="str">
        <f>"123286"</f>
        <v>123286</v>
      </c>
    </row>
    <row r="4878" spans="1:11" x14ac:dyDescent="0.25">
      <c r="A4878">
        <v>2024</v>
      </c>
      <c r="B4878" t="s">
        <v>283</v>
      </c>
      <c r="C4878" t="s">
        <v>284</v>
      </c>
      <c r="D4878" t="s">
        <v>19</v>
      </c>
      <c r="E4878" t="s">
        <v>20</v>
      </c>
      <c r="F4878" t="str">
        <f>"43614-2625"</f>
        <v>43614-2625</v>
      </c>
      <c r="G4878" t="str">
        <f>"716165"</f>
        <v>716165</v>
      </c>
      <c r="H4878" s="2">
        <f>30</f>
        <v>30</v>
      </c>
      <c r="I4878" t="s">
        <v>27</v>
      </c>
      <c r="J4878" t="s">
        <v>34</v>
      </c>
      <c r="K4878" t="str">
        <f>"124798"</f>
        <v>124798</v>
      </c>
    </row>
    <row r="4879" spans="1:11" x14ac:dyDescent="0.25">
      <c r="A4879">
        <v>2024</v>
      </c>
      <c r="B4879" t="s">
        <v>285</v>
      </c>
      <c r="C4879" t="s">
        <v>286</v>
      </c>
      <c r="D4879" t="s">
        <v>19</v>
      </c>
      <c r="E4879" t="s">
        <v>20</v>
      </c>
      <c r="F4879" t="str">
        <f>"43609-3038"</f>
        <v>43609-3038</v>
      </c>
      <c r="G4879" t="str">
        <f>"716165"</f>
        <v>716165</v>
      </c>
      <c r="H4879" s="2">
        <f>10</f>
        <v>10</v>
      </c>
      <c r="I4879" t="s">
        <v>27</v>
      </c>
      <c r="J4879" t="s">
        <v>34</v>
      </c>
      <c r="K4879" t="str">
        <f>"125102"</f>
        <v>125102</v>
      </c>
    </row>
    <row r="4880" spans="1:11" x14ac:dyDescent="0.25">
      <c r="A4880">
        <v>2024</v>
      </c>
      <c r="B4880" t="s">
        <v>287</v>
      </c>
      <c r="C4880" t="s">
        <v>288</v>
      </c>
      <c r="D4880" t="s">
        <v>125</v>
      </c>
      <c r="E4880" t="s">
        <v>20</v>
      </c>
      <c r="F4880" t="str">
        <f>"43537-2032"</f>
        <v>43537-2032</v>
      </c>
      <c r="G4880" t="str">
        <f>"716165"</f>
        <v>716165</v>
      </c>
      <c r="H4880" s="2">
        <f>20</f>
        <v>20</v>
      </c>
      <c r="I4880" t="s">
        <v>27</v>
      </c>
      <c r="J4880" t="s">
        <v>34</v>
      </c>
      <c r="K4880" t="str">
        <f>"124505"</f>
        <v>124505</v>
      </c>
    </row>
    <row r="4881" spans="1:11" x14ac:dyDescent="0.25">
      <c r="A4881">
        <v>2024</v>
      </c>
      <c r="B4881" t="s">
        <v>306</v>
      </c>
      <c r="C4881" t="s">
        <v>307</v>
      </c>
      <c r="D4881" t="s">
        <v>125</v>
      </c>
      <c r="E4881" t="s">
        <v>20</v>
      </c>
      <c r="F4881" t="str">
        <f>"43537-2425"</f>
        <v>43537-2425</v>
      </c>
      <c r="G4881" t="str">
        <f>"716165"</f>
        <v>716165</v>
      </c>
      <c r="H4881" s="2">
        <f>10</f>
        <v>10</v>
      </c>
      <c r="I4881" t="s">
        <v>27</v>
      </c>
      <c r="J4881" t="s">
        <v>34</v>
      </c>
      <c r="K4881" t="str">
        <f>"123564"</f>
        <v>123564</v>
      </c>
    </row>
    <row r="4882" spans="1:11" x14ac:dyDescent="0.25">
      <c r="A4882">
        <v>2024</v>
      </c>
      <c r="B4882" t="s">
        <v>310</v>
      </c>
      <c r="C4882" t="s">
        <v>311</v>
      </c>
      <c r="D4882" t="s">
        <v>125</v>
      </c>
      <c r="E4882" t="s">
        <v>20</v>
      </c>
      <c r="F4882" t="str">
        <f>"43537"</f>
        <v>43537</v>
      </c>
      <c r="G4882" t="str">
        <f>"Je10112024"</f>
        <v>Je10112024</v>
      </c>
      <c r="H4882" s="2">
        <f>9.66</f>
        <v>9.66</v>
      </c>
      <c r="I4882" t="s">
        <v>15</v>
      </c>
      <c r="J4882" t="s">
        <v>205</v>
      </c>
      <c r="K4882" t="str">
        <f>"60131384"</f>
        <v>60131384</v>
      </c>
    </row>
    <row r="4883" spans="1:11" x14ac:dyDescent="0.25">
      <c r="A4883">
        <v>2024</v>
      </c>
      <c r="B4883" t="s">
        <v>330</v>
      </c>
      <c r="C4883" t="s">
        <v>331</v>
      </c>
      <c r="D4883" t="s">
        <v>19</v>
      </c>
      <c r="E4883" t="s">
        <v>20</v>
      </c>
      <c r="F4883" t="str">
        <f>"43606-2588"</f>
        <v>43606-2588</v>
      </c>
      <c r="G4883" t="str">
        <f>"716165"</f>
        <v>716165</v>
      </c>
      <c r="H4883" s="2">
        <f>20</f>
        <v>20</v>
      </c>
      <c r="I4883" t="s">
        <v>27</v>
      </c>
      <c r="J4883" t="s">
        <v>34</v>
      </c>
      <c r="K4883" t="str">
        <f>"121734"</f>
        <v>121734</v>
      </c>
    </row>
    <row r="4884" spans="1:11" x14ac:dyDescent="0.25">
      <c r="A4884">
        <v>2024</v>
      </c>
      <c r="B4884" t="s">
        <v>338</v>
      </c>
      <c r="C4884" t="s">
        <v>339</v>
      </c>
      <c r="D4884" t="s">
        <v>19</v>
      </c>
      <c r="E4884" t="s">
        <v>20</v>
      </c>
      <c r="F4884" t="str">
        <f>"43612-3107"</f>
        <v>43612-3107</v>
      </c>
      <c r="G4884" t="str">
        <f>"716165"</f>
        <v>716165</v>
      </c>
      <c r="H4884" s="2">
        <f>60</f>
        <v>60</v>
      </c>
      <c r="I4884" t="s">
        <v>27</v>
      </c>
      <c r="J4884" t="s">
        <v>34</v>
      </c>
      <c r="K4884" t="str">
        <f>"123014"</f>
        <v>123014</v>
      </c>
    </row>
    <row r="4885" spans="1:11" x14ac:dyDescent="0.25">
      <c r="A4885">
        <v>2024</v>
      </c>
      <c r="B4885" t="s">
        <v>356</v>
      </c>
      <c r="C4885" t="s">
        <v>357</v>
      </c>
      <c r="D4885" t="s">
        <v>19</v>
      </c>
      <c r="E4885" t="s">
        <v>20</v>
      </c>
      <c r="F4885" t="str">
        <f>"43615-4181"</f>
        <v>43615-4181</v>
      </c>
      <c r="G4885" t="str">
        <f>"716165"</f>
        <v>716165</v>
      </c>
      <c r="H4885" s="2">
        <f>10</f>
        <v>10</v>
      </c>
      <c r="I4885" t="s">
        <v>27</v>
      </c>
      <c r="J4885" t="s">
        <v>34</v>
      </c>
      <c r="K4885" t="str">
        <f>"123234"</f>
        <v>123234</v>
      </c>
    </row>
    <row r="4886" spans="1:11" x14ac:dyDescent="0.25">
      <c r="A4886">
        <v>2024</v>
      </c>
      <c r="B4886" t="s">
        <v>358</v>
      </c>
      <c r="C4886" t="s">
        <v>359</v>
      </c>
      <c r="D4886" t="s">
        <v>64</v>
      </c>
      <c r="E4886" t="s">
        <v>20</v>
      </c>
      <c r="F4886" t="str">
        <f>"43566"</f>
        <v>43566</v>
      </c>
      <c r="G4886" t="str">
        <f>"716619"</f>
        <v>716619</v>
      </c>
      <c r="H4886" s="2">
        <f>15</f>
        <v>15</v>
      </c>
      <c r="I4886" t="s">
        <v>27</v>
      </c>
      <c r="J4886" t="s">
        <v>34</v>
      </c>
      <c r="K4886" t="str">
        <f>"11004437"</f>
        <v>11004437</v>
      </c>
    </row>
    <row r="4887" spans="1:11" x14ac:dyDescent="0.25">
      <c r="A4887">
        <v>2024</v>
      </c>
      <c r="B4887" t="s">
        <v>390</v>
      </c>
      <c r="C4887" t="s">
        <v>391</v>
      </c>
      <c r="D4887" t="s">
        <v>19</v>
      </c>
      <c r="E4887" t="s">
        <v>20</v>
      </c>
      <c r="F4887" t="str">
        <f>"43610"</f>
        <v>43610</v>
      </c>
      <c r="G4887" t="str">
        <f>"701123"</f>
        <v>701123</v>
      </c>
      <c r="H4887" s="2">
        <f>5.1</f>
        <v>5.0999999999999996</v>
      </c>
      <c r="I4887" t="s">
        <v>148</v>
      </c>
      <c r="J4887" t="s">
        <v>392</v>
      </c>
      <c r="K4887" t="str">
        <f>"26769"</f>
        <v>26769</v>
      </c>
    </row>
    <row r="4888" spans="1:11" x14ac:dyDescent="0.25">
      <c r="A4888">
        <v>2024</v>
      </c>
      <c r="B4888" t="s">
        <v>406</v>
      </c>
      <c r="C4888" t="s">
        <v>407</v>
      </c>
      <c r="D4888" t="s">
        <v>50</v>
      </c>
      <c r="E4888" t="s">
        <v>20</v>
      </c>
      <c r="F4888" t="str">
        <f>"43560-3801"</f>
        <v>43560-3801</v>
      </c>
      <c r="G4888" t="str">
        <f t="shared" ref="G4888:G4895" si="166">"716165"</f>
        <v>716165</v>
      </c>
      <c r="H4888" s="2">
        <f>10</f>
        <v>10</v>
      </c>
      <c r="I4888" t="s">
        <v>27</v>
      </c>
      <c r="J4888" t="s">
        <v>34</v>
      </c>
      <c r="K4888" t="str">
        <f>"123003"</f>
        <v>123003</v>
      </c>
    </row>
    <row r="4889" spans="1:11" x14ac:dyDescent="0.25">
      <c r="A4889">
        <v>2024</v>
      </c>
      <c r="B4889" t="s">
        <v>441</v>
      </c>
      <c r="C4889" t="s">
        <v>442</v>
      </c>
      <c r="D4889" t="s">
        <v>19</v>
      </c>
      <c r="E4889" t="s">
        <v>20</v>
      </c>
      <c r="F4889" t="str">
        <f>"43613-3901"</f>
        <v>43613-3901</v>
      </c>
      <c r="G4889" t="str">
        <f t="shared" si="166"/>
        <v>716165</v>
      </c>
      <c r="H4889" s="2">
        <f>20</f>
        <v>20</v>
      </c>
      <c r="I4889" t="s">
        <v>27</v>
      </c>
      <c r="J4889" t="s">
        <v>34</v>
      </c>
      <c r="K4889" t="str">
        <f>"124492"</f>
        <v>124492</v>
      </c>
    </row>
    <row r="4890" spans="1:11" x14ac:dyDescent="0.25">
      <c r="A4890">
        <v>2024</v>
      </c>
      <c r="B4890" t="s">
        <v>441</v>
      </c>
      <c r="C4890" t="s">
        <v>442</v>
      </c>
      <c r="D4890" t="s">
        <v>19</v>
      </c>
      <c r="E4890" t="s">
        <v>20</v>
      </c>
      <c r="F4890" t="str">
        <f>"43613-3901"</f>
        <v>43613-3901</v>
      </c>
      <c r="G4890" t="str">
        <f t="shared" si="166"/>
        <v>716165</v>
      </c>
      <c r="H4890" s="2">
        <f>20</f>
        <v>20</v>
      </c>
      <c r="I4890" t="s">
        <v>27</v>
      </c>
      <c r="J4890" t="s">
        <v>34</v>
      </c>
      <c r="K4890" t="str">
        <f>"121997"</f>
        <v>121997</v>
      </c>
    </row>
    <row r="4891" spans="1:11" x14ac:dyDescent="0.25">
      <c r="A4891">
        <v>2024</v>
      </c>
      <c r="B4891" t="s">
        <v>447</v>
      </c>
      <c r="C4891" t="s">
        <v>448</v>
      </c>
      <c r="D4891" t="s">
        <v>19</v>
      </c>
      <c r="E4891" t="s">
        <v>20</v>
      </c>
      <c r="F4891" t="str">
        <f>"43615-3524"</f>
        <v>43615-3524</v>
      </c>
      <c r="G4891" t="str">
        <f t="shared" si="166"/>
        <v>716165</v>
      </c>
      <c r="H4891" s="2">
        <f>10</f>
        <v>10</v>
      </c>
      <c r="I4891" t="s">
        <v>27</v>
      </c>
      <c r="J4891" t="s">
        <v>34</v>
      </c>
      <c r="K4891" t="str">
        <f>"121846"</f>
        <v>121846</v>
      </c>
    </row>
    <row r="4892" spans="1:11" x14ac:dyDescent="0.25">
      <c r="A4892">
        <v>2024</v>
      </c>
      <c r="B4892" t="s">
        <v>451</v>
      </c>
      <c r="C4892" t="s">
        <v>452</v>
      </c>
      <c r="D4892" t="s">
        <v>64</v>
      </c>
      <c r="E4892" t="s">
        <v>20</v>
      </c>
      <c r="F4892" t="str">
        <f>"43566-9516"</f>
        <v>43566-9516</v>
      </c>
      <c r="G4892" t="str">
        <f t="shared" si="166"/>
        <v>716165</v>
      </c>
      <c r="H4892" s="2">
        <f>10</f>
        <v>10</v>
      </c>
      <c r="I4892" t="s">
        <v>27</v>
      </c>
      <c r="J4892" t="s">
        <v>34</v>
      </c>
      <c r="K4892" t="str">
        <f>"125010"</f>
        <v>125010</v>
      </c>
    </row>
    <row r="4893" spans="1:11" x14ac:dyDescent="0.25">
      <c r="A4893">
        <v>2024</v>
      </c>
      <c r="B4893" t="s">
        <v>465</v>
      </c>
      <c r="C4893" t="s">
        <v>466</v>
      </c>
      <c r="D4893" t="s">
        <v>19</v>
      </c>
      <c r="E4893" t="s">
        <v>20</v>
      </c>
      <c r="F4893" t="str">
        <f>"43623-4135"</f>
        <v>43623-4135</v>
      </c>
      <c r="G4893" t="str">
        <f t="shared" si="166"/>
        <v>716165</v>
      </c>
      <c r="H4893" s="2">
        <f>10</f>
        <v>10</v>
      </c>
      <c r="I4893" t="s">
        <v>27</v>
      </c>
      <c r="J4893" t="s">
        <v>34</v>
      </c>
      <c r="K4893" t="str">
        <f>"123472"</f>
        <v>123472</v>
      </c>
    </row>
    <row r="4894" spans="1:11" x14ac:dyDescent="0.25">
      <c r="A4894">
        <v>2024</v>
      </c>
      <c r="B4894" t="s">
        <v>467</v>
      </c>
      <c r="C4894" t="s">
        <v>468</v>
      </c>
      <c r="D4894" t="s">
        <v>19</v>
      </c>
      <c r="E4894" t="s">
        <v>20</v>
      </c>
      <c r="F4894" t="str">
        <f>"43613-3110"</f>
        <v>43613-3110</v>
      </c>
      <c r="G4894" t="str">
        <f t="shared" si="166"/>
        <v>716165</v>
      </c>
      <c r="H4894" s="2">
        <f>10</f>
        <v>10</v>
      </c>
      <c r="I4894" t="s">
        <v>27</v>
      </c>
      <c r="J4894" t="s">
        <v>34</v>
      </c>
      <c r="K4894" t="str">
        <f>"123983"</f>
        <v>123983</v>
      </c>
    </row>
    <row r="4895" spans="1:11" x14ac:dyDescent="0.25">
      <c r="A4895">
        <v>2024</v>
      </c>
      <c r="B4895" t="s">
        <v>471</v>
      </c>
      <c r="C4895" t="s">
        <v>472</v>
      </c>
      <c r="D4895" t="s">
        <v>58</v>
      </c>
      <c r="E4895" t="s">
        <v>20</v>
      </c>
      <c r="F4895" t="str">
        <f>"43616-3450"</f>
        <v>43616-3450</v>
      </c>
      <c r="G4895" t="str">
        <f t="shared" si="166"/>
        <v>716165</v>
      </c>
      <c r="H4895" s="2">
        <f>10</f>
        <v>10</v>
      </c>
      <c r="I4895" t="s">
        <v>27</v>
      </c>
      <c r="J4895" t="s">
        <v>34</v>
      </c>
      <c r="K4895" t="str">
        <f>"121023"</f>
        <v>121023</v>
      </c>
    </row>
    <row r="4896" spans="1:11" x14ac:dyDescent="0.25">
      <c r="A4896">
        <v>2024</v>
      </c>
      <c r="B4896" t="s">
        <v>475</v>
      </c>
      <c r="C4896" t="s">
        <v>476</v>
      </c>
      <c r="D4896" t="s">
        <v>19</v>
      </c>
      <c r="E4896" t="s">
        <v>20</v>
      </c>
      <c r="F4896" t="str">
        <f>"43614"</f>
        <v>43614</v>
      </c>
      <c r="G4896" t="str">
        <f>"718470"</f>
        <v>718470</v>
      </c>
      <c r="H4896" s="2">
        <f>61.26</f>
        <v>61.26</v>
      </c>
      <c r="I4896" t="s">
        <v>27</v>
      </c>
      <c r="J4896" t="s">
        <v>34</v>
      </c>
      <c r="K4896" t="str">
        <f>"334635"</f>
        <v>334635</v>
      </c>
    </row>
    <row r="4897" spans="1:11" x14ac:dyDescent="0.25">
      <c r="A4897">
        <v>2024</v>
      </c>
      <c r="B4897" t="s">
        <v>483</v>
      </c>
      <c r="C4897" t="s">
        <v>484</v>
      </c>
      <c r="D4897" t="s">
        <v>50</v>
      </c>
      <c r="E4897" t="s">
        <v>20</v>
      </c>
      <c r="F4897" t="str">
        <f>"43560-3607"</f>
        <v>43560-3607</v>
      </c>
      <c r="G4897" t="str">
        <f t="shared" ref="G4897:G4903" si="167">"716165"</f>
        <v>716165</v>
      </c>
      <c r="H4897" s="2">
        <f>20</f>
        <v>20</v>
      </c>
      <c r="I4897" t="s">
        <v>27</v>
      </c>
      <c r="J4897" t="s">
        <v>34</v>
      </c>
      <c r="K4897" t="str">
        <f>"123579"</f>
        <v>123579</v>
      </c>
    </row>
    <row r="4898" spans="1:11" x14ac:dyDescent="0.25">
      <c r="A4898">
        <v>2024</v>
      </c>
      <c r="B4898" t="s">
        <v>485</v>
      </c>
      <c r="C4898" t="s">
        <v>486</v>
      </c>
      <c r="D4898" t="s">
        <v>58</v>
      </c>
      <c r="E4898" t="s">
        <v>20</v>
      </c>
      <c r="F4898" t="str">
        <f>"43616-3830"</f>
        <v>43616-3830</v>
      </c>
      <c r="G4898" t="str">
        <f t="shared" si="167"/>
        <v>716165</v>
      </c>
      <c r="H4898" s="2">
        <f>100</f>
        <v>100</v>
      </c>
      <c r="I4898" t="s">
        <v>27</v>
      </c>
      <c r="J4898" t="s">
        <v>34</v>
      </c>
      <c r="K4898" t="str">
        <f>"123392"</f>
        <v>123392</v>
      </c>
    </row>
    <row r="4899" spans="1:11" x14ac:dyDescent="0.25">
      <c r="A4899">
        <v>2024</v>
      </c>
      <c r="B4899" t="s">
        <v>489</v>
      </c>
      <c r="C4899" t="s">
        <v>490</v>
      </c>
      <c r="D4899" t="s">
        <v>50</v>
      </c>
      <c r="E4899" t="s">
        <v>20</v>
      </c>
      <c r="F4899" t="str">
        <f>"43560-9264"</f>
        <v>43560-9264</v>
      </c>
      <c r="G4899" t="str">
        <f t="shared" si="167"/>
        <v>716165</v>
      </c>
      <c r="H4899" s="2">
        <f>20</f>
        <v>20</v>
      </c>
      <c r="I4899" t="s">
        <v>27</v>
      </c>
      <c r="J4899" t="s">
        <v>34</v>
      </c>
      <c r="K4899" t="str">
        <f>"124089"</f>
        <v>124089</v>
      </c>
    </row>
    <row r="4900" spans="1:11" x14ac:dyDescent="0.25">
      <c r="A4900">
        <v>2024</v>
      </c>
      <c r="B4900" t="s">
        <v>515</v>
      </c>
      <c r="C4900" t="s">
        <v>516</v>
      </c>
      <c r="D4900" t="s">
        <v>19</v>
      </c>
      <c r="E4900" t="s">
        <v>20</v>
      </c>
      <c r="F4900" t="str">
        <f>"43612-2560"</f>
        <v>43612-2560</v>
      </c>
      <c r="G4900" t="str">
        <f t="shared" si="167"/>
        <v>716165</v>
      </c>
      <c r="H4900" s="2">
        <f>10</f>
        <v>10</v>
      </c>
      <c r="I4900" t="s">
        <v>27</v>
      </c>
      <c r="J4900" t="s">
        <v>34</v>
      </c>
      <c r="K4900" t="str">
        <f>"123590"</f>
        <v>123590</v>
      </c>
    </row>
    <row r="4901" spans="1:11" x14ac:dyDescent="0.25">
      <c r="A4901">
        <v>2024</v>
      </c>
      <c r="B4901" t="s">
        <v>522</v>
      </c>
      <c r="C4901" t="s">
        <v>523</v>
      </c>
      <c r="D4901" t="s">
        <v>19</v>
      </c>
      <c r="E4901" t="s">
        <v>20</v>
      </c>
      <c r="F4901" t="str">
        <f>"43611-1668"</f>
        <v>43611-1668</v>
      </c>
      <c r="G4901" t="str">
        <f t="shared" si="167"/>
        <v>716165</v>
      </c>
      <c r="H4901" s="2">
        <f>10</f>
        <v>10</v>
      </c>
      <c r="I4901" t="s">
        <v>27</v>
      </c>
      <c r="J4901" t="s">
        <v>34</v>
      </c>
      <c r="K4901" t="str">
        <f>"124733"</f>
        <v>124733</v>
      </c>
    </row>
    <row r="4902" spans="1:11" x14ac:dyDescent="0.25">
      <c r="A4902">
        <v>2024</v>
      </c>
      <c r="B4902" t="s">
        <v>532</v>
      </c>
      <c r="C4902" t="s">
        <v>533</v>
      </c>
      <c r="D4902" t="s">
        <v>164</v>
      </c>
      <c r="E4902" t="s">
        <v>20</v>
      </c>
      <c r="F4902" t="str">
        <f>"43558-9671"</f>
        <v>43558-9671</v>
      </c>
      <c r="G4902" t="str">
        <f t="shared" si="167"/>
        <v>716165</v>
      </c>
      <c r="H4902" s="2">
        <f>10</f>
        <v>10</v>
      </c>
      <c r="I4902" t="s">
        <v>27</v>
      </c>
      <c r="J4902" t="s">
        <v>34</v>
      </c>
      <c r="K4902" t="str">
        <f>"121786"</f>
        <v>121786</v>
      </c>
    </row>
    <row r="4903" spans="1:11" x14ac:dyDescent="0.25">
      <c r="A4903">
        <v>2024</v>
      </c>
      <c r="B4903" t="s">
        <v>541</v>
      </c>
      <c r="C4903" t="s">
        <v>542</v>
      </c>
      <c r="D4903" t="s">
        <v>19</v>
      </c>
      <c r="E4903" t="s">
        <v>20</v>
      </c>
      <c r="F4903" t="str">
        <f>"43613-2432"</f>
        <v>43613-2432</v>
      </c>
      <c r="G4903" t="str">
        <f t="shared" si="167"/>
        <v>716165</v>
      </c>
      <c r="H4903" s="2">
        <f>10</f>
        <v>10</v>
      </c>
      <c r="I4903" t="s">
        <v>27</v>
      </c>
      <c r="J4903" t="s">
        <v>34</v>
      </c>
      <c r="K4903" t="str">
        <f>"123585"</f>
        <v>123585</v>
      </c>
    </row>
    <row r="4904" spans="1:11" x14ac:dyDescent="0.25">
      <c r="A4904">
        <v>2024</v>
      </c>
      <c r="B4904" t="s">
        <v>576</v>
      </c>
      <c r="C4904" t="s">
        <v>577</v>
      </c>
      <c r="D4904" t="s">
        <v>19</v>
      </c>
      <c r="E4904" t="s">
        <v>20</v>
      </c>
      <c r="F4904" t="str">
        <f>"43614"</f>
        <v>43614</v>
      </c>
      <c r="G4904" t="str">
        <f>"Je10112024"</f>
        <v>Je10112024</v>
      </c>
      <c r="H4904" s="2">
        <f>480</f>
        <v>480</v>
      </c>
      <c r="I4904" t="s">
        <v>15</v>
      </c>
      <c r="J4904" t="s">
        <v>205</v>
      </c>
      <c r="K4904" t="str">
        <f>"60122690"</f>
        <v>60122690</v>
      </c>
    </row>
    <row r="4905" spans="1:11" x14ac:dyDescent="0.25">
      <c r="A4905">
        <v>2024</v>
      </c>
      <c r="B4905" t="s">
        <v>580</v>
      </c>
      <c r="C4905" t="s">
        <v>581</v>
      </c>
      <c r="D4905" t="s">
        <v>19</v>
      </c>
      <c r="E4905" t="s">
        <v>20</v>
      </c>
      <c r="F4905" t="str">
        <f>"43613-4820"</f>
        <v>43613-4820</v>
      </c>
      <c r="G4905" t="str">
        <f>"716165"</f>
        <v>716165</v>
      </c>
      <c r="H4905" s="2">
        <f>10</f>
        <v>10</v>
      </c>
      <c r="I4905" t="s">
        <v>27</v>
      </c>
      <c r="J4905" t="s">
        <v>34</v>
      </c>
      <c r="K4905" t="str">
        <f>"121302"</f>
        <v>121302</v>
      </c>
    </row>
    <row r="4906" spans="1:11" x14ac:dyDescent="0.25">
      <c r="A4906">
        <v>2024</v>
      </c>
      <c r="B4906" t="s">
        <v>586</v>
      </c>
      <c r="C4906" t="s">
        <v>587</v>
      </c>
      <c r="D4906" t="s">
        <v>19</v>
      </c>
      <c r="E4906" t="s">
        <v>20</v>
      </c>
      <c r="F4906" t="str">
        <f>"43613-3218"</f>
        <v>43613-3218</v>
      </c>
      <c r="G4906" t="str">
        <f>"716165"</f>
        <v>716165</v>
      </c>
      <c r="H4906" s="2">
        <f>20</f>
        <v>20</v>
      </c>
      <c r="I4906" t="s">
        <v>27</v>
      </c>
      <c r="J4906" t="s">
        <v>34</v>
      </c>
      <c r="K4906" t="str">
        <f>"123088"</f>
        <v>123088</v>
      </c>
    </row>
    <row r="4907" spans="1:11" x14ac:dyDescent="0.25">
      <c r="A4907">
        <v>2024</v>
      </c>
      <c r="B4907" t="s">
        <v>588</v>
      </c>
      <c r="C4907" t="s">
        <v>589</v>
      </c>
      <c r="D4907" t="s">
        <v>125</v>
      </c>
      <c r="E4907" t="s">
        <v>20</v>
      </c>
      <c r="F4907" t="str">
        <f>"43537-2620"</f>
        <v>43537-2620</v>
      </c>
      <c r="G4907" t="str">
        <f>"716165"</f>
        <v>716165</v>
      </c>
      <c r="H4907" s="2">
        <f>10</f>
        <v>10</v>
      </c>
      <c r="I4907" t="s">
        <v>27</v>
      </c>
      <c r="J4907" t="s">
        <v>34</v>
      </c>
      <c r="K4907" t="str">
        <f>"124937"</f>
        <v>124937</v>
      </c>
    </row>
    <row r="4908" spans="1:11" x14ac:dyDescent="0.25">
      <c r="A4908">
        <v>2024</v>
      </c>
      <c r="B4908" t="s">
        <v>590</v>
      </c>
      <c r="C4908" t="s">
        <v>591</v>
      </c>
      <c r="D4908" t="s">
        <v>19</v>
      </c>
      <c r="E4908" t="s">
        <v>20</v>
      </c>
      <c r="F4908" t="str">
        <f>"43635"</f>
        <v>43635</v>
      </c>
      <c r="G4908" t="str">
        <f>"718470"</f>
        <v>718470</v>
      </c>
      <c r="H4908" s="2">
        <f>4.76</f>
        <v>4.76</v>
      </c>
      <c r="I4908" t="s">
        <v>27</v>
      </c>
      <c r="J4908" t="s">
        <v>34</v>
      </c>
      <c r="K4908" t="str">
        <f>"334436"</f>
        <v>334436</v>
      </c>
    </row>
    <row r="4909" spans="1:11" x14ac:dyDescent="0.25">
      <c r="A4909">
        <v>2024</v>
      </c>
      <c r="B4909" t="s">
        <v>592</v>
      </c>
      <c r="C4909" t="s">
        <v>593</v>
      </c>
      <c r="D4909" t="s">
        <v>19</v>
      </c>
      <c r="E4909" t="s">
        <v>20</v>
      </c>
      <c r="F4909" t="str">
        <f>"43623-1412"</f>
        <v>43623-1412</v>
      </c>
      <c r="G4909" t="str">
        <f>"716165"</f>
        <v>716165</v>
      </c>
      <c r="H4909" s="2">
        <f>10</f>
        <v>10</v>
      </c>
      <c r="I4909" t="s">
        <v>27</v>
      </c>
      <c r="J4909" t="s">
        <v>34</v>
      </c>
      <c r="K4909" t="str">
        <f>"125105"</f>
        <v>125105</v>
      </c>
    </row>
    <row r="4910" spans="1:11" x14ac:dyDescent="0.25">
      <c r="A4910">
        <v>2024</v>
      </c>
      <c r="B4910" t="s">
        <v>603</v>
      </c>
      <c r="C4910" t="s">
        <v>604</v>
      </c>
      <c r="D4910" t="s">
        <v>50</v>
      </c>
      <c r="E4910" t="s">
        <v>20</v>
      </c>
      <c r="F4910" t="str">
        <f>"43560-9704"</f>
        <v>43560-9704</v>
      </c>
      <c r="G4910" t="str">
        <f>"716165"</f>
        <v>716165</v>
      </c>
      <c r="H4910" s="2">
        <f>20</f>
        <v>20</v>
      </c>
      <c r="I4910" t="s">
        <v>27</v>
      </c>
      <c r="J4910" t="s">
        <v>34</v>
      </c>
      <c r="K4910" t="str">
        <f>"122373"</f>
        <v>122373</v>
      </c>
    </row>
    <row r="4911" spans="1:11" x14ac:dyDescent="0.25">
      <c r="A4911">
        <v>2024</v>
      </c>
      <c r="B4911" t="s">
        <v>624</v>
      </c>
      <c r="C4911" t="s">
        <v>625</v>
      </c>
      <c r="D4911" t="s">
        <v>19</v>
      </c>
      <c r="E4911" t="s">
        <v>20</v>
      </c>
      <c r="F4911" t="str">
        <f>"43613-4209"</f>
        <v>43613-4209</v>
      </c>
      <c r="G4911" t="str">
        <f>"716165"</f>
        <v>716165</v>
      </c>
      <c r="H4911" s="2">
        <f>10</f>
        <v>10</v>
      </c>
      <c r="I4911" t="s">
        <v>27</v>
      </c>
      <c r="J4911" t="s">
        <v>34</v>
      </c>
      <c r="K4911" t="str">
        <f>"123039"</f>
        <v>123039</v>
      </c>
    </row>
    <row r="4912" spans="1:11" x14ac:dyDescent="0.25">
      <c r="A4912">
        <v>2024</v>
      </c>
      <c r="B4912" t="s">
        <v>628</v>
      </c>
      <c r="C4912" t="s">
        <v>629</v>
      </c>
      <c r="D4912" t="s">
        <v>50</v>
      </c>
      <c r="E4912" t="s">
        <v>20</v>
      </c>
      <c r="F4912" t="str">
        <f>"43560-2937"</f>
        <v>43560-2937</v>
      </c>
      <c r="G4912" t="str">
        <f>"716165"</f>
        <v>716165</v>
      </c>
      <c r="H4912" s="2">
        <f>10</f>
        <v>10</v>
      </c>
      <c r="I4912" t="s">
        <v>27</v>
      </c>
      <c r="J4912" t="s">
        <v>34</v>
      </c>
      <c r="K4912" t="str">
        <f>"121966"</f>
        <v>121966</v>
      </c>
    </row>
    <row r="4913" spans="1:11" x14ac:dyDescent="0.25">
      <c r="A4913">
        <v>2024</v>
      </c>
      <c r="B4913" t="s">
        <v>640</v>
      </c>
      <c r="C4913" t="s">
        <v>641</v>
      </c>
      <c r="D4913" t="s">
        <v>58</v>
      </c>
      <c r="E4913" t="s">
        <v>20</v>
      </c>
      <c r="F4913" t="str">
        <f>"43616-5613"</f>
        <v>43616-5613</v>
      </c>
      <c r="G4913" t="str">
        <f>"716165"</f>
        <v>716165</v>
      </c>
      <c r="H4913" s="2">
        <f>20</f>
        <v>20</v>
      </c>
      <c r="I4913" t="s">
        <v>27</v>
      </c>
      <c r="J4913" t="s">
        <v>34</v>
      </c>
      <c r="K4913" t="str">
        <f>"124027"</f>
        <v>124027</v>
      </c>
    </row>
    <row r="4914" spans="1:11" x14ac:dyDescent="0.25">
      <c r="A4914">
        <v>2024</v>
      </c>
      <c r="B4914" t="s">
        <v>644</v>
      </c>
      <c r="C4914" t="s">
        <v>645</v>
      </c>
      <c r="D4914" t="s">
        <v>19</v>
      </c>
      <c r="E4914" t="s">
        <v>20</v>
      </c>
      <c r="F4914" t="str">
        <f>"43604"</f>
        <v>43604</v>
      </c>
      <c r="G4914" t="str">
        <f>"701123"</f>
        <v>701123</v>
      </c>
      <c r="H4914" s="2">
        <f>22.9</f>
        <v>22.9</v>
      </c>
      <c r="I4914" t="s">
        <v>148</v>
      </c>
      <c r="J4914" t="s">
        <v>646</v>
      </c>
      <c r="K4914" t="str">
        <f>"26769"</f>
        <v>26769</v>
      </c>
    </row>
    <row r="4915" spans="1:11" x14ac:dyDescent="0.25">
      <c r="A4915">
        <v>2024</v>
      </c>
      <c r="B4915" t="s">
        <v>649</v>
      </c>
      <c r="C4915" t="s">
        <v>650</v>
      </c>
      <c r="D4915" t="s">
        <v>19</v>
      </c>
      <c r="E4915" t="s">
        <v>20</v>
      </c>
      <c r="F4915" t="str">
        <f>"43615-1968"</f>
        <v>43615-1968</v>
      </c>
      <c r="G4915" t="str">
        <f>"716165"</f>
        <v>716165</v>
      </c>
      <c r="H4915" s="2">
        <f>10</f>
        <v>10</v>
      </c>
      <c r="I4915" t="s">
        <v>27</v>
      </c>
      <c r="J4915" t="s">
        <v>34</v>
      </c>
      <c r="K4915" t="str">
        <f>"121948"</f>
        <v>121948</v>
      </c>
    </row>
    <row r="4916" spans="1:11" x14ac:dyDescent="0.25">
      <c r="A4916">
        <v>2024</v>
      </c>
      <c r="B4916" t="s">
        <v>651</v>
      </c>
      <c r="C4916" t="s">
        <v>652</v>
      </c>
      <c r="D4916" t="s">
        <v>323</v>
      </c>
      <c r="E4916" t="s">
        <v>20</v>
      </c>
      <c r="F4916" t="str">
        <f>"43571-9135"</f>
        <v>43571-9135</v>
      </c>
      <c r="G4916" t="str">
        <f>"716165"</f>
        <v>716165</v>
      </c>
      <c r="H4916" s="2">
        <f>10</f>
        <v>10</v>
      </c>
      <c r="I4916" t="s">
        <v>27</v>
      </c>
      <c r="J4916" t="s">
        <v>34</v>
      </c>
      <c r="K4916" t="str">
        <f>"122063"</f>
        <v>122063</v>
      </c>
    </row>
    <row r="4917" spans="1:11" x14ac:dyDescent="0.25">
      <c r="A4917">
        <v>2024</v>
      </c>
      <c r="B4917" t="s">
        <v>653</v>
      </c>
      <c r="C4917" t="s">
        <v>654</v>
      </c>
      <c r="D4917" t="s">
        <v>19</v>
      </c>
      <c r="E4917" t="s">
        <v>20</v>
      </c>
      <c r="F4917" t="str">
        <f>"43612-1572"</f>
        <v>43612-1572</v>
      </c>
      <c r="G4917" t="str">
        <f>"716165"</f>
        <v>716165</v>
      </c>
      <c r="H4917" s="2">
        <f>10</f>
        <v>10</v>
      </c>
      <c r="I4917" t="s">
        <v>27</v>
      </c>
      <c r="J4917" t="s">
        <v>34</v>
      </c>
      <c r="K4917" t="str">
        <f>"122595"</f>
        <v>122595</v>
      </c>
    </row>
    <row r="4918" spans="1:11" x14ac:dyDescent="0.25">
      <c r="A4918">
        <v>2024</v>
      </c>
      <c r="B4918" t="s">
        <v>655</v>
      </c>
      <c r="C4918" t="s">
        <v>656</v>
      </c>
      <c r="D4918" t="s">
        <v>19</v>
      </c>
      <c r="E4918" t="s">
        <v>20</v>
      </c>
      <c r="F4918" t="str">
        <f>"43614"</f>
        <v>43614</v>
      </c>
      <c r="G4918" t="str">
        <f>"716165"</f>
        <v>716165</v>
      </c>
      <c r="H4918" s="2">
        <f>30</f>
        <v>30</v>
      </c>
      <c r="I4918" t="s">
        <v>27</v>
      </c>
      <c r="J4918" t="s">
        <v>34</v>
      </c>
      <c r="K4918" t="str">
        <f>"122112"</f>
        <v>122112</v>
      </c>
    </row>
    <row r="4919" spans="1:11" x14ac:dyDescent="0.25">
      <c r="A4919">
        <v>2024</v>
      </c>
      <c r="B4919" t="s">
        <v>657</v>
      </c>
      <c r="C4919" t="s">
        <v>658</v>
      </c>
      <c r="D4919" t="s">
        <v>58</v>
      </c>
      <c r="E4919" t="s">
        <v>20</v>
      </c>
      <c r="F4919" t="str">
        <f>"43616-3510"</f>
        <v>43616-3510</v>
      </c>
      <c r="G4919" t="str">
        <f>"716165"</f>
        <v>716165</v>
      </c>
      <c r="H4919" s="2">
        <f>20</f>
        <v>20</v>
      </c>
      <c r="I4919" t="s">
        <v>27</v>
      </c>
      <c r="J4919" t="s">
        <v>34</v>
      </c>
      <c r="K4919" t="str">
        <f>"123828"</f>
        <v>123828</v>
      </c>
    </row>
    <row r="4920" spans="1:11" x14ac:dyDescent="0.25">
      <c r="A4920">
        <v>2024</v>
      </c>
      <c r="B4920" t="s">
        <v>665</v>
      </c>
      <c r="C4920" t="s">
        <v>666</v>
      </c>
      <c r="D4920" t="s">
        <v>622</v>
      </c>
      <c r="E4920" t="s">
        <v>623</v>
      </c>
      <c r="F4920" t="str">
        <f>"20006"</f>
        <v>20006</v>
      </c>
      <c r="G4920" t="str">
        <f>"716166"</f>
        <v>716166</v>
      </c>
      <c r="H4920" s="2">
        <f>85</f>
        <v>85</v>
      </c>
      <c r="I4920" t="s">
        <v>27</v>
      </c>
      <c r="J4920" t="s">
        <v>262</v>
      </c>
      <c r="K4920" t="str">
        <f>"42461"</f>
        <v>42461</v>
      </c>
    </row>
    <row r="4921" spans="1:11" x14ac:dyDescent="0.25">
      <c r="A4921">
        <v>2024</v>
      </c>
      <c r="B4921" t="s">
        <v>669</v>
      </c>
      <c r="C4921" t="s">
        <v>670</v>
      </c>
      <c r="D4921" t="s">
        <v>19</v>
      </c>
      <c r="E4921" t="s">
        <v>20</v>
      </c>
      <c r="F4921" t="str">
        <f>"43613-1269"</f>
        <v>43613-1269</v>
      </c>
      <c r="G4921" t="str">
        <f t="shared" ref="G4921:G4930" si="168">"716165"</f>
        <v>716165</v>
      </c>
      <c r="H4921" s="2">
        <f>20</f>
        <v>20</v>
      </c>
      <c r="I4921" t="s">
        <v>27</v>
      </c>
      <c r="J4921" t="s">
        <v>34</v>
      </c>
      <c r="K4921" t="str">
        <f>"122920"</f>
        <v>122920</v>
      </c>
    </row>
    <row r="4922" spans="1:11" x14ac:dyDescent="0.25">
      <c r="A4922">
        <v>2024</v>
      </c>
      <c r="B4922" t="s">
        <v>679</v>
      </c>
      <c r="C4922" t="s">
        <v>680</v>
      </c>
      <c r="D4922" t="s">
        <v>105</v>
      </c>
      <c r="E4922" t="s">
        <v>20</v>
      </c>
      <c r="F4922" t="str">
        <f>"43528-9182"</f>
        <v>43528-9182</v>
      </c>
      <c r="G4922" t="str">
        <f t="shared" si="168"/>
        <v>716165</v>
      </c>
      <c r="H4922" s="2">
        <f>10</f>
        <v>10</v>
      </c>
      <c r="I4922" t="s">
        <v>27</v>
      </c>
      <c r="J4922" t="s">
        <v>34</v>
      </c>
      <c r="K4922" t="str">
        <f>"123005"</f>
        <v>123005</v>
      </c>
    </row>
    <row r="4923" spans="1:11" x14ac:dyDescent="0.25">
      <c r="A4923">
        <v>2024</v>
      </c>
      <c r="B4923" t="s">
        <v>706</v>
      </c>
      <c r="C4923" t="s">
        <v>707</v>
      </c>
      <c r="D4923" t="s">
        <v>50</v>
      </c>
      <c r="E4923" t="s">
        <v>20</v>
      </c>
      <c r="F4923" t="str">
        <f>"43560-4235"</f>
        <v>43560-4235</v>
      </c>
      <c r="G4923" t="str">
        <f t="shared" si="168"/>
        <v>716165</v>
      </c>
      <c r="H4923" s="2">
        <f>10</f>
        <v>10</v>
      </c>
      <c r="I4923" t="s">
        <v>27</v>
      </c>
      <c r="J4923" t="s">
        <v>34</v>
      </c>
      <c r="K4923" t="str">
        <f>"121884"</f>
        <v>121884</v>
      </c>
    </row>
    <row r="4924" spans="1:11" x14ac:dyDescent="0.25">
      <c r="A4924">
        <v>2024</v>
      </c>
      <c r="B4924" t="s">
        <v>717</v>
      </c>
      <c r="C4924" t="s">
        <v>718</v>
      </c>
      <c r="D4924" t="s">
        <v>125</v>
      </c>
      <c r="E4924" t="s">
        <v>20</v>
      </c>
      <c r="F4924" t="str">
        <f>"43537-8310"</f>
        <v>43537-8310</v>
      </c>
      <c r="G4924" t="str">
        <f t="shared" si="168"/>
        <v>716165</v>
      </c>
      <c r="H4924" s="2">
        <f>20</f>
        <v>20</v>
      </c>
      <c r="I4924" t="s">
        <v>27</v>
      </c>
      <c r="J4924" t="s">
        <v>34</v>
      </c>
      <c r="K4924" t="str">
        <f>"122463"</f>
        <v>122463</v>
      </c>
    </row>
    <row r="4925" spans="1:11" x14ac:dyDescent="0.25">
      <c r="A4925">
        <v>2024</v>
      </c>
      <c r="B4925" t="s">
        <v>731</v>
      </c>
      <c r="C4925" t="s">
        <v>732</v>
      </c>
      <c r="D4925" t="s">
        <v>50</v>
      </c>
      <c r="E4925" t="s">
        <v>20</v>
      </c>
      <c r="F4925" t="str">
        <f>"43560-3021"</f>
        <v>43560-3021</v>
      </c>
      <c r="G4925" t="str">
        <f t="shared" si="168"/>
        <v>716165</v>
      </c>
      <c r="H4925" s="2">
        <f>20</f>
        <v>20</v>
      </c>
      <c r="I4925" t="s">
        <v>27</v>
      </c>
      <c r="J4925" t="s">
        <v>34</v>
      </c>
      <c r="K4925" t="str">
        <f>"124128"</f>
        <v>124128</v>
      </c>
    </row>
    <row r="4926" spans="1:11" x14ac:dyDescent="0.25">
      <c r="A4926">
        <v>2024</v>
      </c>
      <c r="B4926" t="s">
        <v>739</v>
      </c>
      <c r="C4926" t="s">
        <v>740</v>
      </c>
      <c r="D4926" t="s">
        <v>19</v>
      </c>
      <c r="E4926" t="s">
        <v>20</v>
      </c>
      <c r="F4926" t="str">
        <f>"43615-9032"</f>
        <v>43615-9032</v>
      </c>
      <c r="G4926" t="str">
        <f t="shared" si="168"/>
        <v>716165</v>
      </c>
      <c r="H4926" s="2">
        <f>20</f>
        <v>20</v>
      </c>
      <c r="I4926" t="s">
        <v>27</v>
      </c>
      <c r="J4926" t="s">
        <v>34</v>
      </c>
      <c r="K4926" t="str">
        <f>"124124"</f>
        <v>124124</v>
      </c>
    </row>
    <row r="4927" spans="1:11" x14ac:dyDescent="0.25">
      <c r="A4927">
        <v>2024</v>
      </c>
      <c r="B4927" t="s">
        <v>749</v>
      </c>
      <c r="C4927" t="s">
        <v>750</v>
      </c>
      <c r="D4927" t="s">
        <v>50</v>
      </c>
      <c r="E4927" t="s">
        <v>20</v>
      </c>
      <c r="F4927" t="str">
        <f>"43560-1841"</f>
        <v>43560-1841</v>
      </c>
      <c r="G4927" t="str">
        <f t="shared" si="168"/>
        <v>716165</v>
      </c>
      <c r="H4927" s="2">
        <f>10</f>
        <v>10</v>
      </c>
      <c r="I4927" t="s">
        <v>27</v>
      </c>
      <c r="J4927" t="s">
        <v>34</v>
      </c>
      <c r="K4927" t="str">
        <f>"122008"</f>
        <v>122008</v>
      </c>
    </row>
    <row r="4928" spans="1:11" x14ac:dyDescent="0.25">
      <c r="A4928">
        <v>2024</v>
      </c>
      <c r="B4928" t="s">
        <v>755</v>
      </c>
      <c r="C4928" t="s">
        <v>756</v>
      </c>
      <c r="D4928" t="s">
        <v>58</v>
      </c>
      <c r="E4928" t="s">
        <v>20</v>
      </c>
      <c r="F4928" t="str">
        <f>"43616-2842"</f>
        <v>43616-2842</v>
      </c>
      <c r="G4928" t="str">
        <f t="shared" si="168"/>
        <v>716165</v>
      </c>
      <c r="H4928" s="2">
        <f>40</f>
        <v>40</v>
      </c>
      <c r="I4928" t="s">
        <v>27</v>
      </c>
      <c r="J4928" t="s">
        <v>34</v>
      </c>
      <c r="K4928" t="str">
        <f>"121456"</f>
        <v>121456</v>
      </c>
    </row>
    <row r="4929" spans="1:11" x14ac:dyDescent="0.25">
      <c r="A4929">
        <v>2024</v>
      </c>
      <c r="B4929" t="s">
        <v>763</v>
      </c>
      <c r="C4929" t="s">
        <v>764</v>
      </c>
      <c r="D4929" t="s">
        <v>19</v>
      </c>
      <c r="E4929" t="s">
        <v>20</v>
      </c>
      <c r="F4929" t="str">
        <f>"43615-4145"</f>
        <v>43615-4145</v>
      </c>
      <c r="G4929" t="str">
        <f t="shared" si="168"/>
        <v>716165</v>
      </c>
      <c r="H4929" s="2">
        <f>10</f>
        <v>10</v>
      </c>
      <c r="I4929" t="s">
        <v>27</v>
      </c>
      <c r="J4929" t="s">
        <v>34</v>
      </c>
      <c r="K4929" t="str">
        <f>"124903"</f>
        <v>124903</v>
      </c>
    </row>
    <row r="4930" spans="1:11" x14ac:dyDescent="0.25">
      <c r="A4930">
        <v>2024</v>
      </c>
      <c r="B4930" t="s">
        <v>765</v>
      </c>
      <c r="C4930" t="s">
        <v>766</v>
      </c>
      <c r="D4930" t="s">
        <v>105</v>
      </c>
      <c r="E4930" t="s">
        <v>20</v>
      </c>
      <c r="F4930" t="str">
        <f>"43528"</f>
        <v>43528</v>
      </c>
      <c r="G4930" t="str">
        <f t="shared" si="168"/>
        <v>716165</v>
      </c>
      <c r="H4930" s="2">
        <f>10</f>
        <v>10</v>
      </c>
      <c r="I4930" t="s">
        <v>27</v>
      </c>
      <c r="J4930" t="s">
        <v>34</v>
      </c>
      <c r="K4930" t="str">
        <f>"124423"</f>
        <v>124423</v>
      </c>
    </row>
    <row r="4931" spans="1:11" x14ac:dyDescent="0.25">
      <c r="A4931">
        <v>2024</v>
      </c>
      <c r="B4931" t="s">
        <v>769</v>
      </c>
      <c r="C4931" t="s">
        <v>770</v>
      </c>
      <c r="D4931" t="s">
        <v>771</v>
      </c>
      <c r="E4931" t="s">
        <v>20</v>
      </c>
      <c r="F4931" t="str">
        <f>"43460"</f>
        <v>43460</v>
      </c>
      <c r="G4931" t="str">
        <f>"Je03262024"</f>
        <v>Je03262024</v>
      </c>
      <c r="H4931" s="2">
        <f>25</f>
        <v>25</v>
      </c>
      <c r="I4931" t="s">
        <v>15</v>
      </c>
      <c r="J4931" t="s">
        <v>21</v>
      </c>
      <c r="K4931" t="str">
        <f>"60110960"</f>
        <v>60110960</v>
      </c>
    </row>
    <row r="4932" spans="1:11" x14ac:dyDescent="0.25">
      <c r="A4932">
        <v>2024</v>
      </c>
      <c r="B4932" t="s">
        <v>772</v>
      </c>
      <c r="C4932" t="s">
        <v>773</v>
      </c>
      <c r="D4932" t="s">
        <v>19</v>
      </c>
      <c r="E4932" t="s">
        <v>20</v>
      </c>
      <c r="F4932" t="str">
        <f>"43606-1224"</f>
        <v>43606-1224</v>
      </c>
      <c r="G4932" t="str">
        <f>"716165"</f>
        <v>716165</v>
      </c>
      <c r="H4932" s="2">
        <f>10</f>
        <v>10</v>
      </c>
      <c r="I4932" t="s">
        <v>27</v>
      </c>
      <c r="J4932" t="s">
        <v>34</v>
      </c>
      <c r="K4932" t="str">
        <f>"122938"</f>
        <v>122938</v>
      </c>
    </row>
    <row r="4933" spans="1:11" x14ac:dyDescent="0.25">
      <c r="A4933">
        <v>2024</v>
      </c>
      <c r="B4933" t="s">
        <v>782</v>
      </c>
      <c r="C4933" t="s">
        <v>783</v>
      </c>
      <c r="D4933" t="s">
        <v>19</v>
      </c>
      <c r="E4933" t="s">
        <v>20</v>
      </c>
      <c r="F4933" t="str">
        <f>"43606-4443"</f>
        <v>43606-4443</v>
      </c>
      <c r="G4933" t="str">
        <f>"716165"</f>
        <v>716165</v>
      </c>
      <c r="H4933" s="2">
        <f>10</f>
        <v>10</v>
      </c>
      <c r="I4933" t="s">
        <v>27</v>
      </c>
      <c r="J4933" t="s">
        <v>34</v>
      </c>
      <c r="K4933" t="str">
        <f>"122939"</f>
        <v>122939</v>
      </c>
    </row>
    <row r="4934" spans="1:11" x14ac:dyDescent="0.25">
      <c r="A4934">
        <v>2024</v>
      </c>
      <c r="B4934" t="s">
        <v>799</v>
      </c>
      <c r="C4934" t="s">
        <v>800</v>
      </c>
      <c r="D4934" t="s">
        <v>125</v>
      </c>
      <c r="E4934" t="s">
        <v>20</v>
      </c>
      <c r="F4934" t="str">
        <f>"43537-9545"</f>
        <v>43537-9545</v>
      </c>
      <c r="G4934" t="str">
        <f>"716165"</f>
        <v>716165</v>
      </c>
      <c r="H4934" s="2">
        <f>10</f>
        <v>10</v>
      </c>
      <c r="I4934" t="s">
        <v>27</v>
      </c>
      <c r="J4934" t="s">
        <v>34</v>
      </c>
      <c r="K4934" t="str">
        <f>"123589"</f>
        <v>123589</v>
      </c>
    </row>
    <row r="4935" spans="1:11" x14ac:dyDescent="0.25">
      <c r="A4935">
        <v>2024</v>
      </c>
      <c r="B4935" t="s">
        <v>819</v>
      </c>
      <c r="C4935" t="s">
        <v>820</v>
      </c>
      <c r="D4935" t="s">
        <v>19</v>
      </c>
      <c r="E4935" t="s">
        <v>20</v>
      </c>
      <c r="F4935" t="str">
        <f>"43613-3141"</f>
        <v>43613-3141</v>
      </c>
      <c r="G4935" t="str">
        <f>"716165"</f>
        <v>716165</v>
      </c>
      <c r="H4935" s="2">
        <f>30</f>
        <v>30</v>
      </c>
      <c r="I4935" t="s">
        <v>27</v>
      </c>
      <c r="J4935" t="s">
        <v>34</v>
      </c>
      <c r="K4935" t="str">
        <f>"122113"</f>
        <v>122113</v>
      </c>
    </row>
    <row r="4936" spans="1:11" x14ac:dyDescent="0.25">
      <c r="A4936">
        <v>2024</v>
      </c>
      <c r="B4936" t="s">
        <v>827</v>
      </c>
      <c r="C4936" t="s">
        <v>828</v>
      </c>
      <c r="D4936" t="s">
        <v>829</v>
      </c>
      <c r="E4936" t="s">
        <v>20</v>
      </c>
      <c r="F4936" t="str">
        <f>"44132"</f>
        <v>44132</v>
      </c>
      <c r="G4936" t="str">
        <f>"716166"</f>
        <v>716166</v>
      </c>
      <c r="H4936" s="2">
        <f>20</f>
        <v>20</v>
      </c>
      <c r="I4936" t="s">
        <v>27</v>
      </c>
      <c r="J4936" t="s">
        <v>262</v>
      </c>
      <c r="K4936" t="str">
        <f>"42815"</f>
        <v>42815</v>
      </c>
    </row>
    <row r="4937" spans="1:11" x14ac:dyDescent="0.25">
      <c r="A4937">
        <v>2024</v>
      </c>
      <c r="B4937" t="s">
        <v>832</v>
      </c>
      <c r="C4937" t="s">
        <v>833</v>
      </c>
      <c r="D4937" t="s">
        <v>19</v>
      </c>
      <c r="E4937" t="s">
        <v>20</v>
      </c>
      <c r="F4937" t="str">
        <f>"43615-3144"</f>
        <v>43615-3144</v>
      </c>
      <c r="G4937" t="str">
        <f>"716165"</f>
        <v>716165</v>
      </c>
      <c r="H4937" s="2">
        <f>10</f>
        <v>10</v>
      </c>
      <c r="I4937" t="s">
        <v>27</v>
      </c>
      <c r="J4937" t="s">
        <v>34</v>
      </c>
      <c r="K4937" t="str">
        <f>"123964"</f>
        <v>123964</v>
      </c>
    </row>
    <row r="4938" spans="1:11" x14ac:dyDescent="0.25">
      <c r="A4938">
        <v>2024</v>
      </c>
      <c r="B4938" t="s">
        <v>836</v>
      </c>
      <c r="C4938" t="s">
        <v>837</v>
      </c>
      <c r="D4938" t="s">
        <v>19</v>
      </c>
      <c r="E4938" t="s">
        <v>20</v>
      </c>
      <c r="F4938" t="str">
        <f>"43611-2137"</f>
        <v>43611-2137</v>
      </c>
      <c r="G4938" t="str">
        <f>"716165"</f>
        <v>716165</v>
      </c>
      <c r="H4938" s="2">
        <f>80</f>
        <v>80</v>
      </c>
      <c r="I4938" t="s">
        <v>27</v>
      </c>
      <c r="J4938" t="s">
        <v>34</v>
      </c>
      <c r="K4938" t="str">
        <f>"124671"</f>
        <v>124671</v>
      </c>
    </row>
    <row r="4939" spans="1:11" x14ac:dyDescent="0.25">
      <c r="A4939">
        <v>2024</v>
      </c>
      <c r="B4939" t="s">
        <v>838</v>
      </c>
      <c r="C4939" t="s">
        <v>839</v>
      </c>
      <c r="D4939" t="s">
        <v>19</v>
      </c>
      <c r="E4939" t="s">
        <v>20</v>
      </c>
      <c r="F4939" t="str">
        <f>"43613-5130"</f>
        <v>43613-5130</v>
      </c>
      <c r="G4939" t="str">
        <f>"716165"</f>
        <v>716165</v>
      </c>
      <c r="H4939" s="2">
        <f>20</f>
        <v>20</v>
      </c>
      <c r="I4939" t="s">
        <v>27</v>
      </c>
      <c r="J4939" t="s">
        <v>34</v>
      </c>
      <c r="K4939" t="str">
        <f>"123068"</f>
        <v>123068</v>
      </c>
    </row>
    <row r="4940" spans="1:11" x14ac:dyDescent="0.25">
      <c r="A4940">
        <v>2024</v>
      </c>
      <c r="B4940" t="s">
        <v>842</v>
      </c>
      <c r="C4940" t="s">
        <v>843</v>
      </c>
      <c r="D4940" t="s">
        <v>19</v>
      </c>
      <c r="E4940" t="s">
        <v>20</v>
      </c>
      <c r="F4940" t="str">
        <f>"43606-1649"</f>
        <v>43606-1649</v>
      </c>
      <c r="G4940" t="str">
        <f>"716165"</f>
        <v>716165</v>
      </c>
      <c r="H4940" s="2">
        <f>20</f>
        <v>20</v>
      </c>
      <c r="I4940" t="s">
        <v>27</v>
      </c>
      <c r="J4940" t="s">
        <v>34</v>
      </c>
      <c r="K4940" t="str">
        <f>"124098"</f>
        <v>124098</v>
      </c>
    </row>
    <row r="4941" spans="1:11" x14ac:dyDescent="0.25">
      <c r="A4941">
        <v>2024</v>
      </c>
      <c r="B4941" t="s">
        <v>844</v>
      </c>
      <c r="C4941" t="s">
        <v>845</v>
      </c>
      <c r="D4941" t="s">
        <v>19</v>
      </c>
      <c r="E4941" t="s">
        <v>20</v>
      </c>
      <c r="F4941" t="str">
        <f>"43612-1516"</f>
        <v>43612-1516</v>
      </c>
      <c r="G4941" t="str">
        <f>"716165"</f>
        <v>716165</v>
      </c>
      <c r="H4941" s="2">
        <f>10</f>
        <v>10</v>
      </c>
      <c r="I4941" t="s">
        <v>27</v>
      </c>
      <c r="J4941" t="s">
        <v>34</v>
      </c>
      <c r="K4941" t="str">
        <f>"125095"</f>
        <v>125095</v>
      </c>
    </row>
    <row r="4942" spans="1:11" x14ac:dyDescent="0.25">
      <c r="A4942">
        <v>2024</v>
      </c>
      <c r="B4942" t="s">
        <v>846</v>
      </c>
      <c r="C4942" t="s">
        <v>847</v>
      </c>
      <c r="D4942" t="s">
        <v>19</v>
      </c>
      <c r="E4942" t="s">
        <v>20</v>
      </c>
      <c r="F4942" t="str">
        <f>"43615"</f>
        <v>43615</v>
      </c>
      <c r="G4942" t="str">
        <f>"716619"</f>
        <v>716619</v>
      </c>
      <c r="H4942" s="2">
        <f>15</f>
        <v>15</v>
      </c>
      <c r="I4942" t="s">
        <v>27</v>
      </c>
      <c r="J4942" t="s">
        <v>34</v>
      </c>
      <c r="K4942" t="str">
        <f>"33012827"</f>
        <v>33012827</v>
      </c>
    </row>
    <row r="4943" spans="1:11" x14ac:dyDescent="0.25">
      <c r="A4943">
        <v>2024</v>
      </c>
      <c r="B4943" t="s">
        <v>850</v>
      </c>
      <c r="C4943" t="s">
        <v>851</v>
      </c>
      <c r="D4943" t="s">
        <v>19</v>
      </c>
      <c r="E4943" t="s">
        <v>20</v>
      </c>
      <c r="F4943" t="str">
        <f>"43614-1925"</f>
        <v>43614-1925</v>
      </c>
      <c r="G4943" t="str">
        <f>"716165"</f>
        <v>716165</v>
      </c>
      <c r="H4943" s="2">
        <f>20</f>
        <v>20</v>
      </c>
      <c r="I4943" t="s">
        <v>27</v>
      </c>
      <c r="J4943" t="s">
        <v>34</v>
      </c>
      <c r="K4943" t="str">
        <f>"122651"</f>
        <v>122651</v>
      </c>
    </row>
    <row r="4944" spans="1:11" x14ac:dyDescent="0.25">
      <c r="A4944">
        <v>2024</v>
      </c>
      <c r="B4944" t="s">
        <v>882</v>
      </c>
      <c r="C4944" t="s">
        <v>883</v>
      </c>
      <c r="D4944" t="s">
        <v>19</v>
      </c>
      <c r="E4944" t="s">
        <v>20</v>
      </c>
      <c r="F4944" t="str">
        <f>"43615-6554"</f>
        <v>43615-6554</v>
      </c>
      <c r="G4944" t="str">
        <f>"716165"</f>
        <v>716165</v>
      </c>
      <c r="H4944" s="2">
        <f>10</f>
        <v>10</v>
      </c>
      <c r="I4944" t="s">
        <v>27</v>
      </c>
      <c r="J4944" t="s">
        <v>34</v>
      </c>
      <c r="K4944" t="str">
        <f>"124929"</f>
        <v>124929</v>
      </c>
    </row>
    <row r="4945" spans="1:11" x14ac:dyDescent="0.25">
      <c r="A4945">
        <v>2024</v>
      </c>
      <c r="B4945" t="s">
        <v>888</v>
      </c>
      <c r="C4945" t="s">
        <v>889</v>
      </c>
      <c r="D4945" t="s">
        <v>19</v>
      </c>
      <c r="E4945" t="s">
        <v>20</v>
      </c>
      <c r="F4945" t="str">
        <f>"43608"</f>
        <v>43608</v>
      </c>
      <c r="G4945" t="str">
        <f>"712783"</f>
        <v>712783</v>
      </c>
      <c r="H4945" s="2">
        <f>4</f>
        <v>4</v>
      </c>
      <c r="I4945" t="s">
        <v>519</v>
      </c>
      <c r="J4945" t="s">
        <v>519</v>
      </c>
      <c r="K4945" t="str">
        <f>"11522"</f>
        <v>11522</v>
      </c>
    </row>
    <row r="4946" spans="1:11" x14ac:dyDescent="0.25">
      <c r="A4946">
        <v>2024</v>
      </c>
      <c r="B4946" t="s">
        <v>918</v>
      </c>
      <c r="C4946" t="s">
        <v>919</v>
      </c>
      <c r="D4946" t="s">
        <v>125</v>
      </c>
      <c r="E4946" t="s">
        <v>20</v>
      </c>
      <c r="F4946" t="str">
        <f>"43537-2221"</f>
        <v>43537-2221</v>
      </c>
      <c r="G4946" t="str">
        <f>"716165"</f>
        <v>716165</v>
      </c>
      <c r="H4946" s="2">
        <f>10</f>
        <v>10</v>
      </c>
      <c r="I4946" t="s">
        <v>27</v>
      </c>
      <c r="J4946" t="s">
        <v>34</v>
      </c>
      <c r="K4946" t="str">
        <f>"123573"</f>
        <v>123573</v>
      </c>
    </row>
    <row r="4947" spans="1:11" x14ac:dyDescent="0.25">
      <c r="A4947">
        <v>2024</v>
      </c>
      <c r="B4947" t="s">
        <v>920</v>
      </c>
      <c r="C4947" t="s">
        <v>921</v>
      </c>
      <c r="D4947" t="s">
        <v>922</v>
      </c>
      <c r="E4947" t="s">
        <v>923</v>
      </c>
      <c r="F4947" t="str">
        <f>"90012"</f>
        <v>90012</v>
      </c>
      <c r="G4947" t="str">
        <f>"716619"</f>
        <v>716619</v>
      </c>
      <c r="H4947" s="2">
        <f>17</f>
        <v>17</v>
      </c>
      <c r="I4947" t="s">
        <v>27</v>
      </c>
      <c r="J4947" t="s">
        <v>34</v>
      </c>
      <c r="K4947" t="str">
        <f>"11004556"</f>
        <v>11004556</v>
      </c>
    </row>
    <row r="4948" spans="1:11" x14ac:dyDescent="0.25">
      <c r="A4948">
        <v>2024</v>
      </c>
      <c r="B4948" t="s">
        <v>920</v>
      </c>
      <c r="C4948" t="s">
        <v>921</v>
      </c>
      <c r="D4948" t="s">
        <v>922</v>
      </c>
      <c r="E4948" t="s">
        <v>923</v>
      </c>
      <c r="F4948" t="str">
        <f>"90012"</f>
        <v>90012</v>
      </c>
      <c r="G4948" t="str">
        <f>"716619"</f>
        <v>716619</v>
      </c>
      <c r="H4948" s="2">
        <f>6</f>
        <v>6</v>
      </c>
      <c r="I4948" t="s">
        <v>27</v>
      </c>
      <c r="J4948" t="s">
        <v>34</v>
      </c>
      <c r="K4948" t="str">
        <f>"44010240"</f>
        <v>44010240</v>
      </c>
    </row>
    <row r="4949" spans="1:11" x14ac:dyDescent="0.25">
      <c r="A4949">
        <v>2024</v>
      </c>
      <c r="B4949" t="s">
        <v>939</v>
      </c>
      <c r="C4949" t="s">
        <v>940</v>
      </c>
      <c r="D4949" t="s">
        <v>19</v>
      </c>
      <c r="E4949" t="s">
        <v>20</v>
      </c>
      <c r="F4949" t="str">
        <f>"43613-1927"</f>
        <v>43613-1927</v>
      </c>
      <c r="G4949" t="str">
        <f>"716165"</f>
        <v>716165</v>
      </c>
      <c r="H4949" s="2">
        <f>10</f>
        <v>10</v>
      </c>
      <c r="I4949" t="s">
        <v>27</v>
      </c>
      <c r="J4949" t="s">
        <v>34</v>
      </c>
      <c r="K4949" t="str">
        <f>"124738"</f>
        <v>124738</v>
      </c>
    </row>
    <row r="4950" spans="1:11" x14ac:dyDescent="0.25">
      <c r="A4950">
        <v>2024</v>
      </c>
      <c r="B4950" t="s">
        <v>941</v>
      </c>
      <c r="C4950" t="s">
        <v>942</v>
      </c>
      <c r="D4950" t="s">
        <v>19</v>
      </c>
      <c r="E4950" t="s">
        <v>20</v>
      </c>
      <c r="F4950" t="str">
        <f>"43611"</f>
        <v>43611</v>
      </c>
      <c r="G4950" t="str">
        <f>"718470"</f>
        <v>718470</v>
      </c>
      <c r="H4950" s="2">
        <f>47.92</f>
        <v>47.92</v>
      </c>
      <c r="I4950" t="s">
        <v>27</v>
      </c>
      <c r="J4950" t="s">
        <v>34</v>
      </c>
      <c r="K4950" t="str">
        <f>"334495"</f>
        <v>334495</v>
      </c>
    </row>
    <row r="4951" spans="1:11" x14ac:dyDescent="0.25">
      <c r="A4951">
        <v>2024</v>
      </c>
      <c r="B4951" t="s">
        <v>947</v>
      </c>
      <c r="C4951" t="s">
        <v>948</v>
      </c>
      <c r="D4951" t="s">
        <v>323</v>
      </c>
      <c r="E4951" t="s">
        <v>20</v>
      </c>
      <c r="F4951" t="str">
        <f>"43571-9739"</f>
        <v>43571-9739</v>
      </c>
      <c r="G4951" t="str">
        <f>"716165"</f>
        <v>716165</v>
      </c>
      <c r="H4951" s="2">
        <f>20</f>
        <v>20</v>
      </c>
      <c r="I4951" t="s">
        <v>27</v>
      </c>
      <c r="J4951" t="s">
        <v>34</v>
      </c>
      <c r="K4951" t="str">
        <f>"124510"</f>
        <v>124510</v>
      </c>
    </row>
    <row r="4952" spans="1:11" x14ac:dyDescent="0.25">
      <c r="A4952">
        <v>2024</v>
      </c>
      <c r="B4952" t="s">
        <v>949</v>
      </c>
      <c r="C4952" t="s">
        <v>950</v>
      </c>
      <c r="D4952" t="s">
        <v>19</v>
      </c>
      <c r="E4952" t="s">
        <v>20</v>
      </c>
      <c r="F4952" t="str">
        <f>"43604-8780"</f>
        <v>43604-8780</v>
      </c>
      <c r="G4952" t="str">
        <f>"716165"</f>
        <v>716165</v>
      </c>
      <c r="H4952" s="2">
        <f>10</f>
        <v>10</v>
      </c>
      <c r="I4952" t="s">
        <v>27</v>
      </c>
      <c r="J4952" t="s">
        <v>34</v>
      </c>
      <c r="K4952" t="str">
        <f>"121293"</f>
        <v>121293</v>
      </c>
    </row>
    <row r="4953" spans="1:11" x14ac:dyDescent="0.25">
      <c r="A4953">
        <v>2024</v>
      </c>
      <c r="B4953" t="s">
        <v>953</v>
      </c>
      <c r="C4953" t="s">
        <v>954</v>
      </c>
      <c r="D4953" t="s">
        <v>19</v>
      </c>
      <c r="E4953" t="s">
        <v>20</v>
      </c>
      <c r="F4953" t="str">
        <f>"43614-3121"</f>
        <v>43614-3121</v>
      </c>
      <c r="G4953" t="str">
        <f>"716165"</f>
        <v>716165</v>
      </c>
      <c r="H4953" s="2">
        <f>10</f>
        <v>10</v>
      </c>
      <c r="I4953" t="s">
        <v>27</v>
      </c>
      <c r="J4953" t="s">
        <v>34</v>
      </c>
      <c r="K4953" t="str">
        <f>"123494"</f>
        <v>123494</v>
      </c>
    </row>
    <row r="4954" spans="1:11" x14ac:dyDescent="0.25">
      <c r="A4954">
        <v>2024</v>
      </c>
      <c r="B4954" t="s">
        <v>955</v>
      </c>
      <c r="C4954" t="s">
        <v>956</v>
      </c>
      <c r="D4954" t="s">
        <v>19</v>
      </c>
      <c r="E4954" t="s">
        <v>20</v>
      </c>
      <c r="F4954" t="str">
        <f>"43614"</f>
        <v>43614</v>
      </c>
      <c r="G4954" t="str">
        <f>"718470"</f>
        <v>718470</v>
      </c>
      <c r="H4954" s="2">
        <f>7.02</f>
        <v>7.02</v>
      </c>
      <c r="I4954" t="s">
        <v>27</v>
      </c>
      <c r="J4954" t="s">
        <v>34</v>
      </c>
      <c r="K4954" t="str">
        <f>"334567"</f>
        <v>334567</v>
      </c>
    </row>
    <row r="4955" spans="1:11" x14ac:dyDescent="0.25">
      <c r="A4955">
        <v>2024</v>
      </c>
      <c r="B4955" t="s">
        <v>963</v>
      </c>
      <c r="C4955" t="s">
        <v>964</v>
      </c>
      <c r="D4955" t="s">
        <v>19</v>
      </c>
      <c r="E4955" t="s">
        <v>20</v>
      </c>
      <c r="F4955" t="str">
        <f>"43623-1667"</f>
        <v>43623-1667</v>
      </c>
      <c r="G4955" t="str">
        <f>"716165"</f>
        <v>716165</v>
      </c>
      <c r="H4955" s="2">
        <f>40</f>
        <v>40</v>
      </c>
      <c r="I4955" t="s">
        <v>27</v>
      </c>
      <c r="J4955" t="s">
        <v>34</v>
      </c>
      <c r="K4955" t="str">
        <f>"123780"</f>
        <v>123780</v>
      </c>
    </row>
    <row r="4956" spans="1:11" x14ac:dyDescent="0.25">
      <c r="A4956">
        <v>2024</v>
      </c>
      <c r="B4956" t="s">
        <v>982</v>
      </c>
      <c r="C4956" t="s">
        <v>983</v>
      </c>
      <c r="D4956" t="s">
        <v>984</v>
      </c>
      <c r="E4956" t="s">
        <v>985</v>
      </c>
      <c r="F4956" t="str">
        <f>"80021"</f>
        <v>80021</v>
      </c>
      <c r="G4956" t="str">
        <f>"715149"</f>
        <v>715149</v>
      </c>
      <c r="H4956" s="2">
        <f>468.6</f>
        <v>468.6</v>
      </c>
      <c r="I4956" t="s">
        <v>148</v>
      </c>
      <c r="J4956" t="s">
        <v>986</v>
      </c>
      <c r="K4956" t="str">
        <f>"26966"</f>
        <v>26966</v>
      </c>
    </row>
    <row r="4957" spans="1:11" x14ac:dyDescent="0.25">
      <c r="A4957">
        <v>2024</v>
      </c>
      <c r="B4957" t="s">
        <v>1017</v>
      </c>
      <c r="C4957" t="s">
        <v>1021</v>
      </c>
      <c r="D4957" t="s">
        <v>19</v>
      </c>
      <c r="E4957" t="s">
        <v>20</v>
      </c>
      <c r="F4957" t="str">
        <f>"43604"</f>
        <v>43604</v>
      </c>
      <c r="G4957" t="str">
        <f>"718470"</f>
        <v>718470</v>
      </c>
      <c r="H4957" s="2">
        <f>24.3</f>
        <v>24.3</v>
      </c>
      <c r="I4957" t="s">
        <v>27</v>
      </c>
      <c r="J4957" t="s">
        <v>34</v>
      </c>
      <c r="K4957" t="str">
        <f>"334577"</f>
        <v>334577</v>
      </c>
    </row>
    <row r="4958" spans="1:11" x14ac:dyDescent="0.25">
      <c r="A4958">
        <v>2024</v>
      </c>
      <c r="B4958" t="s">
        <v>1022</v>
      </c>
      <c r="C4958" t="s">
        <v>1023</v>
      </c>
      <c r="D4958" t="s">
        <v>19</v>
      </c>
      <c r="E4958" t="s">
        <v>20</v>
      </c>
      <c r="F4958" t="str">
        <f>"43606"</f>
        <v>43606</v>
      </c>
      <c r="G4958" t="str">
        <f>"701128"</f>
        <v>701128</v>
      </c>
      <c r="H4958" s="2">
        <f>468.6</f>
        <v>468.6</v>
      </c>
      <c r="I4958" t="s">
        <v>148</v>
      </c>
      <c r="J4958" t="s">
        <v>1024</v>
      </c>
      <c r="K4958" t="str">
        <f>"26771"</f>
        <v>26771</v>
      </c>
    </row>
    <row r="4959" spans="1:11" x14ac:dyDescent="0.25">
      <c r="A4959">
        <v>2024</v>
      </c>
      <c r="B4959" t="s">
        <v>1027</v>
      </c>
      <c r="C4959" t="s">
        <v>1028</v>
      </c>
      <c r="D4959" t="s">
        <v>19</v>
      </c>
      <c r="E4959" t="s">
        <v>20</v>
      </c>
      <c r="F4959" t="str">
        <f>"43606-3739"</f>
        <v>43606-3739</v>
      </c>
      <c r="G4959" t="str">
        <f>"716165"</f>
        <v>716165</v>
      </c>
      <c r="H4959" s="2">
        <f>10</f>
        <v>10</v>
      </c>
      <c r="I4959" t="s">
        <v>27</v>
      </c>
      <c r="J4959" t="s">
        <v>34</v>
      </c>
      <c r="K4959" t="str">
        <f>"124979"</f>
        <v>124979</v>
      </c>
    </row>
    <row r="4960" spans="1:11" x14ac:dyDescent="0.25">
      <c r="A4960">
        <v>2024</v>
      </c>
      <c r="B4960" t="s">
        <v>1035</v>
      </c>
      <c r="C4960" t="s">
        <v>1036</v>
      </c>
      <c r="D4960" t="s">
        <v>19</v>
      </c>
      <c r="E4960" t="s">
        <v>20</v>
      </c>
      <c r="F4960" t="str">
        <f>"43614"</f>
        <v>43614</v>
      </c>
      <c r="G4960" t="str">
        <f>"716165"</f>
        <v>716165</v>
      </c>
      <c r="H4960" s="2">
        <f>10</f>
        <v>10</v>
      </c>
      <c r="I4960" t="s">
        <v>27</v>
      </c>
      <c r="J4960" t="s">
        <v>34</v>
      </c>
      <c r="K4960" t="str">
        <f>"121024"</f>
        <v>121024</v>
      </c>
    </row>
    <row r="4961" spans="1:11" x14ac:dyDescent="0.25">
      <c r="A4961">
        <v>2024</v>
      </c>
      <c r="B4961" t="s">
        <v>1037</v>
      </c>
      <c r="C4961" t="s">
        <v>1038</v>
      </c>
      <c r="D4961" t="s">
        <v>19</v>
      </c>
      <c r="E4961" t="s">
        <v>20</v>
      </c>
      <c r="F4961" t="str">
        <f>"43623-1637"</f>
        <v>43623-1637</v>
      </c>
      <c r="G4961" t="str">
        <f>"716165"</f>
        <v>716165</v>
      </c>
      <c r="H4961" s="2">
        <f>10</f>
        <v>10</v>
      </c>
      <c r="I4961" t="s">
        <v>27</v>
      </c>
      <c r="J4961" t="s">
        <v>34</v>
      </c>
      <c r="K4961" t="str">
        <f>"124687"</f>
        <v>124687</v>
      </c>
    </row>
    <row r="4962" spans="1:11" x14ac:dyDescent="0.25">
      <c r="A4962">
        <v>2024</v>
      </c>
      <c r="B4962" t="s">
        <v>1049</v>
      </c>
      <c r="C4962" t="s">
        <v>1050</v>
      </c>
      <c r="D4962" t="s">
        <v>19</v>
      </c>
      <c r="E4962" t="s">
        <v>20</v>
      </c>
      <c r="F4962" t="str">
        <f>"43613"</f>
        <v>43613</v>
      </c>
      <c r="G4962" t="str">
        <f>"716619"</f>
        <v>716619</v>
      </c>
      <c r="H4962" s="2">
        <f>39</f>
        <v>39</v>
      </c>
      <c r="I4962" t="s">
        <v>27</v>
      </c>
      <c r="J4962" t="s">
        <v>34</v>
      </c>
      <c r="K4962" t="str">
        <f>"33012649"</f>
        <v>33012649</v>
      </c>
    </row>
    <row r="4963" spans="1:11" x14ac:dyDescent="0.25">
      <c r="A4963">
        <v>2024</v>
      </c>
      <c r="B4963" t="s">
        <v>1055</v>
      </c>
      <c r="C4963" t="s">
        <v>1057</v>
      </c>
      <c r="D4963" t="s">
        <v>19</v>
      </c>
      <c r="E4963" t="s">
        <v>20</v>
      </c>
      <c r="F4963" t="str">
        <f>"43610"</f>
        <v>43610</v>
      </c>
      <c r="G4963" t="str">
        <f>"716619"</f>
        <v>716619</v>
      </c>
      <c r="H4963" s="2">
        <f>8</f>
        <v>8</v>
      </c>
      <c r="I4963" t="s">
        <v>27</v>
      </c>
      <c r="J4963" t="s">
        <v>34</v>
      </c>
      <c r="K4963" t="str">
        <f>"11004503"</f>
        <v>11004503</v>
      </c>
    </row>
    <row r="4964" spans="1:11" x14ac:dyDescent="0.25">
      <c r="A4964">
        <v>2024</v>
      </c>
      <c r="B4964" t="s">
        <v>1058</v>
      </c>
      <c r="C4964" t="s">
        <v>1059</v>
      </c>
      <c r="D4964" t="s">
        <v>1060</v>
      </c>
      <c r="E4964" t="s">
        <v>418</v>
      </c>
      <c r="F4964" t="str">
        <f>"60202"</f>
        <v>60202</v>
      </c>
      <c r="G4964" t="str">
        <f>"716619"</f>
        <v>716619</v>
      </c>
      <c r="H4964" s="2">
        <f>3.15</f>
        <v>3.15</v>
      </c>
      <c r="I4964" t="s">
        <v>27</v>
      </c>
      <c r="J4964" t="s">
        <v>34</v>
      </c>
      <c r="K4964" t="str">
        <f>"22026087"</f>
        <v>22026087</v>
      </c>
    </row>
    <row r="4965" spans="1:11" x14ac:dyDescent="0.25">
      <c r="A4965">
        <v>2024</v>
      </c>
      <c r="B4965" t="s">
        <v>1140</v>
      </c>
      <c r="C4965" t="s">
        <v>1141</v>
      </c>
      <c r="D4965" t="s">
        <v>19</v>
      </c>
      <c r="E4965" t="s">
        <v>20</v>
      </c>
      <c r="F4965" t="str">
        <f>"43615"</f>
        <v>43615</v>
      </c>
      <c r="G4965" t="str">
        <f>"Je10112024"</f>
        <v>Je10112024</v>
      </c>
      <c r="H4965" s="2">
        <f>20</f>
        <v>20</v>
      </c>
      <c r="I4965" t="s">
        <v>15</v>
      </c>
      <c r="J4965" t="s">
        <v>205</v>
      </c>
      <c r="K4965" t="str">
        <f>"60127358"</f>
        <v>60127358</v>
      </c>
    </row>
    <row r="4966" spans="1:11" x14ac:dyDescent="0.25">
      <c r="A4966">
        <v>2024</v>
      </c>
      <c r="B4966" t="s">
        <v>1187</v>
      </c>
      <c r="C4966" t="s">
        <v>1188</v>
      </c>
      <c r="D4966" t="s">
        <v>125</v>
      </c>
      <c r="E4966" t="s">
        <v>20</v>
      </c>
      <c r="F4966" t="str">
        <f>"43537"</f>
        <v>43537</v>
      </c>
      <c r="G4966" t="str">
        <f>"Je10112024"</f>
        <v>Je10112024</v>
      </c>
      <c r="H4966" s="2">
        <f>82</f>
        <v>82</v>
      </c>
      <c r="I4966" t="s">
        <v>15</v>
      </c>
      <c r="J4966" t="s">
        <v>205</v>
      </c>
      <c r="K4966" t="str">
        <f>"60128861"</f>
        <v>60128861</v>
      </c>
    </row>
    <row r="4967" spans="1:11" x14ac:dyDescent="0.25">
      <c r="A4967">
        <v>2024</v>
      </c>
      <c r="B4967" t="s">
        <v>1214</v>
      </c>
      <c r="C4967" t="s">
        <v>1215</v>
      </c>
      <c r="D4967" t="s">
        <v>19</v>
      </c>
      <c r="E4967" t="s">
        <v>20</v>
      </c>
      <c r="F4967" t="str">
        <f>"43620-1143"</f>
        <v>43620-1143</v>
      </c>
      <c r="G4967" t="str">
        <f t="shared" ref="G4967:G4972" si="169">"716165"</f>
        <v>716165</v>
      </c>
      <c r="H4967" s="2">
        <f>20</f>
        <v>20</v>
      </c>
      <c r="I4967" t="s">
        <v>27</v>
      </c>
      <c r="J4967" t="s">
        <v>34</v>
      </c>
      <c r="K4967" t="str">
        <f>"124096"</f>
        <v>124096</v>
      </c>
    </row>
    <row r="4968" spans="1:11" x14ac:dyDescent="0.25">
      <c r="A4968">
        <v>2024</v>
      </c>
      <c r="B4968" t="s">
        <v>1216</v>
      </c>
      <c r="C4968" t="s">
        <v>1217</v>
      </c>
      <c r="D4968" t="s">
        <v>19</v>
      </c>
      <c r="E4968" t="s">
        <v>20</v>
      </c>
      <c r="F4968" t="str">
        <f>"43613-4725"</f>
        <v>43613-4725</v>
      </c>
      <c r="G4968" t="str">
        <f t="shared" si="169"/>
        <v>716165</v>
      </c>
      <c r="H4968" s="2">
        <f>10</f>
        <v>10</v>
      </c>
      <c r="I4968" t="s">
        <v>27</v>
      </c>
      <c r="J4968" t="s">
        <v>34</v>
      </c>
      <c r="K4968" t="str">
        <f>"122883"</f>
        <v>122883</v>
      </c>
    </row>
    <row r="4969" spans="1:11" x14ac:dyDescent="0.25">
      <c r="A4969">
        <v>2024</v>
      </c>
      <c r="B4969" t="s">
        <v>1216</v>
      </c>
      <c r="C4969" t="s">
        <v>1217</v>
      </c>
      <c r="D4969" t="s">
        <v>19</v>
      </c>
      <c r="E4969" t="s">
        <v>20</v>
      </c>
      <c r="F4969" t="str">
        <f>"43613-4725"</f>
        <v>43613-4725</v>
      </c>
      <c r="G4969" t="str">
        <f t="shared" si="169"/>
        <v>716165</v>
      </c>
      <c r="H4969" s="2">
        <f>10</f>
        <v>10</v>
      </c>
      <c r="I4969" t="s">
        <v>27</v>
      </c>
      <c r="J4969" t="s">
        <v>34</v>
      </c>
      <c r="K4969" t="str">
        <f>"122770"</f>
        <v>122770</v>
      </c>
    </row>
    <row r="4970" spans="1:11" x14ac:dyDescent="0.25">
      <c r="A4970">
        <v>2024</v>
      </c>
      <c r="B4970" t="s">
        <v>1218</v>
      </c>
      <c r="C4970" t="s">
        <v>1219</v>
      </c>
      <c r="D4970" t="s">
        <v>125</v>
      </c>
      <c r="E4970" t="s">
        <v>20</v>
      </c>
      <c r="F4970" t="str">
        <f>"43537-3742"</f>
        <v>43537-3742</v>
      </c>
      <c r="G4970" t="str">
        <f t="shared" si="169"/>
        <v>716165</v>
      </c>
      <c r="H4970" s="2">
        <f>20</f>
        <v>20</v>
      </c>
      <c r="I4970" t="s">
        <v>27</v>
      </c>
      <c r="J4970" t="s">
        <v>34</v>
      </c>
      <c r="K4970" t="str">
        <f>"123844"</f>
        <v>123844</v>
      </c>
    </row>
    <row r="4971" spans="1:11" x14ac:dyDescent="0.25">
      <c r="A4971">
        <v>2024</v>
      </c>
      <c r="B4971" t="s">
        <v>1220</v>
      </c>
      <c r="C4971" t="s">
        <v>1221</v>
      </c>
      <c r="D4971" t="s">
        <v>125</v>
      </c>
      <c r="E4971" t="s">
        <v>20</v>
      </c>
      <c r="F4971" t="str">
        <f>"43537-1435"</f>
        <v>43537-1435</v>
      </c>
      <c r="G4971" t="str">
        <f t="shared" si="169"/>
        <v>716165</v>
      </c>
      <c r="H4971" s="2">
        <f>20</f>
        <v>20</v>
      </c>
      <c r="I4971" t="s">
        <v>27</v>
      </c>
      <c r="J4971" t="s">
        <v>34</v>
      </c>
      <c r="K4971" t="str">
        <f>"123730"</f>
        <v>123730</v>
      </c>
    </row>
    <row r="4972" spans="1:11" x14ac:dyDescent="0.25">
      <c r="A4972">
        <v>2024</v>
      </c>
      <c r="B4972" t="s">
        <v>1228</v>
      </c>
      <c r="C4972" t="s">
        <v>1229</v>
      </c>
      <c r="D4972" t="s">
        <v>1230</v>
      </c>
      <c r="E4972" t="s">
        <v>20</v>
      </c>
      <c r="F4972" t="str">
        <f>"43547-0314"</f>
        <v>43547-0314</v>
      </c>
      <c r="G4972" t="str">
        <f t="shared" si="169"/>
        <v>716165</v>
      </c>
      <c r="H4972" s="2">
        <f>10</f>
        <v>10</v>
      </c>
      <c r="I4972" t="s">
        <v>27</v>
      </c>
      <c r="J4972" t="s">
        <v>34</v>
      </c>
      <c r="K4972" t="str">
        <f>"121652"</f>
        <v>121652</v>
      </c>
    </row>
    <row r="4973" spans="1:11" x14ac:dyDescent="0.25">
      <c r="A4973">
        <v>2024</v>
      </c>
      <c r="B4973" t="s">
        <v>1247</v>
      </c>
      <c r="C4973" t="s">
        <v>1248</v>
      </c>
      <c r="D4973" t="s">
        <v>105</v>
      </c>
      <c r="E4973" t="s">
        <v>20</v>
      </c>
      <c r="F4973" t="str">
        <f>"43528"</f>
        <v>43528</v>
      </c>
      <c r="G4973" t="str">
        <f>"Je03262024"</f>
        <v>Je03262024</v>
      </c>
      <c r="H4973" s="2">
        <f>61.43</f>
        <v>61.43</v>
      </c>
      <c r="I4973" t="s">
        <v>15</v>
      </c>
      <c r="J4973" t="s">
        <v>21</v>
      </c>
      <c r="K4973" t="str">
        <f>"60111181"</f>
        <v>60111181</v>
      </c>
    </row>
    <row r="4974" spans="1:11" x14ac:dyDescent="0.25">
      <c r="A4974">
        <v>2024</v>
      </c>
      <c r="B4974" t="s">
        <v>1291</v>
      </c>
      <c r="C4974" t="s">
        <v>1292</v>
      </c>
      <c r="D4974" t="s">
        <v>19</v>
      </c>
      <c r="E4974" t="s">
        <v>20</v>
      </c>
      <c r="F4974" t="str">
        <f>"43614-3604"</f>
        <v>43614-3604</v>
      </c>
      <c r="G4974" t="str">
        <f>"716165"</f>
        <v>716165</v>
      </c>
      <c r="H4974" s="2">
        <f>10</f>
        <v>10</v>
      </c>
      <c r="I4974" t="s">
        <v>27</v>
      </c>
      <c r="J4974" t="s">
        <v>34</v>
      </c>
      <c r="K4974" t="str">
        <f>"121109"</f>
        <v>121109</v>
      </c>
    </row>
    <row r="4975" spans="1:11" x14ac:dyDescent="0.25">
      <c r="A4975">
        <v>2024</v>
      </c>
      <c r="B4975" t="s">
        <v>1293</v>
      </c>
      <c r="C4975" t="s">
        <v>1294</v>
      </c>
      <c r="D4975" t="s">
        <v>19</v>
      </c>
      <c r="E4975" t="s">
        <v>20</v>
      </c>
      <c r="F4975" t="str">
        <f>"43614-2807"</f>
        <v>43614-2807</v>
      </c>
      <c r="G4975" t="str">
        <f>"716165"</f>
        <v>716165</v>
      </c>
      <c r="H4975" s="2">
        <f>30</f>
        <v>30</v>
      </c>
      <c r="I4975" t="s">
        <v>27</v>
      </c>
      <c r="J4975" t="s">
        <v>34</v>
      </c>
      <c r="K4975" t="str">
        <f>"123965"</f>
        <v>123965</v>
      </c>
    </row>
    <row r="4976" spans="1:11" x14ac:dyDescent="0.25">
      <c r="A4976">
        <v>2024</v>
      </c>
      <c r="B4976" t="s">
        <v>1316</v>
      </c>
      <c r="C4976" t="s">
        <v>1317</v>
      </c>
      <c r="D4976" t="s">
        <v>50</v>
      </c>
      <c r="E4976" t="s">
        <v>20</v>
      </c>
      <c r="F4976" t="str">
        <f>"43560"</f>
        <v>43560</v>
      </c>
      <c r="G4976" t="str">
        <f>"Je03262024"</f>
        <v>Je03262024</v>
      </c>
      <c r="H4976" s="2">
        <f>1033.13</f>
        <v>1033.1300000000001</v>
      </c>
      <c r="I4976" t="s">
        <v>15</v>
      </c>
      <c r="J4976" t="s">
        <v>21</v>
      </c>
      <c r="K4976" t="str">
        <f>"60082494"</f>
        <v>60082494</v>
      </c>
    </row>
    <row r="4977" spans="1:11" x14ac:dyDescent="0.25">
      <c r="A4977">
        <v>2024</v>
      </c>
      <c r="B4977" t="s">
        <v>1324</v>
      </c>
      <c r="C4977" t="s">
        <v>1325</v>
      </c>
      <c r="D4977" t="s">
        <v>58</v>
      </c>
      <c r="E4977" t="s">
        <v>20</v>
      </c>
      <c r="F4977" t="str">
        <f>"43616"</f>
        <v>43616</v>
      </c>
      <c r="G4977" t="str">
        <f>"Je12122024"</f>
        <v>Je12122024</v>
      </c>
      <c r="H4977" s="2">
        <f>183</f>
        <v>183</v>
      </c>
      <c r="I4977" t="s">
        <v>15</v>
      </c>
      <c r="J4977" t="s">
        <v>1326</v>
      </c>
      <c r="K4977" t="str">
        <f>"60136808"</f>
        <v>60136808</v>
      </c>
    </row>
    <row r="4978" spans="1:11" x14ac:dyDescent="0.25">
      <c r="A4978">
        <v>2024</v>
      </c>
      <c r="B4978" t="s">
        <v>1330</v>
      </c>
      <c r="C4978" t="s">
        <v>1331</v>
      </c>
      <c r="D4978" t="s">
        <v>19</v>
      </c>
      <c r="E4978" t="s">
        <v>20</v>
      </c>
      <c r="F4978" t="str">
        <f>"43612-1649"</f>
        <v>43612-1649</v>
      </c>
      <c r="G4978" t="str">
        <f>"716165"</f>
        <v>716165</v>
      </c>
      <c r="H4978" s="2">
        <f>10</f>
        <v>10</v>
      </c>
      <c r="I4978" t="s">
        <v>27</v>
      </c>
      <c r="J4978" t="s">
        <v>34</v>
      </c>
      <c r="K4978" t="str">
        <f>"123940"</f>
        <v>123940</v>
      </c>
    </row>
    <row r="4979" spans="1:11" x14ac:dyDescent="0.25">
      <c r="A4979">
        <v>2024</v>
      </c>
      <c r="B4979" t="s">
        <v>1338</v>
      </c>
      <c r="C4979" t="s">
        <v>1339</v>
      </c>
      <c r="D4979" t="s">
        <v>1340</v>
      </c>
      <c r="E4979" t="s">
        <v>1341</v>
      </c>
      <c r="F4979" t="str">
        <f>"78401"</f>
        <v>78401</v>
      </c>
      <c r="G4979" t="str">
        <f>"716166"</f>
        <v>716166</v>
      </c>
      <c r="H4979" s="2">
        <f>20</f>
        <v>20</v>
      </c>
      <c r="I4979" t="s">
        <v>27</v>
      </c>
      <c r="J4979" t="s">
        <v>262</v>
      </c>
      <c r="K4979" t="str">
        <f>"42806"</f>
        <v>42806</v>
      </c>
    </row>
    <row r="4980" spans="1:11" x14ac:dyDescent="0.25">
      <c r="A4980">
        <v>2024</v>
      </c>
      <c r="B4980" t="s">
        <v>1378</v>
      </c>
      <c r="C4980" t="s">
        <v>1379</v>
      </c>
      <c r="D4980" t="s">
        <v>125</v>
      </c>
      <c r="E4980" t="s">
        <v>20</v>
      </c>
      <c r="F4980" t="str">
        <f>"43537-1254"</f>
        <v>43537-1254</v>
      </c>
      <c r="G4980" t="str">
        <f>"716165"</f>
        <v>716165</v>
      </c>
      <c r="H4980" s="2">
        <f>80</f>
        <v>80</v>
      </c>
      <c r="I4980" t="s">
        <v>27</v>
      </c>
      <c r="J4980" t="s">
        <v>34</v>
      </c>
      <c r="K4980" t="str">
        <f>"121788"</f>
        <v>121788</v>
      </c>
    </row>
    <row r="4981" spans="1:11" x14ac:dyDescent="0.25">
      <c r="A4981">
        <v>2024</v>
      </c>
      <c r="B4981" t="s">
        <v>1380</v>
      </c>
      <c r="C4981" t="s">
        <v>1381</v>
      </c>
      <c r="D4981" t="s">
        <v>19</v>
      </c>
      <c r="E4981" t="s">
        <v>20</v>
      </c>
      <c r="F4981" t="str">
        <f>"43613-2532"</f>
        <v>43613-2532</v>
      </c>
      <c r="G4981" t="str">
        <f>"716165"</f>
        <v>716165</v>
      </c>
      <c r="H4981" s="2">
        <f>10</f>
        <v>10</v>
      </c>
      <c r="I4981" t="s">
        <v>27</v>
      </c>
      <c r="J4981" t="s">
        <v>34</v>
      </c>
      <c r="K4981" t="str">
        <f>"122338"</f>
        <v>122338</v>
      </c>
    </row>
    <row r="4982" spans="1:11" x14ac:dyDescent="0.25">
      <c r="A4982">
        <v>2024</v>
      </c>
      <c r="B4982" t="s">
        <v>1387</v>
      </c>
      <c r="C4982" t="s">
        <v>1388</v>
      </c>
      <c r="D4982" t="s">
        <v>125</v>
      </c>
      <c r="E4982" t="s">
        <v>20</v>
      </c>
      <c r="F4982" t="str">
        <f>"43537-2346"</f>
        <v>43537-2346</v>
      </c>
      <c r="G4982" t="str">
        <f>"716165"</f>
        <v>716165</v>
      </c>
      <c r="H4982" s="2">
        <f>20</f>
        <v>20</v>
      </c>
      <c r="I4982" t="s">
        <v>27</v>
      </c>
      <c r="J4982" t="s">
        <v>34</v>
      </c>
      <c r="K4982" t="str">
        <f>"122219"</f>
        <v>122219</v>
      </c>
    </row>
    <row r="4983" spans="1:11" x14ac:dyDescent="0.25">
      <c r="A4983">
        <v>2024</v>
      </c>
      <c r="B4983" t="s">
        <v>1389</v>
      </c>
      <c r="C4983" t="s">
        <v>1390</v>
      </c>
      <c r="D4983" t="s">
        <v>19</v>
      </c>
      <c r="E4983" t="s">
        <v>20</v>
      </c>
      <c r="F4983" t="str">
        <f>"43613-4043"</f>
        <v>43613-4043</v>
      </c>
      <c r="G4983" t="str">
        <f>"716165"</f>
        <v>716165</v>
      </c>
      <c r="H4983" s="2">
        <f>10</f>
        <v>10</v>
      </c>
      <c r="I4983" t="s">
        <v>27</v>
      </c>
      <c r="J4983" t="s">
        <v>34</v>
      </c>
      <c r="K4983" t="str">
        <f>"121213"</f>
        <v>121213</v>
      </c>
    </row>
    <row r="4984" spans="1:11" x14ac:dyDescent="0.25">
      <c r="A4984">
        <v>2024</v>
      </c>
      <c r="B4984" t="s">
        <v>1401</v>
      </c>
      <c r="C4984" t="s">
        <v>1402</v>
      </c>
      <c r="D4984" t="s">
        <v>19</v>
      </c>
      <c r="E4984" t="s">
        <v>20</v>
      </c>
      <c r="F4984" t="str">
        <f>"43612-2025"</f>
        <v>43612-2025</v>
      </c>
      <c r="G4984" t="str">
        <f>"716165"</f>
        <v>716165</v>
      </c>
      <c r="H4984" s="2">
        <f>20</f>
        <v>20</v>
      </c>
      <c r="I4984" t="s">
        <v>27</v>
      </c>
      <c r="J4984" t="s">
        <v>34</v>
      </c>
      <c r="K4984" t="str">
        <f>"123496"</f>
        <v>123496</v>
      </c>
    </row>
    <row r="4985" spans="1:11" x14ac:dyDescent="0.25">
      <c r="A4985">
        <v>2024</v>
      </c>
      <c r="B4985" t="s">
        <v>1426</v>
      </c>
      <c r="C4985" t="s">
        <v>1427</v>
      </c>
      <c r="D4985" t="s">
        <v>125</v>
      </c>
      <c r="E4985" t="s">
        <v>20</v>
      </c>
      <c r="F4985" t="str">
        <f>"43537"</f>
        <v>43537</v>
      </c>
      <c r="G4985" t="str">
        <f>"718470"</f>
        <v>718470</v>
      </c>
      <c r="H4985" s="2">
        <f>88.15</f>
        <v>88.15</v>
      </c>
      <c r="I4985" t="s">
        <v>27</v>
      </c>
      <c r="J4985" t="s">
        <v>34</v>
      </c>
      <c r="K4985" t="str">
        <f>"334460"</f>
        <v>334460</v>
      </c>
    </row>
    <row r="4986" spans="1:11" x14ac:dyDescent="0.25">
      <c r="A4986">
        <v>2024</v>
      </c>
      <c r="B4986" t="s">
        <v>1432</v>
      </c>
      <c r="C4986" t="s">
        <v>1433</v>
      </c>
      <c r="D4986" t="s">
        <v>19</v>
      </c>
      <c r="E4986" t="s">
        <v>20</v>
      </c>
      <c r="F4986" t="str">
        <f>"43614-3754"</f>
        <v>43614-3754</v>
      </c>
      <c r="G4986" t="str">
        <f>"716165"</f>
        <v>716165</v>
      </c>
      <c r="H4986" s="2">
        <f>40</f>
        <v>40</v>
      </c>
      <c r="I4986" t="s">
        <v>27</v>
      </c>
      <c r="J4986" t="s">
        <v>34</v>
      </c>
      <c r="K4986" t="str">
        <f>"122653"</f>
        <v>122653</v>
      </c>
    </row>
    <row r="4987" spans="1:11" x14ac:dyDescent="0.25">
      <c r="A4987">
        <v>2024</v>
      </c>
      <c r="B4987" t="s">
        <v>1434</v>
      </c>
      <c r="C4987" t="s">
        <v>1435</v>
      </c>
      <c r="D4987" t="s">
        <v>323</v>
      </c>
      <c r="E4987" t="s">
        <v>20</v>
      </c>
      <c r="F4987" t="str">
        <f>"43571-9827"</f>
        <v>43571-9827</v>
      </c>
      <c r="G4987" t="str">
        <f>"716165"</f>
        <v>716165</v>
      </c>
      <c r="H4987" s="2">
        <f>20</f>
        <v>20</v>
      </c>
      <c r="I4987" t="s">
        <v>27</v>
      </c>
      <c r="J4987" t="s">
        <v>34</v>
      </c>
      <c r="K4987" t="str">
        <f>"124119"</f>
        <v>124119</v>
      </c>
    </row>
    <row r="4988" spans="1:11" x14ac:dyDescent="0.25">
      <c r="A4988">
        <v>2024</v>
      </c>
      <c r="B4988" t="s">
        <v>1448</v>
      </c>
      <c r="C4988" t="s">
        <v>1449</v>
      </c>
      <c r="D4988" t="s">
        <v>125</v>
      </c>
      <c r="E4988" t="s">
        <v>20</v>
      </c>
      <c r="F4988" t="str">
        <f>"43537-3121"</f>
        <v>43537-3121</v>
      </c>
      <c r="G4988" t="str">
        <f>"716165"</f>
        <v>716165</v>
      </c>
      <c r="H4988" s="2">
        <f>10</f>
        <v>10</v>
      </c>
      <c r="I4988" t="s">
        <v>27</v>
      </c>
      <c r="J4988" t="s">
        <v>34</v>
      </c>
      <c r="K4988" t="str">
        <f>"122654"</f>
        <v>122654</v>
      </c>
    </row>
    <row r="4989" spans="1:11" x14ac:dyDescent="0.25">
      <c r="A4989">
        <v>2024</v>
      </c>
      <c r="B4989" t="s">
        <v>1452</v>
      </c>
      <c r="C4989" t="s">
        <v>1453</v>
      </c>
      <c r="D4989" t="s">
        <v>19</v>
      </c>
      <c r="E4989" t="s">
        <v>20</v>
      </c>
      <c r="F4989" t="str">
        <f>"43612-2038"</f>
        <v>43612-2038</v>
      </c>
      <c r="G4989" t="str">
        <f>"716165"</f>
        <v>716165</v>
      </c>
      <c r="H4989" s="2">
        <f>10</f>
        <v>10</v>
      </c>
      <c r="I4989" t="s">
        <v>27</v>
      </c>
      <c r="J4989" t="s">
        <v>34</v>
      </c>
      <c r="K4989" t="str">
        <f>"121389"</f>
        <v>121389</v>
      </c>
    </row>
    <row r="4990" spans="1:11" x14ac:dyDescent="0.25">
      <c r="A4990">
        <v>2024</v>
      </c>
      <c r="B4990" t="s">
        <v>1458</v>
      </c>
      <c r="C4990" t="s">
        <v>1459</v>
      </c>
      <c r="D4990" t="s">
        <v>19</v>
      </c>
      <c r="E4990" t="s">
        <v>20</v>
      </c>
      <c r="F4990" t="str">
        <f>"43613"</f>
        <v>43613</v>
      </c>
      <c r="G4990" t="str">
        <f>"716619"</f>
        <v>716619</v>
      </c>
      <c r="H4990" s="2">
        <f>2</f>
        <v>2</v>
      </c>
      <c r="I4990" t="s">
        <v>27</v>
      </c>
      <c r="J4990" t="s">
        <v>34</v>
      </c>
      <c r="K4990" t="str">
        <f>"22026845"</f>
        <v>22026845</v>
      </c>
    </row>
    <row r="4991" spans="1:11" x14ac:dyDescent="0.25">
      <c r="A4991">
        <v>2024</v>
      </c>
      <c r="B4991" t="s">
        <v>1478</v>
      </c>
      <c r="C4991" t="s">
        <v>1479</v>
      </c>
      <c r="D4991" t="s">
        <v>58</v>
      </c>
      <c r="E4991" t="s">
        <v>20</v>
      </c>
      <c r="F4991" t="str">
        <f>"43616-2235"</f>
        <v>43616-2235</v>
      </c>
      <c r="G4991" t="str">
        <f>"716165"</f>
        <v>716165</v>
      </c>
      <c r="H4991" s="2">
        <f>20</f>
        <v>20</v>
      </c>
      <c r="I4991" t="s">
        <v>27</v>
      </c>
      <c r="J4991" t="s">
        <v>34</v>
      </c>
      <c r="K4991" t="str">
        <f>"122472"</f>
        <v>122472</v>
      </c>
    </row>
    <row r="4992" spans="1:11" x14ac:dyDescent="0.25">
      <c r="A4992">
        <v>2024</v>
      </c>
      <c r="B4992" t="s">
        <v>1484</v>
      </c>
      <c r="C4992" t="s">
        <v>1485</v>
      </c>
      <c r="D4992" t="s">
        <v>19</v>
      </c>
      <c r="E4992" t="s">
        <v>20</v>
      </c>
      <c r="F4992" t="str">
        <f>"43615-5535"</f>
        <v>43615-5535</v>
      </c>
      <c r="G4992" t="str">
        <f>"716165"</f>
        <v>716165</v>
      </c>
      <c r="H4992" s="2">
        <f>20</f>
        <v>20</v>
      </c>
      <c r="I4992" t="s">
        <v>27</v>
      </c>
      <c r="J4992" t="s">
        <v>34</v>
      </c>
      <c r="K4992" t="str">
        <f>"122838"</f>
        <v>122838</v>
      </c>
    </row>
    <row r="4993" spans="1:11" x14ac:dyDescent="0.25">
      <c r="A4993">
        <v>2024</v>
      </c>
      <c r="B4993" t="s">
        <v>1521</v>
      </c>
      <c r="C4993" t="s">
        <v>1522</v>
      </c>
      <c r="D4993" t="s">
        <v>19</v>
      </c>
      <c r="E4993" t="s">
        <v>20</v>
      </c>
      <c r="F4993" t="str">
        <f>"43613-2516"</f>
        <v>43613-2516</v>
      </c>
      <c r="G4993" t="str">
        <f>"716165"</f>
        <v>716165</v>
      </c>
      <c r="H4993" s="2">
        <f>60</f>
        <v>60</v>
      </c>
      <c r="I4993" t="s">
        <v>27</v>
      </c>
      <c r="J4993" t="s">
        <v>34</v>
      </c>
      <c r="K4993" t="str">
        <f>"122708"</f>
        <v>122708</v>
      </c>
    </row>
    <row r="4994" spans="1:11" x14ac:dyDescent="0.25">
      <c r="A4994">
        <v>2024</v>
      </c>
      <c r="B4994" t="s">
        <v>1523</v>
      </c>
      <c r="C4994" t="s">
        <v>1524</v>
      </c>
      <c r="D4994" t="s">
        <v>125</v>
      </c>
      <c r="E4994" t="s">
        <v>20</v>
      </c>
      <c r="F4994" t="str">
        <f>"43537-3608"</f>
        <v>43537-3608</v>
      </c>
      <c r="G4994" t="str">
        <f>"716165"</f>
        <v>716165</v>
      </c>
      <c r="H4994" s="2">
        <f>10</f>
        <v>10</v>
      </c>
      <c r="I4994" t="s">
        <v>27</v>
      </c>
      <c r="J4994" t="s">
        <v>34</v>
      </c>
      <c r="K4994" t="str">
        <f>"123921"</f>
        <v>123921</v>
      </c>
    </row>
    <row r="4995" spans="1:11" x14ac:dyDescent="0.25">
      <c r="A4995">
        <v>2024</v>
      </c>
      <c r="B4995" t="s">
        <v>1541</v>
      </c>
      <c r="C4995" t="s">
        <v>1542</v>
      </c>
      <c r="D4995" t="s">
        <v>64</v>
      </c>
      <c r="E4995" t="s">
        <v>20</v>
      </c>
      <c r="F4995" t="str">
        <f>"43566-9763"</f>
        <v>43566-9763</v>
      </c>
      <c r="G4995" t="str">
        <f>"716165"</f>
        <v>716165</v>
      </c>
      <c r="H4995" s="2">
        <f>20</f>
        <v>20</v>
      </c>
      <c r="I4995" t="s">
        <v>27</v>
      </c>
      <c r="J4995" t="s">
        <v>34</v>
      </c>
      <c r="K4995" t="str">
        <f>"121167"</f>
        <v>121167</v>
      </c>
    </row>
    <row r="4996" spans="1:11" x14ac:dyDescent="0.25">
      <c r="A4996">
        <v>2024</v>
      </c>
      <c r="B4996" t="s">
        <v>1547</v>
      </c>
      <c r="C4996" t="s">
        <v>1548</v>
      </c>
      <c r="D4996" t="s">
        <v>19</v>
      </c>
      <c r="E4996" t="s">
        <v>20</v>
      </c>
      <c r="F4996" t="str">
        <f>"43604"</f>
        <v>43604</v>
      </c>
      <c r="G4996" t="str">
        <f>"718470"</f>
        <v>718470</v>
      </c>
      <c r="H4996" s="2">
        <f>46.57</f>
        <v>46.57</v>
      </c>
      <c r="I4996" t="s">
        <v>27</v>
      </c>
      <c r="J4996" t="s">
        <v>34</v>
      </c>
      <c r="K4996" t="str">
        <f>"334660"</f>
        <v>334660</v>
      </c>
    </row>
    <row r="4997" spans="1:11" x14ac:dyDescent="0.25">
      <c r="A4997">
        <v>2024</v>
      </c>
      <c r="B4997" t="s">
        <v>1551</v>
      </c>
      <c r="C4997" t="s">
        <v>1552</v>
      </c>
      <c r="D4997" t="s">
        <v>19</v>
      </c>
      <c r="E4997" t="s">
        <v>20</v>
      </c>
      <c r="F4997" t="str">
        <f>"43615"</f>
        <v>43615</v>
      </c>
      <c r="G4997" t="str">
        <f>"716165"</f>
        <v>716165</v>
      </c>
      <c r="H4997" s="2">
        <f>20</f>
        <v>20</v>
      </c>
      <c r="I4997" t="s">
        <v>27</v>
      </c>
      <c r="J4997" t="s">
        <v>34</v>
      </c>
      <c r="K4997" t="str">
        <f>"122521"</f>
        <v>122521</v>
      </c>
    </row>
    <row r="4998" spans="1:11" x14ac:dyDescent="0.25">
      <c r="A4998">
        <v>2024</v>
      </c>
      <c r="B4998" t="s">
        <v>1551</v>
      </c>
      <c r="C4998" t="s">
        <v>1552</v>
      </c>
      <c r="D4998" t="s">
        <v>19</v>
      </c>
      <c r="E4998" t="s">
        <v>20</v>
      </c>
      <c r="F4998" t="str">
        <f>"43615"</f>
        <v>43615</v>
      </c>
      <c r="G4998" t="str">
        <f>"716165"</f>
        <v>716165</v>
      </c>
      <c r="H4998" s="2">
        <f>100</f>
        <v>100</v>
      </c>
      <c r="I4998" t="s">
        <v>27</v>
      </c>
      <c r="J4998" t="s">
        <v>34</v>
      </c>
      <c r="K4998" t="str">
        <f>"122403"</f>
        <v>122403</v>
      </c>
    </row>
    <row r="4999" spans="1:11" x14ac:dyDescent="0.25">
      <c r="A4999">
        <v>2024</v>
      </c>
      <c r="B4999" t="s">
        <v>1562</v>
      </c>
      <c r="C4999" t="s">
        <v>1563</v>
      </c>
      <c r="D4999" t="s">
        <v>19</v>
      </c>
      <c r="E4999" t="s">
        <v>20</v>
      </c>
      <c r="F4999" t="str">
        <f>"43604"</f>
        <v>43604</v>
      </c>
      <c r="G4999" t="str">
        <f>"716619"</f>
        <v>716619</v>
      </c>
      <c r="H4999" s="2">
        <f>10</f>
        <v>10</v>
      </c>
      <c r="I4999" t="s">
        <v>27</v>
      </c>
      <c r="J4999" t="s">
        <v>34</v>
      </c>
      <c r="K4999" t="str">
        <f>"44010005"</f>
        <v>44010005</v>
      </c>
    </row>
    <row r="5000" spans="1:11" x14ac:dyDescent="0.25">
      <c r="A5000">
        <v>2024</v>
      </c>
      <c r="B5000" t="s">
        <v>1564</v>
      </c>
      <c r="C5000" t="s">
        <v>1565</v>
      </c>
      <c r="D5000" t="s">
        <v>19</v>
      </c>
      <c r="E5000" t="s">
        <v>20</v>
      </c>
      <c r="F5000" t="str">
        <f>"43613"</f>
        <v>43613</v>
      </c>
      <c r="G5000" t="str">
        <f>"718470"</f>
        <v>718470</v>
      </c>
      <c r="H5000" s="2">
        <f>16.18</f>
        <v>16.18</v>
      </c>
      <c r="I5000" t="s">
        <v>27</v>
      </c>
      <c r="J5000" t="s">
        <v>34</v>
      </c>
      <c r="K5000" t="str">
        <f>"334531"</f>
        <v>334531</v>
      </c>
    </row>
    <row r="5001" spans="1:11" x14ac:dyDescent="0.25">
      <c r="A5001">
        <v>2024</v>
      </c>
      <c r="B5001" t="s">
        <v>1566</v>
      </c>
      <c r="C5001" t="s">
        <v>1567</v>
      </c>
      <c r="D5001" t="s">
        <v>19</v>
      </c>
      <c r="E5001" t="s">
        <v>20</v>
      </c>
      <c r="F5001" t="str">
        <f>"43612-1066"</f>
        <v>43612-1066</v>
      </c>
      <c r="G5001" t="str">
        <f>"716165"</f>
        <v>716165</v>
      </c>
      <c r="H5001" s="2">
        <f>20</f>
        <v>20</v>
      </c>
      <c r="I5001" t="s">
        <v>27</v>
      </c>
      <c r="J5001" t="s">
        <v>34</v>
      </c>
      <c r="K5001" t="str">
        <f>"124079"</f>
        <v>124079</v>
      </c>
    </row>
    <row r="5002" spans="1:11" x14ac:dyDescent="0.25">
      <c r="A5002">
        <v>2024</v>
      </c>
      <c r="B5002" t="s">
        <v>1568</v>
      </c>
      <c r="C5002" t="s">
        <v>1569</v>
      </c>
      <c r="D5002" t="s">
        <v>19</v>
      </c>
      <c r="E5002" t="s">
        <v>20</v>
      </c>
      <c r="F5002" t="str">
        <f>"43604"</f>
        <v>43604</v>
      </c>
      <c r="G5002" t="str">
        <f>"701123"</f>
        <v>701123</v>
      </c>
      <c r="H5002" s="2">
        <f>5</f>
        <v>5</v>
      </c>
      <c r="I5002" t="s">
        <v>148</v>
      </c>
      <c r="J5002" t="s">
        <v>1570</v>
      </c>
      <c r="K5002" t="str">
        <f>"26769"</f>
        <v>26769</v>
      </c>
    </row>
    <row r="5003" spans="1:11" x14ac:dyDescent="0.25">
      <c r="A5003">
        <v>2024</v>
      </c>
      <c r="B5003" t="s">
        <v>1568</v>
      </c>
      <c r="C5003" t="s">
        <v>1569</v>
      </c>
      <c r="D5003" t="s">
        <v>19</v>
      </c>
      <c r="E5003" t="s">
        <v>20</v>
      </c>
      <c r="F5003" t="str">
        <f>"43604"</f>
        <v>43604</v>
      </c>
      <c r="G5003" t="str">
        <f>"701123"</f>
        <v>701123</v>
      </c>
      <c r="H5003" s="2">
        <f>238</f>
        <v>238</v>
      </c>
      <c r="I5003" t="s">
        <v>148</v>
      </c>
      <c r="J5003" t="s">
        <v>1571</v>
      </c>
      <c r="K5003" t="str">
        <f>"26769"</f>
        <v>26769</v>
      </c>
    </row>
    <row r="5004" spans="1:11" x14ac:dyDescent="0.25">
      <c r="A5004">
        <v>2024</v>
      </c>
      <c r="B5004" t="s">
        <v>1568</v>
      </c>
      <c r="C5004" t="s">
        <v>1569</v>
      </c>
      <c r="D5004" t="s">
        <v>19</v>
      </c>
      <c r="E5004" t="s">
        <v>20</v>
      </c>
      <c r="F5004" t="str">
        <f>"43604"</f>
        <v>43604</v>
      </c>
      <c r="G5004" t="str">
        <f>"701123"</f>
        <v>701123</v>
      </c>
      <c r="H5004" s="2">
        <f>5</f>
        <v>5</v>
      </c>
      <c r="I5004" t="s">
        <v>148</v>
      </c>
      <c r="J5004" t="s">
        <v>1572</v>
      </c>
      <c r="K5004" t="str">
        <f>"26769"</f>
        <v>26769</v>
      </c>
    </row>
    <row r="5005" spans="1:11" x14ac:dyDescent="0.25">
      <c r="A5005">
        <v>2024</v>
      </c>
      <c r="B5005" t="s">
        <v>1568</v>
      </c>
      <c r="C5005" t="s">
        <v>1569</v>
      </c>
      <c r="D5005" t="s">
        <v>19</v>
      </c>
      <c r="E5005" t="s">
        <v>20</v>
      </c>
      <c r="F5005" t="str">
        <f>"43604"</f>
        <v>43604</v>
      </c>
      <c r="G5005" t="str">
        <f>"701123"</f>
        <v>701123</v>
      </c>
      <c r="H5005" s="2">
        <f>5</f>
        <v>5</v>
      </c>
      <c r="I5005" t="s">
        <v>148</v>
      </c>
      <c r="J5005" t="s">
        <v>1573</v>
      </c>
      <c r="K5005" t="str">
        <f>"26769"</f>
        <v>26769</v>
      </c>
    </row>
    <row r="5006" spans="1:11" x14ac:dyDescent="0.25">
      <c r="A5006">
        <v>2024</v>
      </c>
      <c r="B5006" t="s">
        <v>1591</v>
      </c>
      <c r="C5006" t="s">
        <v>1592</v>
      </c>
      <c r="D5006" t="s">
        <v>19</v>
      </c>
      <c r="E5006" t="s">
        <v>20</v>
      </c>
      <c r="F5006" t="str">
        <f>"43609-2823"</f>
        <v>43609-2823</v>
      </c>
      <c r="G5006" t="str">
        <f>"716165"</f>
        <v>716165</v>
      </c>
      <c r="H5006" s="2">
        <f>20</f>
        <v>20</v>
      </c>
      <c r="I5006" t="s">
        <v>27</v>
      </c>
      <c r="J5006" t="s">
        <v>34</v>
      </c>
      <c r="K5006" t="str">
        <f>"123734"</f>
        <v>123734</v>
      </c>
    </row>
    <row r="5007" spans="1:11" x14ac:dyDescent="0.25">
      <c r="A5007">
        <v>2024</v>
      </c>
      <c r="B5007" t="s">
        <v>1609</v>
      </c>
      <c r="C5007" t="s">
        <v>1610</v>
      </c>
      <c r="D5007" t="s">
        <v>164</v>
      </c>
      <c r="E5007" t="s">
        <v>20</v>
      </c>
      <c r="F5007" t="str">
        <f>"43558"</f>
        <v>43558</v>
      </c>
      <c r="G5007" t="str">
        <f>"712783"</f>
        <v>712783</v>
      </c>
      <c r="H5007" s="2">
        <f>10</f>
        <v>10</v>
      </c>
      <c r="I5007" t="s">
        <v>519</v>
      </c>
      <c r="J5007" t="s">
        <v>519</v>
      </c>
      <c r="K5007" t="str">
        <f>"11587"</f>
        <v>11587</v>
      </c>
    </row>
    <row r="5008" spans="1:11" x14ac:dyDescent="0.25">
      <c r="A5008">
        <v>2024</v>
      </c>
      <c r="B5008" t="s">
        <v>1617</v>
      </c>
      <c r="C5008" t="s">
        <v>1618</v>
      </c>
      <c r="D5008" t="s">
        <v>19</v>
      </c>
      <c r="E5008" t="s">
        <v>20</v>
      </c>
      <c r="F5008" t="str">
        <f>"43623"</f>
        <v>43623</v>
      </c>
      <c r="G5008" t="str">
        <f>"716619"</f>
        <v>716619</v>
      </c>
      <c r="H5008" s="2">
        <f>28.28</f>
        <v>28.28</v>
      </c>
      <c r="I5008" t="s">
        <v>27</v>
      </c>
      <c r="J5008" t="s">
        <v>34</v>
      </c>
      <c r="K5008" t="str">
        <f>"22026572"</f>
        <v>22026572</v>
      </c>
    </row>
    <row r="5009" spans="1:11" x14ac:dyDescent="0.25">
      <c r="A5009">
        <v>2024</v>
      </c>
      <c r="B5009" t="s">
        <v>1621</v>
      </c>
      <c r="C5009" t="s">
        <v>1622</v>
      </c>
      <c r="D5009" t="s">
        <v>105</v>
      </c>
      <c r="E5009" t="s">
        <v>20</v>
      </c>
      <c r="F5009" t="str">
        <f>"43528-8585"</f>
        <v>43528-8585</v>
      </c>
      <c r="G5009" t="str">
        <f>"716165"</f>
        <v>716165</v>
      </c>
      <c r="H5009" s="2">
        <f>10</f>
        <v>10</v>
      </c>
      <c r="I5009" t="s">
        <v>27</v>
      </c>
      <c r="J5009" t="s">
        <v>34</v>
      </c>
      <c r="K5009" t="str">
        <f>"121414"</f>
        <v>121414</v>
      </c>
    </row>
    <row r="5010" spans="1:11" x14ac:dyDescent="0.25">
      <c r="A5010">
        <v>2024</v>
      </c>
      <c r="B5010" t="s">
        <v>1645</v>
      </c>
      <c r="C5010" t="s">
        <v>1646</v>
      </c>
      <c r="D5010" t="s">
        <v>50</v>
      </c>
      <c r="E5010" t="s">
        <v>20</v>
      </c>
      <c r="F5010" t="str">
        <f>"43560"</f>
        <v>43560</v>
      </c>
      <c r="G5010" t="str">
        <f>"Je08072024"</f>
        <v>Je08072024</v>
      </c>
      <c r="H5010" s="2">
        <f>112.81</f>
        <v>112.81</v>
      </c>
      <c r="I5010" t="s">
        <v>15</v>
      </c>
      <c r="J5010" t="s">
        <v>1647</v>
      </c>
      <c r="K5010" t="str">
        <f>"60117361"</f>
        <v>60117361</v>
      </c>
    </row>
    <row r="5011" spans="1:11" x14ac:dyDescent="0.25">
      <c r="A5011">
        <v>2024</v>
      </c>
      <c r="B5011" t="s">
        <v>1675</v>
      </c>
      <c r="C5011" t="s">
        <v>1676</v>
      </c>
      <c r="D5011" t="s">
        <v>323</v>
      </c>
      <c r="E5011" t="s">
        <v>20</v>
      </c>
      <c r="F5011" t="str">
        <f>"43571"</f>
        <v>43571</v>
      </c>
      <c r="G5011" t="str">
        <f>"716165"</f>
        <v>716165</v>
      </c>
      <c r="H5011" s="2">
        <f>20</f>
        <v>20</v>
      </c>
      <c r="I5011" t="s">
        <v>27</v>
      </c>
      <c r="J5011" t="s">
        <v>34</v>
      </c>
      <c r="K5011" t="str">
        <f>"122817"</f>
        <v>122817</v>
      </c>
    </row>
    <row r="5012" spans="1:11" x14ac:dyDescent="0.25">
      <c r="A5012">
        <v>2024</v>
      </c>
      <c r="B5012" t="s">
        <v>1701</v>
      </c>
      <c r="C5012" t="s">
        <v>1702</v>
      </c>
      <c r="D5012" t="s">
        <v>19</v>
      </c>
      <c r="E5012" t="s">
        <v>20</v>
      </c>
      <c r="F5012" t="str">
        <f>"43604-5527"</f>
        <v>43604-5527</v>
      </c>
      <c r="G5012" t="str">
        <f>"Je10112024"</f>
        <v>Je10112024</v>
      </c>
      <c r="H5012" s="2">
        <f>95.63</f>
        <v>95.63</v>
      </c>
      <c r="I5012" t="s">
        <v>15</v>
      </c>
      <c r="J5012" t="s">
        <v>205</v>
      </c>
      <c r="K5012" t="str">
        <f>"60123975"</f>
        <v>60123975</v>
      </c>
    </row>
    <row r="5013" spans="1:11" x14ac:dyDescent="0.25">
      <c r="A5013">
        <v>2024</v>
      </c>
      <c r="B5013" t="s">
        <v>1742</v>
      </c>
      <c r="C5013" t="s">
        <v>1743</v>
      </c>
      <c r="D5013" t="s">
        <v>19</v>
      </c>
      <c r="E5013" t="s">
        <v>20</v>
      </c>
      <c r="F5013" t="str">
        <f>"43607"</f>
        <v>43607</v>
      </c>
      <c r="G5013" t="str">
        <f>"Je12122024"</f>
        <v>Je12122024</v>
      </c>
      <c r="H5013" s="2">
        <f>40.27</f>
        <v>40.270000000000003</v>
      </c>
      <c r="I5013" t="s">
        <v>15</v>
      </c>
      <c r="J5013" t="s">
        <v>1326</v>
      </c>
      <c r="K5013" t="str">
        <f>"60133638"</f>
        <v>60133638</v>
      </c>
    </row>
    <row r="5014" spans="1:11" x14ac:dyDescent="0.25">
      <c r="A5014">
        <v>2024</v>
      </c>
      <c r="B5014" t="s">
        <v>1744</v>
      </c>
      <c r="C5014" t="s">
        <v>1745</v>
      </c>
      <c r="D5014" t="s">
        <v>111</v>
      </c>
      <c r="E5014" t="s">
        <v>20</v>
      </c>
      <c r="F5014" t="str">
        <f>"43215-1061"</f>
        <v>43215-1061</v>
      </c>
      <c r="G5014" t="str">
        <f>"Je12122024"</f>
        <v>Je12122024</v>
      </c>
      <c r="H5014" s="2">
        <f>1343</f>
        <v>1343</v>
      </c>
      <c r="I5014" t="s">
        <v>15</v>
      </c>
      <c r="J5014" t="s">
        <v>1326</v>
      </c>
      <c r="K5014" t="str">
        <f>"60140658"</f>
        <v>60140658</v>
      </c>
    </row>
    <row r="5015" spans="1:11" x14ac:dyDescent="0.25">
      <c r="A5015">
        <v>2024</v>
      </c>
      <c r="B5015" t="s">
        <v>1755</v>
      </c>
      <c r="C5015" t="s">
        <v>1757</v>
      </c>
      <c r="D5015" t="s">
        <v>105</v>
      </c>
      <c r="E5015" t="s">
        <v>20</v>
      </c>
      <c r="F5015" t="str">
        <f>"43528"</f>
        <v>43528</v>
      </c>
      <c r="G5015" t="str">
        <f>"716166"</f>
        <v>716166</v>
      </c>
      <c r="H5015" s="2">
        <f>39.7</f>
        <v>39.700000000000003</v>
      </c>
      <c r="I5015" t="s">
        <v>27</v>
      </c>
      <c r="J5015" t="s">
        <v>262</v>
      </c>
      <c r="K5015" t="str">
        <f>"42047"</f>
        <v>42047</v>
      </c>
    </row>
    <row r="5016" spans="1:11" x14ac:dyDescent="0.25">
      <c r="A5016">
        <v>2024</v>
      </c>
      <c r="B5016" t="s">
        <v>1764</v>
      </c>
      <c r="C5016" t="s">
        <v>1765</v>
      </c>
      <c r="D5016" t="s">
        <v>19</v>
      </c>
      <c r="E5016" t="s">
        <v>20</v>
      </c>
      <c r="F5016" t="str">
        <f>"43613-4426"</f>
        <v>43613-4426</v>
      </c>
      <c r="G5016" t="str">
        <f>"716165"</f>
        <v>716165</v>
      </c>
      <c r="H5016" s="2">
        <f>20</f>
        <v>20</v>
      </c>
      <c r="I5016" t="s">
        <v>27</v>
      </c>
      <c r="J5016" t="s">
        <v>34</v>
      </c>
      <c r="K5016" t="str">
        <f>"124842"</f>
        <v>124842</v>
      </c>
    </row>
    <row r="5017" spans="1:11" x14ac:dyDescent="0.25">
      <c r="A5017">
        <v>2024</v>
      </c>
      <c r="B5017" t="s">
        <v>1766</v>
      </c>
      <c r="C5017" t="s">
        <v>1767</v>
      </c>
      <c r="D5017" t="s">
        <v>105</v>
      </c>
      <c r="E5017" t="s">
        <v>20</v>
      </c>
      <c r="F5017" t="str">
        <f>"43528-8417"</f>
        <v>43528-8417</v>
      </c>
      <c r="G5017" t="str">
        <f>"716165"</f>
        <v>716165</v>
      </c>
      <c r="H5017" s="2">
        <f>40</f>
        <v>40</v>
      </c>
      <c r="I5017" t="s">
        <v>27</v>
      </c>
      <c r="J5017" t="s">
        <v>34</v>
      </c>
      <c r="K5017" t="str">
        <f>"121388"</f>
        <v>121388</v>
      </c>
    </row>
    <row r="5018" spans="1:11" x14ac:dyDescent="0.25">
      <c r="A5018">
        <v>2024</v>
      </c>
      <c r="B5018" t="s">
        <v>1772</v>
      </c>
      <c r="C5018" t="s">
        <v>1773</v>
      </c>
      <c r="D5018" t="s">
        <v>125</v>
      </c>
      <c r="E5018" t="s">
        <v>20</v>
      </c>
      <c r="F5018" t="str">
        <f>"43537-3023"</f>
        <v>43537-3023</v>
      </c>
      <c r="G5018" t="str">
        <f>"716165"</f>
        <v>716165</v>
      </c>
      <c r="H5018" s="2">
        <f>20</f>
        <v>20</v>
      </c>
      <c r="I5018" t="s">
        <v>27</v>
      </c>
      <c r="J5018" t="s">
        <v>34</v>
      </c>
      <c r="K5018" t="str">
        <f>"122465"</f>
        <v>122465</v>
      </c>
    </row>
    <row r="5019" spans="1:11" x14ac:dyDescent="0.25">
      <c r="A5019">
        <v>2024</v>
      </c>
      <c r="B5019" t="s">
        <v>1780</v>
      </c>
      <c r="C5019" t="s">
        <v>1781</v>
      </c>
      <c r="D5019" t="s">
        <v>19</v>
      </c>
      <c r="E5019" t="s">
        <v>20</v>
      </c>
      <c r="F5019" t="str">
        <f>"43605"</f>
        <v>43605</v>
      </c>
      <c r="G5019" t="str">
        <f>"716165"</f>
        <v>716165</v>
      </c>
      <c r="H5019" s="2">
        <f>20</f>
        <v>20</v>
      </c>
      <c r="I5019" t="s">
        <v>27</v>
      </c>
      <c r="J5019" t="s">
        <v>34</v>
      </c>
      <c r="K5019" t="str">
        <f>"123584"</f>
        <v>123584</v>
      </c>
    </row>
    <row r="5020" spans="1:11" x14ac:dyDescent="0.25">
      <c r="A5020">
        <v>2024</v>
      </c>
      <c r="B5020" t="s">
        <v>1787</v>
      </c>
      <c r="C5020" t="s">
        <v>1788</v>
      </c>
      <c r="D5020" t="s">
        <v>64</v>
      </c>
      <c r="E5020" t="s">
        <v>20</v>
      </c>
      <c r="F5020" t="str">
        <f>"43566"</f>
        <v>43566</v>
      </c>
      <c r="G5020" t="str">
        <f>"718470"</f>
        <v>718470</v>
      </c>
      <c r="H5020" s="2">
        <f>8.76</f>
        <v>8.76</v>
      </c>
      <c r="I5020" t="s">
        <v>27</v>
      </c>
      <c r="J5020" t="s">
        <v>34</v>
      </c>
      <c r="K5020" t="str">
        <f>"334383"</f>
        <v>334383</v>
      </c>
    </row>
    <row r="5021" spans="1:11" x14ac:dyDescent="0.25">
      <c r="A5021">
        <v>2024</v>
      </c>
      <c r="B5021" t="s">
        <v>1791</v>
      </c>
      <c r="C5021" t="s">
        <v>1792</v>
      </c>
      <c r="D5021" t="s">
        <v>19</v>
      </c>
      <c r="E5021" t="s">
        <v>20</v>
      </c>
      <c r="F5021" t="str">
        <f>"43610-1444"</f>
        <v>43610-1444</v>
      </c>
      <c r="G5021" t="str">
        <f>"716165"</f>
        <v>716165</v>
      </c>
      <c r="H5021" s="2">
        <f>10</f>
        <v>10</v>
      </c>
      <c r="I5021" t="s">
        <v>27</v>
      </c>
      <c r="J5021" t="s">
        <v>34</v>
      </c>
      <c r="K5021" t="str">
        <f>"121070"</f>
        <v>121070</v>
      </c>
    </row>
    <row r="5022" spans="1:11" x14ac:dyDescent="0.25">
      <c r="A5022">
        <v>2024</v>
      </c>
      <c r="B5022" t="s">
        <v>1800</v>
      </c>
      <c r="C5022" t="s">
        <v>1801</v>
      </c>
      <c r="D5022" t="s">
        <v>19</v>
      </c>
      <c r="E5022" t="s">
        <v>20</v>
      </c>
      <c r="F5022" t="str">
        <f>"43615-6355"</f>
        <v>43615-6355</v>
      </c>
      <c r="G5022" t="str">
        <f>"716165"</f>
        <v>716165</v>
      </c>
      <c r="H5022" s="2">
        <f>10</f>
        <v>10</v>
      </c>
      <c r="I5022" t="s">
        <v>27</v>
      </c>
      <c r="J5022" t="s">
        <v>34</v>
      </c>
      <c r="K5022" t="str">
        <f>"121489"</f>
        <v>121489</v>
      </c>
    </row>
    <row r="5023" spans="1:11" x14ac:dyDescent="0.25">
      <c r="A5023">
        <v>2024</v>
      </c>
      <c r="B5023" t="s">
        <v>1817</v>
      </c>
      <c r="C5023" t="s">
        <v>1818</v>
      </c>
      <c r="D5023" t="s">
        <v>125</v>
      </c>
      <c r="E5023" t="s">
        <v>20</v>
      </c>
      <c r="F5023" t="str">
        <f>"43537-9585"</f>
        <v>43537-9585</v>
      </c>
      <c r="G5023" t="str">
        <f>"716165"</f>
        <v>716165</v>
      </c>
      <c r="H5023" s="2">
        <f>40</f>
        <v>40</v>
      </c>
      <c r="I5023" t="s">
        <v>27</v>
      </c>
      <c r="J5023" t="s">
        <v>34</v>
      </c>
      <c r="K5023" t="str">
        <f>"124833"</f>
        <v>124833</v>
      </c>
    </row>
    <row r="5024" spans="1:11" x14ac:dyDescent="0.25">
      <c r="A5024">
        <v>2024</v>
      </c>
      <c r="B5024" t="s">
        <v>1828</v>
      </c>
      <c r="C5024" t="s">
        <v>1829</v>
      </c>
      <c r="D5024" t="s">
        <v>19</v>
      </c>
      <c r="E5024" t="s">
        <v>20</v>
      </c>
      <c r="F5024" t="str">
        <f>"43612-1719"</f>
        <v>43612-1719</v>
      </c>
      <c r="G5024" t="str">
        <f>"716165"</f>
        <v>716165</v>
      </c>
      <c r="H5024" s="2">
        <f>20</f>
        <v>20</v>
      </c>
      <c r="I5024" t="s">
        <v>27</v>
      </c>
      <c r="J5024" t="s">
        <v>34</v>
      </c>
      <c r="K5024" t="str">
        <f>"121415"</f>
        <v>121415</v>
      </c>
    </row>
    <row r="5025" spans="1:11" x14ac:dyDescent="0.25">
      <c r="A5025">
        <v>2024</v>
      </c>
      <c r="B5025" t="s">
        <v>1872</v>
      </c>
      <c r="C5025" t="s">
        <v>1873</v>
      </c>
      <c r="D5025" t="s">
        <v>19</v>
      </c>
      <c r="E5025" t="s">
        <v>20</v>
      </c>
      <c r="F5025" t="str">
        <f>"43623-1731"</f>
        <v>43623-1731</v>
      </c>
      <c r="G5025" t="str">
        <f>"716165"</f>
        <v>716165</v>
      </c>
      <c r="H5025" s="2">
        <f>40</f>
        <v>40</v>
      </c>
      <c r="I5025" t="s">
        <v>27</v>
      </c>
      <c r="J5025" t="s">
        <v>34</v>
      </c>
      <c r="K5025" t="str">
        <f>"125177"</f>
        <v>125177</v>
      </c>
    </row>
    <row r="5026" spans="1:11" x14ac:dyDescent="0.25">
      <c r="A5026">
        <v>2024</v>
      </c>
      <c r="B5026" t="s">
        <v>1880</v>
      </c>
      <c r="C5026" t="s">
        <v>1881</v>
      </c>
      <c r="D5026" t="s">
        <v>19</v>
      </c>
      <c r="E5026" t="s">
        <v>20</v>
      </c>
      <c r="F5026" t="str">
        <f>"43608"</f>
        <v>43608</v>
      </c>
      <c r="G5026" t="str">
        <f>"718470"</f>
        <v>718470</v>
      </c>
      <c r="H5026" s="2">
        <f>88.99</f>
        <v>88.99</v>
      </c>
      <c r="I5026" t="s">
        <v>27</v>
      </c>
      <c r="J5026" t="s">
        <v>34</v>
      </c>
      <c r="K5026" t="str">
        <f>"334461"</f>
        <v>334461</v>
      </c>
    </row>
    <row r="5027" spans="1:11" x14ac:dyDescent="0.25">
      <c r="A5027">
        <v>2024</v>
      </c>
      <c r="B5027" t="s">
        <v>1896</v>
      </c>
      <c r="C5027" t="s">
        <v>1897</v>
      </c>
      <c r="D5027" t="s">
        <v>50</v>
      </c>
      <c r="E5027" t="s">
        <v>20</v>
      </c>
      <c r="F5027" t="str">
        <f>"43560-1095"</f>
        <v>43560-1095</v>
      </c>
      <c r="G5027" t="str">
        <f t="shared" ref="G5027:G5040" si="170">"716165"</f>
        <v>716165</v>
      </c>
      <c r="H5027" s="2">
        <f>50</f>
        <v>50</v>
      </c>
      <c r="I5027" t="s">
        <v>27</v>
      </c>
      <c r="J5027" t="s">
        <v>34</v>
      </c>
      <c r="K5027" t="str">
        <f>"125016"</f>
        <v>125016</v>
      </c>
    </row>
    <row r="5028" spans="1:11" x14ac:dyDescent="0.25">
      <c r="A5028">
        <v>2024</v>
      </c>
      <c r="B5028" t="s">
        <v>1898</v>
      </c>
      <c r="C5028" t="s">
        <v>1899</v>
      </c>
      <c r="D5028" t="s">
        <v>19</v>
      </c>
      <c r="E5028" t="s">
        <v>20</v>
      </c>
      <c r="F5028" t="str">
        <f>"43612-1531"</f>
        <v>43612-1531</v>
      </c>
      <c r="G5028" t="str">
        <f t="shared" si="170"/>
        <v>716165</v>
      </c>
      <c r="H5028" s="2">
        <f>10</f>
        <v>10</v>
      </c>
      <c r="I5028" t="s">
        <v>27</v>
      </c>
      <c r="J5028" t="s">
        <v>34</v>
      </c>
      <c r="K5028" t="str">
        <f>"121979"</f>
        <v>121979</v>
      </c>
    </row>
    <row r="5029" spans="1:11" x14ac:dyDescent="0.25">
      <c r="A5029">
        <v>2024</v>
      </c>
      <c r="B5029" t="s">
        <v>1917</v>
      </c>
      <c r="C5029" t="s">
        <v>1918</v>
      </c>
      <c r="D5029" t="s">
        <v>19</v>
      </c>
      <c r="E5029" t="s">
        <v>20</v>
      </c>
      <c r="F5029" t="str">
        <f>"43623-1501"</f>
        <v>43623-1501</v>
      </c>
      <c r="G5029" t="str">
        <f t="shared" si="170"/>
        <v>716165</v>
      </c>
      <c r="H5029" s="2">
        <f>10</f>
        <v>10</v>
      </c>
      <c r="I5029" t="s">
        <v>27</v>
      </c>
      <c r="J5029" t="s">
        <v>34</v>
      </c>
      <c r="K5029" t="str">
        <f>"121283"</f>
        <v>121283</v>
      </c>
    </row>
    <row r="5030" spans="1:11" x14ac:dyDescent="0.25">
      <c r="A5030">
        <v>2024</v>
      </c>
      <c r="B5030" t="s">
        <v>1919</v>
      </c>
      <c r="C5030" t="s">
        <v>1920</v>
      </c>
      <c r="D5030" t="s">
        <v>19</v>
      </c>
      <c r="E5030" t="s">
        <v>20</v>
      </c>
      <c r="F5030" t="str">
        <f>"43613-1018"</f>
        <v>43613-1018</v>
      </c>
      <c r="G5030" t="str">
        <f t="shared" si="170"/>
        <v>716165</v>
      </c>
      <c r="H5030" s="2">
        <f>10</f>
        <v>10</v>
      </c>
      <c r="I5030" t="s">
        <v>27</v>
      </c>
      <c r="J5030" t="s">
        <v>34</v>
      </c>
      <c r="K5030" t="str">
        <f>"125082"</f>
        <v>125082</v>
      </c>
    </row>
    <row r="5031" spans="1:11" x14ac:dyDescent="0.25">
      <c r="A5031">
        <v>2024</v>
      </c>
      <c r="B5031" t="s">
        <v>1923</v>
      </c>
      <c r="C5031" t="s">
        <v>1924</v>
      </c>
      <c r="D5031" t="s">
        <v>19</v>
      </c>
      <c r="E5031" t="s">
        <v>20</v>
      </c>
      <c r="F5031" t="str">
        <f>"43611-1770"</f>
        <v>43611-1770</v>
      </c>
      <c r="G5031" t="str">
        <f t="shared" si="170"/>
        <v>716165</v>
      </c>
      <c r="H5031" s="2">
        <f>10</f>
        <v>10</v>
      </c>
      <c r="I5031" t="s">
        <v>27</v>
      </c>
      <c r="J5031" t="s">
        <v>34</v>
      </c>
      <c r="K5031" t="str">
        <f>"123126"</f>
        <v>123126</v>
      </c>
    </row>
    <row r="5032" spans="1:11" x14ac:dyDescent="0.25">
      <c r="A5032">
        <v>2024</v>
      </c>
      <c r="B5032" t="s">
        <v>1925</v>
      </c>
      <c r="C5032" t="s">
        <v>1926</v>
      </c>
      <c r="D5032" t="s">
        <v>19</v>
      </c>
      <c r="E5032" t="s">
        <v>20</v>
      </c>
      <c r="F5032" t="str">
        <f>"43613-3738"</f>
        <v>43613-3738</v>
      </c>
      <c r="G5032" t="str">
        <f t="shared" si="170"/>
        <v>716165</v>
      </c>
      <c r="H5032" s="2">
        <f>20</f>
        <v>20</v>
      </c>
      <c r="I5032" t="s">
        <v>27</v>
      </c>
      <c r="J5032" t="s">
        <v>34</v>
      </c>
      <c r="K5032" t="str">
        <f>"123684"</f>
        <v>123684</v>
      </c>
    </row>
    <row r="5033" spans="1:11" x14ac:dyDescent="0.25">
      <c r="A5033">
        <v>2024</v>
      </c>
      <c r="B5033" t="s">
        <v>1938</v>
      </c>
      <c r="C5033" t="s">
        <v>1939</v>
      </c>
      <c r="D5033" t="s">
        <v>125</v>
      </c>
      <c r="E5033" t="s">
        <v>20</v>
      </c>
      <c r="F5033" t="str">
        <f>"43537-2910"</f>
        <v>43537-2910</v>
      </c>
      <c r="G5033" t="str">
        <f t="shared" si="170"/>
        <v>716165</v>
      </c>
      <c r="H5033" s="2">
        <f>10</f>
        <v>10</v>
      </c>
      <c r="I5033" t="s">
        <v>27</v>
      </c>
      <c r="J5033" t="s">
        <v>34</v>
      </c>
      <c r="K5033" t="str">
        <f>"123185"</f>
        <v>123185</v>
      </c>
    </row>
    <row r="5034" spans="1:11" x14ac:dyDescent="0.25">
      <c r="A5034">
        <v>2024</v>
      </c>
      <c r="B5034" t="s">
        <v>1948</v>
      </c>
      <c r="C5034" t="s">
        <v>1949</v>
      </c>
      <c r="D5034" t="s">
        <v>125</v>
      </c>
      <c r="E5034" t="s">
        <v>20</v>
      </c>
      <c r="F5034" t="str">
        <f>"43537-9154"</f>
        <v>43537-9154</v>
      </c>
      <c r="G5034" t="str">
        <f t="shared" si="170"/>
        <v>716165</v>
      </c>
      <c r="H5034" s="2">
        <f>10</f>
        <v>10</v>
      </c>
      <c r="I5034" t="s">
        <v>27</v>
      </c>
      <c r="J5034" t="s">
        <v>34</v>
      </c>
      <c r="K5034" t="str">
        <f>"123907"</f>
        <v>123907</v>
      </c>
    </row>
    <row r="5035" spans="1:11" x14ac:dyDescent="0.25">
      <c r="A5035">
        <v>2024</v>
      </c>
      <c r="B5035" t="s">
        <v>1970</v>
      </c>
      <c r="C5035" t="s">
        <v>1971</v>
      </c>
      <c r="D5035" t="s">
        <v>19</v>
      </c>
      <c r="E5035" t="s">
        <v>20</v>
      </c>
      <c r="F5035" t="str">
        <f>"43613"</f>
        <v>43613</v>
      </c>
      <c r="G5035" t="str">
        <f t="shared" si="170"/>
        <v>716165</v>
      </c>
      <c r="H5035" s="2">
        <f>20</f>
        <v>20</v>
      </c>
      <c r="I5035" t="s">
        <v>27</v>
      </c>
      <c r="J5035" t="s">
        <v>34</v>
      </c>
      <c r="K5035" t="str">
        <f>"123371"</f>
        <v>123371</v>
      </c>
    </row>
    <row r="5036" spans="1:11" x14ac:dyDescent="0.25">
      <c r="A5036">
        <v>2024</v>
      </c>
      <c r="B5036" t="s">
        <v>1986</v>
      </c>
      <c r="C5036" t="s">
        <v>1987</v>
      </c>
      <c r="D5036" t="s">
        <v>125</v>
      </c>
      <c r="E5036" t="s">
        <v>20</v>
      </c>
      <c r="F5036" t="str">
        <f>"43537-3006"</f>
        <v>43537-3006</v>
      </c>
      <c r="G5036" t="str">
        <f t="shared" si="170"/>
        <v>716165</v>
      </c>
      <c r="H5036" s="2">
        <f>20</f>
        <v>20</v>
      </c>
      <c r="I5036" t="s">
        <v>27</v>
      </c>
      <c r="J5036" t="s">
        <v>34</v>
      </c>
      <c r="K5036" t="str">
        <f>"122657"</f>
        <v>122657</v>
      </c>
    </row>
    <row r="5037" spans="1:11" x14ac:dyDescent="0.25">
      <c r="A5037">
        <v>2024</v>
      </c>
      <c r="B5037" t="s">
        <v>1994</v>
      </c>
      <c r="C5037" t="s">
        <v>1995</v>
      </c>
      <c r="D5037" t="s">
        <v>19</v>
      </c>
      <c r="E5037" t="s">
        <v>20</v>
      </c>
      <c r="F5037" t="str">
        <f>"43605-3518"</f>
        <v>43605-3518</v>
      </c>
      <c r="G5037" t="str">
        <f t="shared" si="170"/>
        <v>716165</v>
      </c>
      <c r="H5037" s="2">
        <f>40</f>
        <v>40</v>
      </c>
      <c r="I5037" t="s">
        <v>27</v>
      </c>
      <c r="J5037" t="s">
        <v>34</v>
      </c>
      <c r="K5037" t="str">
        <f>"122235"</f>
        <v>122235</v>
      </c>
    </row>
    <row r="5038" spans="1:11" x14ac:dyDescent="0.25">
      <c r="A5038">
        <v>2024</v>
      </c>
      <c r="B5038" t="s">
        <v>1994</v>
      </c>
      <c r="C5038" t="s">
        <v>1995</v>
      </c>
      <c r="D5038" t="s">
        <v>19</v>
      </c>
      <c r="E5038" t="s">
        <v>20</v>
      </c>
      <c r="F5038" t="str">
        <f>"43605-3518"</f>
        <v>43605-3518</v>
      </c>
      <c r="G5038" t="str">
        <f t="shared" si="170"/>
        <v>716165</v>
      </c>
      <c r="H5038" s="2">
        <f>40</f>
        <v>40</v>
      </c>
      <c r="I5038" t="s">
        <v>27</v>
      </c>
      <c r="J5038" t="s">
        <v>34</v>
      </c>
      <c r="K5038" t="str">
        <f>"122128"</f>
        <v>122128</v>
      </c>
    </row>
    <row r="5039" spans="1:11" x14ac:dyDescent="0.25">
      <c r="A5039">
        <v>2024</v>
      </c>
      <c r="B5039" t="s">
        <v>2001</v>
      </c>
      <c r="C5039" t="s">
        <v>2002</v>
      </c>
      <c r="D5039" t="s">
        <v>19</v>
      </c>
      <c r="E5039" t="s">
        <v>20</v>
      </c>
      <c r="F5039" t="str">
        <f>"43605-2520"</f>
        <v>43605-2520</v>
      </c>
      <c r="G5039" t="str">
        <f t="shared" si="170"/>
        <v>716165</v>
      </c>
      <c r="H5039" s="2">
        <f>10</f>
        <v>10</v>
      </c>
      <c r="I5039" t="s">
        <v>27</v>
      </c>
      <c r="J5039" t="s">
        <v>34</v>
      </c>
      <c r="K5039" t="str">
        <f>"123930"</f>
        <v>123930</v>
      </c>
    </row>
    <row r="5040" spans="1:11" x14ac:dyDescent="0.25">
      <c r="A5040">
        <v>2024</v>
      </c>
      <c r="B5040" t="s">
        <v>2003</v>
      </c>
      <c r="C5040" t="s">
        <v>2004</v>
      </c>
      <c r="D5040" t="s">
        <v>19</v>
      </c>
      <c r="E5040" t="s">
        <v>20</v>
      </c>
      <c r="F5040" t="str">
        <f>"43608-1623"</f>
        <v>43608-1623</v>
      </c>
      <c r="G5040" t="str">
        <f t="shared" si="170"/>
        <v>716165</v>
      </c>
      <c r="H5040" s="2">
        <f>10</f>
        <v>10</v>
      </c>
      <c r="I5040" t="s">
        <v>27</v>
      </c>
      <c r="J5040" t="s">
        <v>34</v>
      </c>
      <c r="K5040" t="str">
        <f>"121217"</f>
        <v>121217</v>
      </c>
    </row>
    <row r="5041" spans="1:11" x14ac:dyDescent="0.25">
      <c r="A5041">
        <v>2024</v>
      </c>
      <c r="B5041" t="s">
        <v>2009</v>
      </c>
      <c r="C5041" t="s">
        <v>2010</v>
      </c>
      <c r="D5041" t="s">
        <v>19</v>
      </c>
      <c r="E5041" t="s">
        <v>20</v>
      </c>
      <c r="F5041" t="str">
        <f>"43615"</f>
        <v>43615</v>
      </c>
      <c r="G5041" t="str">
        <f>"701123"</f>
        <v>701123</v>
      </c>
      <c r="H5041" s="2">
        <f>5</f>
        <v>5</v>
      </c>
      <c r="I5041" t="s">
        <v>148</v>
      </c>
      <c r="J5041" t="s">
        <v>2011</v>
      </c>
      <c r="K5041" t="str">
        <f>"26769"</f>
        <v>26769</v>
      </c>
    </row>
    <row r="5042" spans="1:11" x14ac:dyDescent="0.25">
      <c r="A5042">
        <v>2024</v>
      </c>
      <c r="B5042" t="s">
        <v>2014</v>
      </c>
      <c r="C5042" t="s">
        <v>2015</v>
      </c>
      <c r="D5042" t="s">
        <v>19</v>
      </c>
      <c r="E5042" t="s">
        <v>20</v>
      </c>
      <c r="F5042" t="str">
        <f>"43613-1905"</f>
        <v>43613-1905</v>
      </c>
      <c r="G5042" t="str">
        <f>"716165"</f>
        <v>716165</v>
      </c>
      <c r="H5042" s="2">
        <f>20</f>
        <v>20</v>
      </c>
      <c r="I5042" t="s">
        <v>27</v>
      </c>
      <c r="J5042" t="s">
        <v>34</v>
      </c>
      <c r="K5042" t="str">
        <f>"122405"</f>
        <v>122405</v>
      </c>
    </row>
    <row r="5043" spans="1:11" x14ac:dyDescent="0.25">
      <c r="A5043">
        <v>2024</v>
      </c>
      <c r="B5043" t="s">
        <v>2024</v>
      </c>
      <c r="C5043" t="s">
        <v>2025</v>
      </c>
      <c r="D5043" t="s">
        <v>50</v>
      </c>
      <c r="E5043" t="s">
        <v>20</v>
      </c>
      <c r="F5043" t="str">
        <f>"43560"</f>
        <v>43560</v>
      </c>
      <c r="G5043" t="str">
        <f>"716619"</f>
        <v>716619</v>
      </c>
      <c r="H5043" s="2">
        <f>6.5</f>
        <v>6.5</v>
      </c>
      <c r="I5043" t="s">
        <v>27</v>
      </c>
      <c r="J5043" t="s">
        <v>34</v>
      </c>
      <c r="K5043" t="str">
        <f>"33012514"</f>
        <v>33012514</v>
      </c>
    </row>
    <row r="5044" spans="1:11" x14ac:dyDescent="0.25">
      <c r="A5044">
        <v>2024</v>
      </c>
      <c r="B5044" t="s">
        <v>2032</v>
      </c>
      <c r="C5044" t="s">
        <v>2033</v>
      </c>
      <c r="D5044" t="s">
        <v>125</v>
      </c>
      <c r="E5044" t="s">
        <v>20</v>
      </c>
      <c r="F5044" t="str">
        <f>"43537-2441"</f>
        <v>43537-2441</v>
      </c>
      <c r="G5044" t="str">
        <f t="shared" ref="G5044:G5052" si="171">"716165"</f>
        <v>716165</v>
      </c>
      <c r="H5044" s="2">
        <f>10</f>
        <v>10</v>
      </c>
      <c r="I5044" t="s">
        <v>27</v>
      </c>
      <c r="J5044" t="s">
        <v>34</v>
      </c>
      <c r="K5044" t="str">
        <f>"122004"</f>
        <v>122004</v>
      </c>
    </row>
    <row r="5045" spans="1:11" x14ac:dyDescent="0.25">
      <c r="A5045">
        <v>2024</v>
      </c>
      <c r="B5045" t="s">
        <v>2040</v>
      </c>
      <c r="C5045" t="s">
        <v>2041</v>
      </c>
      <c r="D5045" t="s">
        <v>19</v>
      </c>
      <c r="E5045" t="s">
        <v>20</v>
      </c>
      <c r="F5045" t="str">
        <f>"43614"</f>
        <v>43614</v>
      </c>
      <c r="G5045" t="str">
        <f t="shared" si="171"/>
        <v>716165</v>
      </c>
      <c r="H5045" s="2">
        <f>20</f>
        <v>20</v>
      </c>
      <c r="I5045" t="s">
        <v>27</v>
      </c>
      <c r="J5045" t="s">
        <v>34</v>
      </c>
      <c r="K5045" t="str">
        <f>"124237"</f>
        <v>124237</v>
      </c>
    </row>
    <row r="5046" spans="1:11" x14ac:dyDescent="0.25">
      <c r="A5046">
        <v>2024</v>
      </c>
      <c r="B5046" t="s">
        <v>2070</v>
      </c>
      <c r="C5046" t="s">
        <v>2071</v>
      </c>
      <c r="D5046" t="s">
        <v>50</v>
      </c>
      <c r="E5046" t="s">
        <v>20</v>
      </c>
      <c r="F5046" t="str">
        <f>"43560-1536"</f>
        <v>43560-1536</v>
      </c>
      <c r="G5046" t="str">
        <f t="shared" si="171"/>
        <v>716165</v>
      </c>
      <c r="H5046" s="2">
        <f>10</f>
        <v>10</v>
      </c>
      <c r="I5046" t="s">
        <v>27</v>
      </c>
      <c r="J5046" t="s">
        <v>34</v>
      </c>
      <c r="K5046" t="str">
        <f>"124187"</f>
        <v>124187</v>
      </c>
    </row>
    <row r="5047" spans="1:11" x14ac:dyDescent="0.25">
      <c r="A5047">
        <v>2024</v>
      </c>
      <c r="B5047" t="s">
        <v>2074</v>
      </c>
      <c r="C5047" t="s">
        <v>2075</v>
      </c>
      <c r="D5047" t="s">
        <v>19</v>
      </c>
      <c r="E5047" t="s">
        <v>20</v>
      </c>
      <c r="F5047" t="str">
        <f>"43606-2221"</f>
        <v>43606-2221</v>
      </c>
      <c r="G5047" t="str">
        <f t="shared" si="171"/>
        <v>716165</v>
      </c>
      <c r="H5047" s="2">
        <f>10</f>
        <v>10</v>
      </c>
      <c r="I5047" t="s">
        <v>27</v>
      </c>
      <c r="J5047" t="s">
        <v>34</v>
      </c>
      <c r="K5047" t="str">
        <f>"124962"</f>
        <v>124962</v>
      </c>
    </row>
    <row r="5048" spans="1:11" x14ac:dyDescent="0.25">
      <c r="A5048">
        <v>2024</v>
      </c>
      <c r="B5048" t="s">
        <v>2076</v>
      </c>
      <c r="C5048" t="s">
        <v>2077</v>
      </c>
      <c r="D5048" t="s">
        <v>19</v>
      </c>
      <c r="E5048" t="s">
        <v>20</v>
      </c>
      <c r="F5048" t="str">
        <f>"43607-1742"</f>
        <v>43607-1742</v>
      </c>
      <c r="G5048" t="str">
        <f t="shared" si="171"/>
        <v>716165</v>
      </c>
      <c r="H5048" s="2">
        <f>10</f>
        <v>10</v>
      </c>
      <c r="I5048" t="s">
        <v>27</v>
      </c>
      <c r="J5048" t="s">
        <v>34</v>
      </c>
      <c r="K5048" t="str">
        <f>"122751"</f>
        <v>122751</v>
      </c>
    </row>
    <row r="5049" spans="1:11" x14ac:dyDescent="0.25">
      <c r="A5049">
        <v>2024</v>
      </c>
      <c r="B5049" t="s">
        <v>2094</v>
      </c>
      <c r="C5049" t="s">
        <v>2095</v>
      </c>
      <c r="D5049" t="s">
        <v>19</v>
      </c>
      <c r="E5049" t="s">
        <v>20</v>
      </c>
      <c r="F5049" t="str">
        <f>"43614-3839"</f>
        <v>43614-3839</v>
      </c>
      <c r="G5049" t="str">
        <f t="shared" si="171"/>
        <v>716165</v>
      </c>
      <c r="H5049" s="2">
        <f>10</f>
        <v>10</v>
      </c>
      <c r="I5049" t="s">
        <v>27</v>
      </c>
      <c r="J5049" t="s">
        <v>34</v>
      </c>
      <c r="K5049" t="str">
        <f>"122773"</f>
        <v>122773</v>
      </c>
    </row>
    <row r="5050" spans="1:11" x14ac:dyDescent="0.25">
      <c r="A5050">
        <v>2024</v>
      </c>
      <c r="B5050" t="s">
        <v>2103</v>
      </c>
      <c r="C5050" t="s">
        <v>2104</v>
      </c>
      <c r="D5050" t="s">
        <v>19</v>
      </c>
      <c r="E5050" t="s">
        <v>20</v>
      </c>
      <c r="F5050" t="str">
        <f>"43613-2150"</f>
        <v>43613-2150</v>
      </c>
      <c r="G5050" t="str">
        <f t="shared" si="171"/>
        <v>716165</v>
      </c>
      <c r="H5050" s="2">
        <f>10</f>
        <v>10</v>
      </c>
      <c r="I5050" t="s">
        <v>27</v>
      </c>
      <c r="J5050" t="s">
        <v>34</v>
      </c>
      <c r="K5050" t="str">
        <f>"125140"</f>
        <v>125140</v>
      </c>
    </row>
    <row r="5051" spans="1:11" x14ac:dyDescent="0.25">
      <c r="A5051">
        <v>2024</v>
      </c>
      <c r="B5051" t="s">
        <v>2105</v>
      </c>
      <c r="C5051" t="s">
        <v>2106</v>
      </c>
      <c r="D5051" t="s">
        <v>105</v>
      </c>
      <c r="E5051" t="s">
        <v>20</v>
      </c>
      <c r="F5051" t="str">
        <f>"43528-8190"</f>
        <v>43528-8190</v>
      </c>
      <c r="G5051" t="str">
        <f t="shared" si="171"/>
        <v>716165</v>
      </c>
      <c r="H5051" s="2">
        <f>10</f>
        <v>10</v>
      </c>
      <c r="I5051" t="s">
        <v>27</v>
      </c>
      <c r="J5051" t="s">
        <v>34</v>
      </c>
      <c r="K5051" t="str">
        <f>"124410"</f>
        <v>124410</v>
      </c>
    </row>
    <row r="5052" spans="1:11" x14ac:dyDescent="0.25">
      <c r="A5052">
        <v>2024</v>
      </c>
      <c r="B5052" t="s">
        <v>2115</v>
      </c>
      <c r="C5052" t="s">
        <v>2116</v>
      </c>
      <c r="D5052" t="s">
        <v>19</v>
      </c>
      <c r="E5052" t="s">
        <v>20</v>
      </c>
      <c r="F5052" t="str">
        <f>"43605-3436"</f>
        <v>43605-3436</v>
      </c>
      <c r="G5052" t="str">
        <f t="shared" si="171"/>
        <v>716165</v>
      </c>
      <c r="H5052" s="2">
        <f>20</f>
        <v>20</v>
      </c>
      <c r="I5052" t="s">
        <v>27</v>
      </c>
      <c r="J5052" t="s">
        <v>34</v>
      </c>
      <c r="K5052" t="str">
        <f>"124859"</f>
        <v>124859</v>
      </c>
    </row>
    <row r="5053" spans="1:11" x14ac:dyDescent="0.25">
      <c r="A5053">
        <v>2024</v>
      </c>
      <c r="B5053" t="s">
        <v>2127</v>
      </c>
      <c r="C5053" t="s">
        <v>2126</v>
      </c>
      <c r="D5053" t="s">
        <v>111</v>
      </c>
      <c r="E5053" t="s">
        <v>20</v>
      </c>
      <c r="F5053" t="str">
        <f>"43218"</f>
        <v>43218</v>
      </c>
      <c r="G5053" t="str">
        <f>"716619"</f>
        <v>716619</v>
      </c>
      <c r="H5053" s="2">
        <f>15.53</f>
        <v>15.53</v>
      </c>
      <c r="I5053" t="s">
        <v>27</v>
      </c>
      <c r="J5053" t="s">
        <v>34</v>
      </c>
      <c r="K5053" t="str">
        <f>"22026368"</f>
        <v>22026368</v>
      </c>
    </row>
    <row r="5054" spans="1:11" x14ac:dyDescent="0.25">
      <c r="A5054">
        <v>2024</v>
      </c>
      <c r="B5054" t="s">
        <v>2127</v>
      </c>
      <c r="C5054" t="s">
        <v>2126</v>
      </c>
      <c r="D5054" t="s">
        <v>111</v>
      </c>
      <c r="E5054" t="s">
        <v>20</v>
      </c>
      <c r="F5054" t="str">
        <f>"43218"</f>
        <v>43218</v>
      </c>
      <c r="G5054" t="str">
        <f>"716619"</f>
        <v>716619</v>
      </c>
      <c r="H5054" s="2">
        <f>21.59</f>
        <v>21.59</v>
      </c>
      <c r="I5054" t="s">
        <v>27</v>
      </c>
      <c r="J5054" t="s">
        <v>34</v>
      </c>
      <c r="K5054" t="str">
        <f>"22026397"</f>
        <v>22026397</v>
      </c>
    </row>
    <row r="5055" spans="1:11" x14ac:dyDescent="0.25">
      <c r="A5055">
        <v>2024</v>
      </c>
      <c r="B5055" t="s">
        <v>2141</v>
      </c>
      <c r="C5055" t="s">
        <v>2142</v>
      </c>
      <c r="D5055" t="s">
        <v>19</v>
      </c>
      <c r="E5055" t="s">
        <v>20</v>
      </c>
      <c r="F5055" t="str">
        <f>"43623"</f>
        <v>43623</v>
      </c>
      <c r="G5055" t="str">
        <f>"Je12122024"</f>
        <v>Je12122024</v>
      </c>
      <c r="H5055" s="2">
        <f>127.55</f>
        <v>127.55</v>
      </c>
      <c r="I5055" t="s">
        <v>15</v>
      </c>
      <c r="J5055" t="s">
        <v>1326</v>
      </c>
      <c r="K5055" t="str">
        <f>"60140316"</f>
        <v>60140316</v>
      </c>
    </row>
    <row r="5056" spans="1:11" x14ac:dyDescent="0.25">
      <c r="A5056">
        <v>2024</v>
      </c>
      <c r="B5056" t="s">
        <v>2173</v>
      </c>
      <c r="C5056" t="s">
        <v>2174</v>
      </c>
      <c r="D5056" t="s">
        <v>19</v>
      </c>
      <c r="E5056" t="s">
        <v>20</v>
      </c>
      <c r="F5056" t="str">
        <f>"43607-3446"</f>
        <v>43607-3446</v>
      </c>
      <c r="G5056" t="str">
        <f>"716165"</f>
        <v>716165</v>
      </c>
      <c r="H5056" s="2">
        <f>10</f>
        <v>10</v>
      </c>
      <c r="I5056" t="s">
        <v>27</v>
      </c>
      <c r="J5056" t="s">
        <v>34</v>
      </c>
      <c r="K5056" t="str">
        <f>"124135"</f>
        <v>124135</v>
      </c>
    </row>
    <row r="5057" spans="1:11" x14ac:dyDescent="0.25">
      <c r="A5057">
        <v>2024</v>
      </c>
      <c r="B5057" t="s">
        <v>2177</v>
      </c>
      <c r="C5057" t="s">
        <v>2178</v>
      </c>
      <c r="D5057" t="s">
        <v>2179</v>
      </c>
      <c r="E5057" t="s">
        <v>1406</v>
      </c>
      <c r="F5057" t="str">
        <f>"25313"</f>
        <v>25313</v>
      </c>
      <c r="G5057" t="str">
        <f>"701123"</f>
        <v>701123</v>
      </c>
      <c r="H5057" s="2">
        <f>10</f>
        <v>10</v>
      </c>
      <c r="I5057" t="s">
        <v>148</v>
      </c>
      <c r="J5057" t="s">
        <v>2180</v>
      </c>
      <c r="K5057" t="str">
        <f>"26769"</f>
        <v>26769</v>
      </c>
    </row>
    <row r="5058" spans="1:11" x14ac:dyDescent="0.25">
      <c r="A5058">
        <v>2024</v>
      </c>
      <c r="B5058" t="s">
        <v>2185</v>
      </c>
      <c r="C5058" t="s">
        <v>2186</v>
      </c>
      <c r="D5058" t="s">
        <v>19</v>
      </c>
      <c r="E5058" t="s">
        <v>20</v>
      </c>
      <c r="F5058" t="str">
        <f>"43614-2625"</f>
        <v>43614-2625</v>
      </c>
      <c r="G5058" t="str">
        <f>"716165"</f>
        <v>716165</v>
      </c>
      <c r="H5058" s="2">
        <f>80</f>
        <v>80</v>
      </c>
      <c r="I5058" t="s">
        <v>27</v>
      </c>
      <c r="J5058" t="s">
        <v>34</v>
      </c>
      <c r="K5058" t="str">
        <f>"123465"</f>
        <v>123465</v>
      </c>
    </row>
    <row r="5059" spans="1:11" x14ac:dyDescent="0.25">
      <c r="A5059">
        <v>2024</v>
      </c>
      <c r="B5059" t="s">
        <v>2201</v>
      </c>
      <c r="C5059" t="s">
        <v>2202</v>
      </c>
      <c r="D5059" t="s">
        <v>19</v>
      </c>
      <c r="E5059" t="s">
        <v>20</v>
      </c>
      <c r="F5059" t="str">
        <f>"43606"</f>
        <v>43606</v>
      </c>
      <c r="G5059" t="str">
        <f>"Je10112024"</f>
        <v>Je10112024</v>
      </c>
      <c r="H5059" s="2">
        <f>1356.32</f>
        <v>1356.32</v>
      </c>
      <c r="I5059" t="s">
        <v>15</v>
      </c>
      <c r="J5059" t="s">
        <v>205</v>
      </c>
      <c r="K5059" t="str">
        <f>"60131583"</f>
        <v>60131583</v>
      </c>
    </row>
    <row r="5060" spans="1:11" x14ac:dyDescent="0.25">
      <c r="A5060">
        <v>2024</v>
      </c>
      <c r="B5060" t="s">
        <v>2204</v>
      </c>
      <c r="C5060" t="s">
        <v>2205</v>
      </c>
      <c r="D5060" t="s">
        <v>19</v>
      </c>
      <c r="E5060" t="s">
        <v>20</v>
      </c>
      <c r="F5060" t="str">
        <f>"43606-1327"</f>
        <v>43606-1327</v>
      </c>
      <c r="G5060" t="str">
        <f>"Je03262024"</f>
        <v>Je03262024</v>
      </c>
      <c r="H5060" s="2">
        <f>1525</f>
        <v>1525</v>
      </c>
      <c r="I5060" t="s">
        <v>15</v>
      </c>
      <c r="J5060" t="s">
        <v>21</v>
      </c>
      <c r="K5060" t="str">
        <f>"60109518"</f>
        <v>60109518</v>
      </c>
    </row>
    <row r="5061" spans="1:11" x14ac:dyDescent="0.25">
      <c r="A5061">
        <v>2024</v>
      </c>
      <c r="B5061" t="s">
        <v>2216</v>
      </c>
      <c r="C5061" t="s">
        <v>2217</v>
      </c>
      <c r="D5061" t="s">
        <v>323</v>
      </c>
      <c r="E5061" t="s">
        <v>20</v>
      </c>
      <c r="F5061" t="str">
        <f>"43571-9001"</f>
        <v>43571-9001</v>
      </c>
      <c r="G5061" t="str">
        <f>"716165"</f>
        <v>716165</v>
      </c>
      <c r="H5061" s="2">
        <f>10</f>
        <v>10</v>
      </c>
      <c r="I5061" t="s">
        <v>27</v>
      </c>
      <c r="J5061" t="s">
        <v>34</v>
      </c>
      <c r="K5061" t="str">
        <f>"121218"</f>
        <v>121218</v>
      </c>
    </row>
    <row r="5062" spans="1:11" x14ac:dyDescent="0.25">
      <c r="A5062">
        <v>2024</v>
      </c>
      <c r="B5062" t="s">
        <v>2220</v>
      </c>
      <c r="C5062" t="s">
        <v>2221</v>
      </c>
      <c r="D5062" t="s">
        <v>125</v>
      </c>
      <c r="E5062" t="s">
        <v>20</v>
      </c>
      <c r="F5062" t="str">
        <f>"43537"</f>
        <v>43537</v>
      </c>
      <c r="G5062" t="str">
        <f>"718470"</f>
        <v>718470</v>
      </c>
      <c r="H5062" s="2">
        <f>25.9</f>
        <v>25.9</v>
      </c>
      <c r="I5062" t="s">
        <v>27</v>
      </c>
      <c r="J5062" t="s">
        <v>34</v>
      </c>
      <c r="K5062" t="str">
        <f>"334627"</f>
        <v>334627</v>
      </c>
    </row>
    <row r="5063" spans="1:11" x14ac:dyDescent="0.25">
      <c r="A5063">
        <v>2024</v>
      </c>
      <c r="B5063" t="s">
        <v>2230</v>
      </c>
      <c r="C5063" t="s">
        <v>2231</v>
      </c>
      <c r="D5063" t="s">
        <v>19</v>
      </c>
      <c r="E5063" t="s">
        <v>20</v>
      </c>
      <c r="F5063" t="str">
        <f>"43606"</f>
        <v>43606</v>
      </c>
      <c r="G5063" t="str">
        <f>"719211"</f>
        <v>719211</v>
      </c>
      <c r="H5063" s="2">
        <f>1800</f>
        <v>1800</v>
      </c>
      <c r="I5063" t="s">
        <v>27</v>
      </c>
      <c r="J5063" t="s">
        <v>200</v>
      </c>
      <c r="K5063" t="str">
        <f>"N/A"</f>
        <v>N/A</v>
      </c>
    </row>
    <row r="5064" spans="1:11" x14ac:dyDescent="0.25">
      <c r="A5064">
        <v>2024</v>
      </c>
      <c r="B5064" t="s">
        <v>2244</v>
      </c>
      <c r="C5064" t="s">
        <v>2245</v>
      </c>
      <c r="D5064" t="s">
        <v>50</v>
      </c>
      <c r="E5064" t="s">
        <v>20</v>
      </c>
      <c r="F5064" t="str">
        <f>"43560-2005"</f>
        <v>43560-2005</v>
      </c>
      <c r="G5064" t="str">
        <f>"716165"</f>
        <v>716165</v>
      </c>
      <c r="H5064" s="2">
        <f>10</f>
        <v>10</v>
      </c>
      <c r="I5064" t="s">
        <v>27</v>
      </c>
      <c r="J5064" t="s">
        <v>34</v>
      </c>
      <c r="K5064" t="str">
        <f>"121490"</f>
        <v>121490</v>
      </c>
    </row>
    <row r="5065" spans="1:11" x14ac:dyDescent="0.25">
      <c r="A5065">
        <v>2024</v>
      </c>
      <c r="B5065" t="s">
        <v>2252</v>
      </c>
      <c r="C5065" t="s">
        <v>2253</v>
      </c>
      <c r="D5065" t="s">
        <v>19</v>
      </c>
      <c r="E5065" t="s">
        <v>20</v>
      </c>
      <c r="F5065" t="str">
        <f>"43608-2664"</f>
        <v>43608-2664</v>
      </c>
      <c r="G5065" t="str">
        <f>"716165"</f>
        <v>716165</v>
      </c>
      <c r="H5065" s="2">
        <f>10</f>
        <v>10</v>
      </c>
      <c r="I5065" t="s">
        <v>27</v>
      </c>
      <c r="J5065" t="s">
        <v>34</v>
      </c>
      <c r="K5065" t="str">
        <f>"121893"</f>
        <v>121893</v>
      </c>
    </row>
    <row r="5066" spans="1:11" x14ac:dyDescent="0.25">
      <c r="A5066">
        <v>2024</v>
      </c>
      <c r="B5066" t="s">
        <v>2258</v>
      </c>
      <c r="C5066" t="s">
        <v>2259</v>
      </c>
      <c r="D5066" t="s">
        <v>19</v>
      </c>
      <c r="E5066" t="s">
        <v>20</v>
      </c>
      <c r="F5066" t="str">
        <f>"43613-2572"</f>
        <v>43613-2572</v>
      </c>
      <c r="G5066" t="str">
        <f>"716165"</f>
        <v>716165</v>
      </c>
      <c r="H5066" s="2">
        <f>20</f>
        <v>20</v>
      </c>
      <c r="I5066" t="s">
        <v>27</v>
      </c>
      <c r="J5066" t="s">
        <v>34</v>
      </c>
      <c r="K5066" t="str">
        <f>"123727"</f>
        <v>123727</v>
      </c>
    </row>
    <row r="5067" spans="1:11" x14ac:dyDescent="0.25">
      <c r="A5067">
        <v>2024</v>
      </c>
      <c r="B5067" t="s">
        <v>2260</v>
      </c>
      <c r="C5067" t="s">
        <v>2261</v>
      </c>
      <c r="D5067" t="s">
        <v>58</v>
      </c>
      <c r="E5067" t="s">
        <v>20</v>
      </c>
      <c r="F5067" t="str">
        <f>"43616-4003"</f>
        <v>43616-4003</v>
      </c>
      <c r="G5067" t="str">
        <f>"716165"</f>
        <v>716165</v>
      </c>
      <c r="H5067" s="2">
        <f>10</f>
        <v>10</v>
      </c>
      <c r="I5067" t="s">
        <v>27</v>
      </c>
      <c r="J5067" t="s">
        <v>34</v>
      </c>
      <c r="K5067" t="str">
        <f>"124896"</f>
        <v>124896</v>
      </c>
    </row>
    <row r="5068" spans="1:11" x14ac:dyDescent="0.25">
      <c r="A5068">
        <v>2024</v>
      </c>
      <c r="B5068" t="s">
        <v>2262</v>
      </c>
      <c r="C5068" t="s">
        <v>2263</v>
      </c>
      <c r="D5068" t="s">
        <v>19</v>
      </c>
      <c r="E5068" t="s">
        <v>20</v>
      </c>
      <c r="F5068" t="str">
        <f>"43620-1023"</f>
        <v>43620-1023</v>
      </c>
      <c r="G5068" t="str">
        <f>"716165"</f>
        <v>716165</v>
      </c>
      <c r="H5068" s="2">
        <f>10</f>
        <v>10</v>
      </c>
      <c r="I5068" t="s">
        <v>27</v>
      </c>
      <c r="J5068" t="s">
        <v>34</v>
      </c>
      <c r="K5068" t="str">
        <f>"122822"</f>
        <v>122822</v>
      </c>
    </row>
    <row r="5069" spans="1:11" x14ac:dyDescent="0.25">
      <c r="A5069">
        <v>2024</v>
      </c>
      <c r="B5069" t="s">
        <v>2294</v>
      </c>
      <c r="C5069" t="s">
        <v>2295</v>
      </c>
      <c r="D5069" t="s">
        <v>19</v>
      </c>
      <c r="E5069" t="s">
        <v>20</v>
      </c>
      <c r="F5069" t="str">
        <f>"43609"</f>
        <v>43609</v>
      </c>
      <c r="G5069" t="str">
        <f>"719211"</f>
        <v>719211</v>
      </c>
      <c r="H5069" s="2">
        <f>900</f>
        <v>900</v>
      </c>
      <c r="I5069" t="s">
        <v>27</v>
      </c>
      <c r="J5069" t="s">
        <v>200</v>
      </c>
      <c r="K5069" t="str">
        <f>"N/A"</f>
        <v>N/A</v>
      </c>
    </row>
    <row r="5070" spans="1:11" x14ac:dyDescent="0.25">
      <c r="A5070">
        <v>2024</v>
      </c>
      <c r="B5070" t="s">
        <v>2296</v>
      </c>
      <c r="C5070" t="s">
        <v>2297</v>
      </c>
      <c r="D5070" t="s">
        <v>19</v>
      </c>
      <c r="E5070" t="s">
        <v>20</v>
      </c>
      <c r="F5070" t="str">
        <f>"43612-3347"</f>
        <v>43612-3347</v>
      </c>
      <c r="G5070" t="str">
        <f>"716165"</f>
        <v>716165</v>
      </c>
      <c r="H5070" s="2">
        <f>20</f>
        <v>20</v>
      </c>
      <c r="I5070" t="s">
        <v>27</v>
      </c>
      <c r="J5070" t="s">
        <v>34</v>
      </c>
      <c r="K5070" t="str">
        <f>"124044"</f>
        <v>124044</v>
      </c>
    </row>
    <row r="5071" spans="1:11" x14ac:dyDescent="0.25">
      <c r="A5071">
        <v>2024</v>
      </c>
      <c r="B5071" t="s">
        <v>2300</v>
      </c>
      <c r="C5071" t="s">
        <v>2301</v>
      </c>
      <c r="D5071" t="s">
        <v>19</v>
      </c>
      <c r="E5071" t="s">
        <v>20</v>
      </c>
      <c r="F5071" t="str">
        <f>"43614-3630"</f>
        <v>43614-3630</v>
      </c>
      <c r="G5071" t="str">
        <f>"716165"</f>
        <v>716165</v>
      </c>
      <c r="H5071" s="2">
        <f>10</f>
        <v>10</v>
      </c>
      <c r="I5071" t="s">
        <v>27</v>
      </c>
      <c r="J5071" t="s">
        <v>34</v>
      </c>
      <c r="K5071" t="str">
        <f>"121455"</f>
        <v>121455</v>
      </c>
    </row>
    <row r="5072" spans="1:11" x14ac:dyDescent="0.25">
      <c r="A5072">
        <v>2024</v>
      </c>
      <c r="B5072" t="s">
        <v>2302</v>
      </c>
      <c r="C5072" t="s">
        <v>2303</v>
      </c>
      <c r="D5072" t="s">
        <v>19</v>
      </c>
      <c r="E5072" t="s">
        <v>20</v>
      </c>
      <c r="F5072" t="str">
        <f>"43612"</f>
        <v>43612</v>
      </c>
      <c r="G5072" t="str">
        <f>"718470"</f>
        <v>718470</v>
      </c>
      <c r="H5072" s="2">
        <f>55.28</f>
        <v>55.28</v>
      </c>
      <c r="I5072" t="s">
        <v>27</v>
      </c>
      <c r="J5072" t="s">
        <v>34</v>
      </c>
      <c r="K5072" t="str">
        <f>"334623"</f>
        <v>334623</v>
      </c>
    </row>
    <row r="5073" spans="1:11" x14ac:dyDescent="0.25">
      <c r="A5073">
        <v>2024</v>
      </c>
      <c r="B5073" t="s">
        <v>2308</v>
      </c>
      <c r="C5073" t="s">
        <v>2309</v>
      </c>
      <c r="D5073" t="s">
        <v>19</v>
      </c>
      <c r="E5073" t="s">
        <v>20</v>
      </c>
      <c r="F5073" t="str">
        <f>"43606-3044"</f>
        <v>43606-3044</v>
      </c>
      <c r="G5073" t="str">
        <f>"716165"</f>
        <v>716165</v>
      </c>
      <c r="H5073" s="2">
        <f>40</f>
        <v>40</v>
      </c>
      <c r="I5073" t="s">
        <v>27</v>
      </c>
      <c r="J5073" t="s">
        <v>34</v>
      </c>
      <c r="K5073" t="str">
        <f>"121894"</f>
        <v>121894</v>
      </c>
    </row>
    <row r="5074" spans="1:11" x14ac:dyDescent="0.25">
      <c r="A5074">
        <v>2024</v>
      </c>
      <c r="B5074" t="s">
        <v>2308</v>
      </c>
      <c r="C5074" t="s">
        <v>2309</v>
      </c>
      <c r="D5074" t="s">
        <v>19</v>
      </c>
      <c r="E5074" t="s">
        <v>20</v>
      </c>
      <c r="F5074" t="str">
        <f>"43606-3044"</f>
        <v>43606-3044</v>
      </c>
      <c r="G5074" t="str">
        <f>"716165"</f>
        <v>716165</v>
      </c>
      <c r="H5074" s="2">
        <f>40</f>
        <v>40</v>
      </c>
      <c r="I5074" t="s">
        <v>27</v>
      </c>
      <c r="J5074" t="s">
        <v>34</v>
      </c>
      <c r="K5074" t="str">
        <f>"122015"</f>
        <v>122015</v>
      </c>
    </row>
    <row r="5075" spans="1:11" x14ac:dyDescent="0.25">
      <c r="A5075">
        <v>2024</v>
      </c>
      <c r="B5075" t="s">
        <v>2316</v>
      </c>
      <c r="C5075" t="s">
        <v>2303</v>
      </c>
      <c r="D5075" t="s">
        <v>19</v>
      </c>
      <c r="E5075" t="s">
        <v>20</v>
      </c>
      <c r="F5075" t="str">
        <f>"43612"</f>
        <v>43612</v>
      </c>
      <c r="G5075" t="str">
        <f>"718470"</f>
        <v>718470</v>
      </c>
      <c r="H5075" s="2">
        <f>52.09</f>
        <v>52.09</v>
      </c>
      <c r="I5075" t="s">
        <v>27</v>
      </c>
      <c r="J5075" t="s">
        <v>34</v>
      </c>
      <c r="K5075" t="str">
        <f>"334719"</f>
        <v>334719</v>
      </c>
    </row>
    <row r="5076" spans="1:11" x14ac:dyDescent="0.25">
      <c r="A5076">
        <v>2024</v>
      </c>
      <c r="B5076" t="s">
        <v>2317</v>
      </c>
      <c r="C5076" t="s">
        <v>2318</v>
      </c>
      <c r="D5076" t="s">
        <v>105</v>
      </c>
      <c r="E5076" t="s">
        <v>20</v>
      </c>
      <c r="F5076" t="str">
        <f>"43528-9688"</f>
        <v>43528-9688</v>
      </c>
      <c r="G5076" t="str">
        <f>"716165"</f>
        <v>716165</v>
      </c>
      <c r="H5076" s="2">
        <f>20</f>
        <v>20</v>
      </c>
      <c r="I5076" t="s">
        <v>27</v>
      </c>
      <c r="J5076" t="s">
        <v>34</v>
      </c>
      <c r="K5076" t="str">
        <f>"122484"</f>
        <v>122484</v>
      </c>
    </row>
    <row r="5077" spans="1:11" x14ac:dyDescent="0.25">
      <c r="A5077">
        <v>2024</v>
      </c>
      <c r="B5077" t="s">
        <v>2323</v>
      </c>
      <c r="C5077" t="s">
        <v>2324</v>
      </c>
      <c r="D5077" t="s">
        <v>164</v>
      </c>
      <c r="E5077" t="s">
        <v>20</v>
      </c>
      <c r="F5077" t="str">
        <f>"43558-9444"</f>
        <v>43558-9444</v>
      </c>
      <c r="G5077" t="str">
        <f>"716165"</f>
        <v>716165</v>
      </c>
      <c r="H5077" s="2">
        <f>10</f>
        <v>10</v>
      </c>
      <c r="I5077" t="s">
        <v>27</v>
      </c>
      <c r="J5077" t="s">
        <v>34</v>
      </c>
      <c r="K5077" t="str">
        <f>"122525"</f>
        <v>122525</v>
      </c>
    </row>
    <row r="5078" spans="1:11" x14ac:dyDescent="0.25">
      <c r="A5078">
        <v>2024</v>
      </c>
      <c r="B5078" t="s">
        <v>2335</v>
      </c>
      <c r="C5078" t="s">
        <v>2336</v>
      </c>
      <c r="D5078" t="s">
        <v>19</v>
      </c>
      <c r="E5078" t="s">
        <v>20</v>
      </c>
      <c r="F5078" t="str">
        <f>"43605"</f>
        <v>43605</v>
      </c>
      <c r="G5078" t="str">
        <f>"719211"</f>
        <v>719211</v>
      </c>
      <c r="H5078" s="2">
        <f>135</f>
        <v>135</v>
      </c>
      <c r="I5078" t="s">
        <v>27</v>
      </c>
      <c r="J5078" t="s">
        <v>200</v>
      </c>
      <c r="K5078" t="str">
        <f>"N/A"</f>
        <v>N/A</v>
      </c>
    </row>
    <row r="5079" spans="1:11" x14ac:dyDescent="0.25">
      <c r="A5079">
        <v>2024</v>
      </c>
      <c r="B5079" t="s">
        <v>2341</v>
      </c>
      <c r="C5079" t="s">
        <v>2342</v>
      </c>
      <c r="D5079" t="s">
        <v>19</v>
      </c>
      <c r="E5079" t="s">
        <v>20</v>
      </c>
      <c r="F5079" t="str">
        <f>"43615-1186"</f>
        <v>43615-1186</v>
      </c>
      <c r="G5079" t="str">
        <f>"716165"</f>
        <v>716165</v>
      </c>
      <c r="H5079" s="2">
        <f>20</f>
        <v>20</v>
      </c>
      <c r="I5079" t="s">
        <v>27</v>
      </c>
      <c r="J5079" t="s">
        <v>34</v>
      </c>
      <c r="K5079" t="str">
        <f>"123562"</f>
        <v>123562</v>
      </c>
    </row>
    <row r="5080" spans="1:11" x14ac:dyDescent="0.25">
      <c r="A5080">
        <v>2024</v>
      </c>
      <c r="B5080" t="s">
        <v>2343</v>
      </c>
      <c r="C5080" t="s">
        <v>2344</v>
      </c>
      <c r="D5080" t="s">
        <v>50</v>
      </c>
      <c r="E5080" t="s">
        <v>20</v>
      </c>
      <c r="F5080" t="str">
        <f>"43560"</f>
        <v>43560</v>
      </c>
      <c r="G5080" t="str">
        <f>"716166"</f>
        <v>716166</v>
      </c>
      <c r="H5080" s="2">
        <f>20</f>
        <v>20</v>
      </c>
      <c r="I5080" t="s">
        <v>27</v>
      </c>
      <c r="J5080" t="s">
        <v>262</v>
      </c>
      <c r="K5080" t="str">
        <f>"42294"</f>
        <v>42294</v>
      </c>
    </row>
    <row r="5081" spans="1:11" x14ac:dyDescent="0.25">
      <c r="A5081">
        <v>2024</v>
      </c>
      <c r="B5081" t="s">
        <v>2347</v>
      </c>
      <c r="C5081" t="s">
        <v>2348</v>
      </c>
      <c r="D5081" t="s">
        <v>19</v>
      </c>
      <c r="E5081" t="s">
        <v>20</v>
      </c>
      <c r="F5081" t="str">
        <f>"43613-2169"</f>
        <v>43613-2169</v>
      </c>
      <c r="G5081" t="str">
        <f>"716165"</f>
        <v>716165</v>
      </c>
      <c r="H5081" s="2">
        <f>10</f>
        <v>10</v>
      </c>
      <c r="I5081" t="s">
        <v>27</v>
      </c>
      <c r="J5081" t="s">
        <v>34</v>
      </c>
      <c r="K5081" t="str">
        <f>"124990"</f>
        <v>124990</v>
      </c>
    </row>
    <row r="5082" spans="1:11" x14ac:dyDescent="0.25">
      <c r="A5082">
        <v>2024</v>
      </c>
      <c r="B5082" t="s">
        <v>2349</v>
      </c>
      <c r="C5082" t="s">
        <v>2350</v>
      </c>
      <c r="D5082" t="s">
        <v>19</v>
      </c>
      <c r="E5082" t="s">
        <v>20</v>
      </c>
      <c r="F5082" t="str">
        <f>"43607-1303"</f>
        <v>43607-1303</v>
      </c>
      <c r="G5082" t="str">
        <f>"716165"</f>
        <v>716165</v>
      </c>
      <c r="H5082" s="2">
        <f>10</f>
        <v>10</v>
      </c>
      <c r="I5082" t="s">
        <v>27</v>
      </c>
      <c r="J5082" t="s">
        <v>34</v>
      </c>
      <c r="K5082" t="str">
        <f>"123037"</f>
        <v>123037</v>
      </c>
    </row>
    <row r="5083" spans="1:11" x14ac:dyDescent="0.25">
      <c r="A5083">
        <v>2024</v>
      </c>
      <c r="B5083" t="s">
        <v>2366</v>
      </c>
      <c r="C5083" t="s">
        <v>2367</v>
      </c>
      <c r="D5083" t="s">
        <v>19</v>
      </c>
      <c r="E5083" t="s">
        <v>20</v>
      </c>
      <c r="F5083" t="str">
        <f>"43609"</f>
        <v>43609</v>
      </c>
      <c r="G5083" t="str">
        <f>"712783"</f>
        <v>712783</v>
      </c>
      <c r="H5083" s="2">
        <f>2</f>
        <v>2</v>
      </c>
      <c r="I5083" t="s">
        <v>519</v>
      </c>
      <c r="J5083" t="s">
        <v>519</v>
      </c>
      <c r="K5083" t="str">
        <f>"11472"</f>
        <v>11472</v>
      </c>
    </row>
    <row r="5084" spans="1:11" x14ac:dyDescent="0.25">
      <c r="A5084">
        <v>2024</v>
      </c>
      <c r="B5084" t="s">
        <v>2375</v>
      </c>
      <c r="C5084" t="s">
        <v>2376</v>
      </c>
      <c r="D5084" t="s">
        <v>19</v>
      </c>
      <c r="E5084" t="s">
        <v>20</v>
      </c>
      <c r="F5084" t="str">
        <f>"43604"</f>
        <v>43604</v>
      </c>
      <c r="G5084" t="str">
        <f>"718470"</f>
        <v>718470</v>
      </c>
      <c r="H5084" s="2">
        <f>19.42</f>
        <v>19.420000000000002</v>
      </c>
      <c r="I5084" t="s">
        <v>27</v>
      </c>
      <c r="J5084" t="s">
        <v>34</v>
      </c>
      <c r="K5084" t="str">
        <f>"334337"</f>
        <v>334337</v>
      </c>
    </row>
    <row r="5085" spans="1:11" x14ac:dyDescent="0.25">
      <c r="A5085">
        <v>2024</v>
      </c>
      <c r="B5085" t="s">
        <v>2375</v>
      </c>
      <c r="C5085" t="s">
        <v>2376</v>
      </c>
      <c r="D5085" t="s">
        <v>19</v>
      </c>
      <c r="E5085" t="s">
        <v>20</v>
      </c>
      <c r="F5085" t="str">
        <f>"43604"</f>
        <v>43604</v>
      </c>
      <c r="G5085" t="str">
        <f>"718470"</f>
        <v>718470</v>
      </c>
      <c r="H5085" s="2">
        <f>10.76</f>
        <v>10.76</v>
      </c>
      <c r="I5085" t="s">
        <v>27</v>
      </c>
      <c r="J5085" t="s">
        <v>34</v>
      </c>
      <c r="K5085" t="str">
        <f>"334434"</f>
        <v>334434</v>
      </c>
    </row>
    <row r="5086" spans="1:11" x14ac:dyDescent="0.25">
      <c r="A5086">
        <v>2024</v>
      </c>
      <c r="B5086" t="s">
        <v>2394</v>
      </c>
      <c r="C5086" t="s">
        <v>2396</v>
      </c>
      <c r="D5086" t="s">
        <v>19</v>
      </c>
      <c r="E5086" t="s">
        <v>20</v>
      </c>
      <c r="F5086" t="str">
        <f>"43604-1219"</f>
        <v>43604-1219</v>
      </c>
      <c r="G5086" t="str">
        <f>"Je08072024"</f>
        <v>Je08072024</v>
      </c>
      <c r="H5086" s="2">
        <f>17466.33</f>
        <v>17466.330000000002</v>
      </c>
      <c r="I5086" t="s">
        <v>15</v>
      </c>
      <c r="J5086" t="s">
        <v>1647</v>
      </c>
      <c r="K5086" t="str">
        <f>"60119698"</f>
        <v>60119698</v>
      </c>
    </row>
    <row r="5087" spans="1:11" x14ac:dyDescent="0.25">
      <c r="A5087">
        <v>2024</v>
      </c>
      <c r="B5087" t="s">
        <v>2394</v>
      </c>
      <c r="C5087" t="s">
        <v>2397</v>
      </c>
      <c r="D5087" t="s">
        <v>19</v>
      </c>
      <c r="E5087" t="s">
        <v>20</v>
      </c>
      <c r="F5087" t="str">
        <f>"43699-0017"</f>
        <v>43699-0017</v>
      </c>
      <c r="G5087" t="str">
        <f>"Je10112024"</f>
        <v>Je10112024</v>
      </c>
      <c r="H5087" s="2">
        <f>6139.6</f>
        <v>6139.6</v>
      </c>
      <c r="I5087" t="s">
        <v>15</v>
      </c>
      <c r="J5087" t="s">
        <v>205</v>
      </c>
      <c r="K5087" t="str">
        <f>"60124604"</f>
        <v>60124604</v>
      </c>
    </row>
    <row r="5088" spans="1:11" x14ac:dyDescent="0.25">
      <c r="A5088">
        <v>2024</v>
      </c>
      <c r="B5088" t="s">
        <v>2394</v>
      </c>
      <c r="C5088" t="s">
        <v>2395</v>
      </c>
      <c r="D5088" t="s">
        <v>19</v>
      </c>
      <c r="E5088" t="s">
        <v>20</v>
      </c>
      <c r="F5088" t="str">
        <f>"43699-0017"</f>
        <v>43699-0017</v>
      </c>
      <c r="G5088" t="str">
        <f>"Je12122024"</f>
        <v>Je12122024</v>
      </c>
      <c r="H5088" s="2">
        <f>3084.28</f>
        <v>3084.28</v>
      </c>
      <c r="I5088" t="s">
        <v>15</v>
      </c>
      <c r="J5088" t="s">
        <v>1326</v>
      </c>
      <c r="K5088" t="str">
        <f>"60133131"</f>
        <v>60133131</v>
      </c>
    </row>
    <row r="5089" spans="1:11" x14ac:dyDescent="0.25">
      <c r="A5089">
        <v>2024</v>
      </c>
      <c r="B5089" t="s">
        <v>2394</v>
      </c>
      <c r="C5089" t="s">
        <v>2395</v>
      </c>
      <c r="D5089" t="s">
        <v>19</v>
      </c>
      <c r="E5089" t="s">
        <v>20</v>
      </c>
      <c r="F5089" t="str">
        <f>"43699-0017"</f>
        <v>43699-0017</v>
      </c>
      <c r="G5089" t="str">
        <f>"Je12122024"</f>
        <v>Je12122024</v>
      </c>
      <c r="H5089" s="2">
        <f>6572.36</f>
        <v>6572.36</v>
      </c>
      <c r="I5089" t="s">
        <v>15</v>
      </c>
      <c r="J5089" t="s">
        <v>1326</v>
      </c>
      <c r="K5089" t="str">
        <f>"60133248"</f>
        <v>60133248</v>
      </c>
    </row>
    <row r="5090" spans="1:11" x14ac:dyDescent="0.25">
      <c r="A5090">
        <v>2024</v>
      </c>
      <c r="B5090" t="s">
        <v>2394</v>
      </c>
      <c r="C5090" t="s">
        <v>2395</v>
      </c>
      <c r="D5090" t="s">
        <v>19</v>
      </c>
      <c r="E5090" t="s">
        <v>20</v>
      </c>
      <c r="F5090" t="str">
        <f>"43699-0017"</f>
        <v>43699-0017</v>
      </c>
      <c r="G5090" t="str">
        <f>"Je12122024"</f>
        <v>Je12122024</v>
      </c>
      <c r="H5090" s="2">
        <f>32439.83</f>
        <v>32439.83</v>
      </c>
      <c r="I5090" t="s">
        <v>15</v>
      </c>
      <c r="J5090" t="s">
        <v>1326</v>
      </c>
      <c r="K5090" t="str">
        <f>"60133362"</f>
        <v>60133362</v>
      </c>
    </row>
    <row r="5091" spans="1:11" x14ac:dyDescent="0.25">
      <c r="A5091">
        <v>2024</v>
      </c>
      <c r="B5091" t="s">
        <v>2402</v>
      </c>
      <c r="C5091" t="s">
        <v>2403</v>
      </c>
      <c r="D5091" t="s">
        <v>105</v>
      </c>
      <c r="E5091" t="s">
        <v>20</v>
      </c>
      <c r="F5091" t="str">
        <f>"43528"</f>
        <v>43528</v>
      </c>
      <c r="G5091" t="str">
        <f>"701123"</f>
        <v>701123</v>
      </c>
      <c r="H5091" s="2">
        <f>5</f>
        <v>5</v>
      </c>
      <c r="I5091" t="s">
        <v>148</v>
      </c>
      <c r="J5091" t="s">
        <v>2404</v>
      </c>
      <c r="K5091" t="str">
        <f>"26769"</f>
        <v>26769</v>
      </c>
    </row>
    <row r="5092" spans="1:11" x14ac:dyDescent="0.25">
      <c r="A5092">
        <v>2024</v>
      </c>
      <c r="B5092" t="s">
        <v>2405</v>
      </c>
      <c r="C5092" t="s">
        <v>2406</v>
      </c>
      <c r="D5092" t="s">
        <v>19</v>
      </c>
      <c r="E5092" t="s">
        <v>20</v>
      </c>
      <c r="F5092" t="str">
        <f>"43605-1273"</f>
        <v>43605-1273</v>
      </c>
      <c r="G5092" t="str">
        <f>"716165"</f>
        <v>716165</v>
      </c>
      <c r="H5092" s="2">
        <f>10</f>
        <v>10</v>
      </c>
      <c r="I5092" t="s">
        <v>27</v>
      </c>
      <c r="J5092" t="s">
        <v>34</v>
      </c>
      <c r="K5092" t="str">
        <f>"123765"</f>
        <v>123765</v>
      </c>
    </row>
    <row r="5093" spans="1:11" x14ac:dyDescent="0.25">
      <c r="A5093">
        <v>2024</v>
      </c>
      <c r="B5093" t="s">
        <v>2411</v>
      </c>
      <c r="C5093" t="s">
        <v>2412</v>
      </c>
      <c r="D5093" t="s">
        <v>19</v>
      </c>
      <c r="E5093" t="s">
        <v>20</v>
      </c>
      <c r="F5093" t="str">
        <f>"43604"</f>
        <v>43604</v>
      </c>
      <c r="G5093" t="str">
        <f>"716166"</f>
        <v>716166</v>
      </c>
      <c r="H5093" s="2">
        <f>12</f>
        <v>12</v>
      </c>
      <c r="I5093" t="s">
        <v>27</v>
      </c>
      <c r="J5093" t="s">
        <v>262</v>
      </c>
      <c r="K5093" t="str">
        <f>"43040"</f>
        <v>43040</v>
      </c>
    </row>
    <row r="5094" spans="1:11" x14ac:dyDescent="0.25">
      <c r="A5094">
        <v>2024</v>
      </c>
      <c r="B5094" t="s">
        <v>2429</v>
      </c>
      <c r="C5094" t="s">
        <v>2430</v>
      </c>
      <c r="D5094" t="s">
        <v>19</v>
      </c>
      <c r="E5094" t="s">
        <v>20</v>
      </c>
      <c r="F5094" t="str">
        <f>"43613-2318"</f>
        <v>43613-2318</v>
      </c>
      <c r="G5094" t="str">
        <f>"716165"</f>
        <v>716165</v>
      </c>
      <c r="H5094" s="2">
        <f>10</f>
        <v>10</v>
      </c>
      <c r="I5094" t="s">
        <v>27</v>
      </c>
      <c r="J5094" t="s">
        <v>34</v>
      </c>
      <c r="K5094" t="str">
        <f>"123958"</f>
        <v>123958</v>
      </c>
    </row>
    <row r="5095" spans="1:11" x14ac:dyDescent="0.25">
      <c r="A5095">
        <v>2024</v>
      </c>
      <c r="B5095" t="s">
        <v>2431</v>
      </c>
      <c r="C5095" t="s">
        <v>2432</v>
      </c>
      <c r="D5095" t="s">
        <v>19</v>
      </c>
      <c r="E5095" t="s">
        <v>20</v>
      </c>
      <c r="F5095" t="str">
        <f>"43604"</f>
        <v>43604</v>
      </c>
      <c r="G5095" t="str">
        <f>"716166"</f>
        <v>716166</v>
      </c>
      <c r="H5095" s="2">
        <f>26.7</f>
        <v>26.7</v>
      </c>
      <c r="I5095" t="s">
        <v>27</v>
      </c>
      <c r="J5095" t="s">
        <v>262</v>
      </c>
      <c r="K5095" t="str">
        <f>"41952"</f>
        <v>41952</v>
      </c>
    </row>
    <row r="5096" spans="1:11" x14ac:dyDescent="0.25">
      <c r="A5096">
        <v>2024</v>
      </c>
      <c r="B5096" t="s">
        <v>2441</v>
      </c>
      <c r="C5096" t="s">
        <v>2442</v>
      </c>
      <c r="D5096" t="s">
        <v>50</v>
      </c>
      <c r="E5096" t="s">
        <v>20</v>
      </c>
      <c r="F5096" t="str">
        <f>"43560-1830"</f>
        <v>43560-1830</v>
      </c>
      <c r="G5096" t="str">
        <f t="shared" ref="G5096:G5101" si="172">"716165"</f>
        <v>716165</v>
      </c>
      <c r="H5096" s="2">
        <f>10</f>
        <v>10</v>
      </c>
      <c r="I5096" t="s">
        <v>27</v>
      </c>
      <c r="J5096" t="s">
        <v>34</v>
      </c>
      <c r="K5096" t="str">
        <f>"124421"</f>
        <v>124421</v>
      </c>
    </row>
    <row r="5097" spans="1:11" x14ac:dyDescent="0.25">
      <c r="A5097">
        <v>2024</v>
      </c>
      <c r="B5097" t="s">
        <v>2445</v>
      </c>
      <c r="C5097" t="s">
        <v>2446</v>
      </c>
      <c r="D5097" t="s">
        <v>19</v>
      </c>
      <c r="E5097" t="s">
        <v>20</v>
      </c>
      <c r="F5097" t="str">
        <f>"43611-2957"</f>
        <v>43611-2957</v>
      </c>
      <c r="G5097" t="str">
        <f t="shared" si="172"/>
        <v>716165</v>
      </c>
      <c r="H5097" s="2">
        <f>10</f>
        <v>10</v>
      </c>
      <c r="I5097" t="s">
        <v>27</v>
      </c>
      <c r="J5097" t="s">
        <v>34</v>
      </c>
      <c r="K5097" t="str">
        <f>"122236"</f>
        <v>122236</v>
      </c>
    </row>
    <row r="5098" spans="1:11" x14ac:dyDescent="0.25">
      <c r="A5098">
        <v>2024</v>
      </c>
      <c r="B5098" t="s">
        <v>2467</v>
      </c>
      <c r="C5098" t="s">
        <v>2468</v>
      </c>
      <c r="D5098" t="s">
        <v>19</v>
      </c>
      <c r="E5098" t="s">
        <v>20</v>
      </c>
      <c r="F5098" t="str">
        <f>"43615-4400"</f>
        <v>43615-4400</v>
      </c>
      <c r="G5098" t="str">
        <f t="shared" si="172"/>
        <v>716165</v>
      </c>
      <c r="H5098" s="2">
        <f>10</f>
        <v>10</v>
      </c>
      <c r="I5098" t="s">
        <v>27</v>
      </c>
      <c r="J5098" t="s">
        <v>34</v>
      </c>
      <c r="K5098" t="str">
        <f>"121029"</f>
        <v>121029</v>
      </c>
    </row>
    <row r="5099" spans="1:11" x14ac:dyDescent="0.25">
      <c r="A5099">
        <v>2024</v>
      </c>
      <c r="B5099" t="s">
        <v>2471</v>
      </c>
      <c r="C5099" t="s">
        <v>2472</v>
      </c>
      <c r="D5099" t="s">
        <v>58</v>
      </c>
      <c r="E5099" t="s">
        <v>20</v>
      </c>
      <c r="F5099" t="str">
        <f>"43616-5797"</f>
        <v>43616-5797</v>
      </c>
      <c r="G5099" t="str">
        <f t="shared" si="172"/>
        <v>716165</v>
      </c>
      <c r="H5099" s="2">
        <f>10</f>
        <v>10</v>
      </c>
      <c r="I5099" t="s">
        <v>27</v>
      </c>
      <c r="J5099" t="s">
        <v>34</v>
      </c>
      <c r="K5099" t="str">
        <f>"122132"</f>
        <v>122132</v>
      </c>
    </row>
    <row r="5100" spans="1:11" x14ac:dyDescent="0.25">
      <c r="A5100">
        <v>2024</v>
      </c>
      <c r="B5100" t="s">
        <v>2475</v>
      </c>
      <c r="C5100" t="s">
        <v>2476</v>
      </c>
      <c r="D5100" t="s">
        <v>19</v>
      </c>
      <c r="E5100" t="s">
        <v>20</v>
      </c>
      <c r="F5100" t="str">
        <f>"43609-1709"</f>
        <v>43609-1709</v>
      </c>
      <c r="G5100" t="str">
        <f t="shared" si="172"/>
        <v>716165</v>
      </c>
      <c r="H5100" s="2">
        <f>10</f>
        <v>10</v>
      </c>
      <c r="I5100" t="s">
        <v>27</v>
      </c>
      <c r="J5100" t="s">
        <v>34</v>
      </c>
      <c r="K5100" t="str">
        <f>"123561"</f>
        <v>123561</v>
      </c>
    </row>
    <row r="5101" spans="1:11" x14ac:dyDescent="0.25">
      <c r="A5101">
        <v>2024</v>
      </c>
      <c r="B5101" t="s">
        <v>2481</v>
      </c>
      <c r="C5101" t="s">
        <v>2482</v>
      </c>
      <c r="D5101" t="s">
        <v>125</v>
      </c>
      <c r="E5101" t="s">
        <v>20</v>
      </c>
      <c r="F5101" t="str">
        <f>"43537-1037"</f>
        <v>43537-1037</v>
      </c>
      <c r="G5101" t="str">
        <f t="shared" si="172"/>
        <v>716165</v>
      </c>
      <c r="H5101" s="2">
        <f>10</f>
        <v>10</v>
      </c>
      <c r="I5101" t="s">
        <v>27</v>
      </c>
      <c r="J5101" t="s">
        <v>34</v>
      </c>
      <c r="K5101" t="str">
        <f>"122016"</f>
        <v>122016</v>
      </c>
    </row>
    <row r="5102" spans="1:11" x14ac:dyDescent="0.25">
      <c r="A5102">
        <v>2024</v>
      </c>
      <c r="B5102" t="s">
        <v>2485</v>
      </c>
      <c r="C5102" t="s">
        <v>2486</v>
      </c>
      <c r="D5102" t="s">
        <v>1074</v>
      </c>
      <c r="E5102" t="s">
        <v>20</v>
      </c>
      <c r="F5102" t="str">
        <f>"43551"</f>
        <v>43551</v>
      </c>
      <c r="G5102" t="str">
        <f>"Je03262024"</f>
        <v>Je03262024</v>
      </c>
      <c r="H5102" s="2">
        <f>35.15</f>
        <v>35.15</v>
      </c>
      <c r="I5102" t="s">
        <v>15</v>
      </c>
      <c r="J5102" t="s">
        <v>21</v>
      </c>
      <c r="K5102" t="str">
        <f>"60107918"</f>
        <v>60107918</v>
      </c>
    </row>
    <row r="5103" spans="1:11" x14ac:dyDescent="0.25">
      <c r="A5103">
        <v>2024</v>
      </c>
      <c r="B5103" t="s">
        <v>2495</v>
      </c>
      <c r="C5103" t="s">
        <v>2496</v>
      </c>
      <c r="D5103" t="s">
        <v>19</v>
      </c>
      <c r="E5103" t="s">
        <v>20</v>
      </c>
      <c r="F5103" t="str">
        <f>"43604-5909"</f>
        <v>43604-5909</v>
      </c>
      <c r="G5103" t="str">
        <f>"716165"</f>
        <v>716165</v>
      </c>
      <c r="H5103" s="2">
        <f>60</f>
        <v>60</v>
      </c>
      <c r="I5103" t="s">
        <v>27</v>
      </c>
      <c r="J5103" t="s">
        <v>34</v>
      </c>
      <c r="K5103" t="str">
        <f>"121570"</f>
        <v>121570</v>
      </c>
    </row>
    <row r="5104" spans="1:11" x14ac:dyDescent="0.25">
      <c r="A5104">
        <v>2024</v>
      </c>
      <c r="B5104" t="s">
        <v>2497</v>
      </c>
      <c r="C5104" t="s">
        <v>2498</v>
      </c>
      <c r="D5104" t="s">
        <v>2499</v>
      </c>
      <c r="E5104" t="s">
        <v>887</v>
      </c>
      <c r="F5104" t="str">
        <f>"37219-8988"</f>
        <v>37219-8988</v>
      </c>
      <c r="G5104" t="str">
        <f>"703452"</f>
        <v>703452</v>
      </c>
      <c r="H5104" s="2">
        <f>2560</f>
        <v>2560</v>
      </c>
      <c r="I5104" t="s">
        <v>148</v>
      </c>
      <c r="J5104" t="s">
        <v>2500</v>
      </c>
      <c r="K5104" t="str">
        <f>"26822"</f>
        <v>26822</v>
      </c>
    </row>
    <row r="5105" spans="1:11" x14ac:dyDescent="0.25">
      <c r="A5105">
        <v>2024</v>
      </c>
      <c r="B5105" t="s">
        <v>2501</v>
      </c>
      <c r="C5105" t="s">
        <v>2502</v>
      </c>
      <c r="D5105" t="s">
        <v>203</v>
      </c>
      <c r="E5105" t="s">
        <v>204</v>
      </c>
      <c r="F5105" t="str">
        <f>"31193-6697"</f>
        <v>31193-6697</v>
      </c>
      <c r="G5105" t="str">
        <f>"Je08072024"</f>
        <v>Je08072024</v>
      </c>
      <c r="H5105" s="2">
        <f>144.24</f>
        <v>144.24</v>
      </c>
      <c r="I5105" t="s">
        <v>15</v>
      </c>
      <c r="J5105" t="s">
        <v>1647</v>
      </c>
      <c r="K5105" t="str">
        <f>"60116469"</f>
        <v>60116469</v>
      </c>
    </row>
    <row r="5106" spans="1:11" x14ac:dyDescent="0.25">
      <c r="A5106">
        <v>2024</v>
      </c>
      <c r="B5106" t="s">
        <v>2501</v>
      </c>
      <c r="C5106" t="s">
        <v>2502</v>
      </c>
      <c r="D5106" t="s">
        <v>203</v>
      </c>
      <c r="E5106" t="s">
        <v>204</v>
      </c>
      <c r="F5106" t="str">
        <f>"31193-6697"</f>
        <v>31193-6697</v>
      </c>
      <c r="G5106" t="str">
        <f>"Je08072024"</f>
        <v>Je08072024</v>
      </c>
      <c r="H5106" s="2">
        <f>8.61</f>
        <v>8.61</v>
      </c>
      <c r="I5106" t="s">
        <v>15</v>
      </c>
      <c r="J5106" t="s">
        <v>1647</v>
      </c>
      <c r="K5106" t="str">
        <f>"60116547"</f>
        <v>60116547</v>
      </c>
    </row>
    <row r="5107" spans="1:11" x14ac:dyDescent="0.25">
      <c r="A5107">
        <v>2024</v>
      </c>
      <c r="B5107" t="s">
        <v>2501</v>
      </c>
      <c r="C5107" t="s">
        <v>2502</v>
      </c>
      <c r="D5107" t="s">
        <v>203</v>
      </c>
      <c r="E5107" t="s">
        <v>204</v>
      </c>
      <c r="F5107" t="str">
        <f>"31193-6697"</f>
        <v>31193-6697</v>
      </c>
      <c r="G5107" t="str">
        <f>"Je10112024"</f>
        <v>Je10112024</v>
      </c>
      <c r="H5107" s="2">
        <f>211.53</f>
        <v>211.53</v>
      </c>
      <c r="I5107" t="s">
        <v>15</v>
      </c>
      <c r="J5107" t="s">
        <v>205</v>
      </c>
      <c r="K5107" t="str">
        <f>"60129316"</f>
        <v>60129316</v>
      </c>
    </row>
    <row r="5108" spans="1:11" x14ac:dyDescent="0.25">
      <c r="A5108">
        <v>2024</v>
      </c>
      <c r="B5108" t="s">
        <v>2501</v>
      </c>
      <c r="C5108" t="s">
        <v>2502</v>
      </c>
      <c r="D5108" t="s">
        <v>203</v>
      </c>
      <c r="E5108" t="s">
        <v>204</v>
      </c>
      <c r="F5108" t="str">
        <f>"31193-6697"</f>
        <v>31193-6697</v>
      </c>
      <c r="G5108" t="str">
        <f>"Je10112024"</f>
        <v>Je10112024</v>
      </c>
      <c r="H5108" s="2">
        <f>27.84</f>
        <v>27.84</v>
      </c>
      <c r="I5108" t="s">
        <v>15</v>
      </c>
      <c r="J5108" t="s">
        <v>205</v>
      </c>
      <c r="K5108" t="str">
        <f>"60130515"</f>
        <v>60130515</v>
      </c>
    </row>
    <row r="5109" spans="1:11" x14ac:dyDescent="0.25">
      <c r="A5109">
        <v>2024</v>
      </c>
      <c r="B5109" t="s">
        <v>2504</v>
      </c>
      <c r="C5109" t="s">
        <v>2505</v>
      </c>
      <c r="D5109" t="s">
        <v>19</v>
      </c>
      <c r="E5109" t="s">
        <v>20</v>
      </c>
      <c r="F5109" t="str">
        <f>"43604-1941"</f>
        <v>43604-1941</v>
      </c>
      <c r="G5109" t="str">
        <f>"Je12122024"</f>
        <v>Je12122024</v>
      </c>
      <c r="H5109" s="2">
        <f>2757.92</f>
        <v>2757.92</v>
      </c>
      <c r="I5109" t="s">
        <v>15</v>
      </c>
      <c r="J5109" t="s">
        <v>1326</v>
      </c>
      <c r="K5109" t="str">
        <f>"60134438"</f>
        <v>60134438</v>
      </c>
    </row>
    <row r="5110" spans="1:11" x14ac:dyDescent="0.25">
      <c r="A5110">
        <v>2024</v>
      </c>
      <c r="B5110" t="s">
        <v>2506</v>
      </c>
      <c r="C5110" t="s">
        <v>2507</v>
      </c>
      <c r="D5110" t="s">
        <v>19</v>
      </c>
      <c r="E5110" t="s">
        <v>20</v>
      </c>
      <c r="F5110" t="str">
        <f>"43606"</f>
        <v>43606</v>
      </c>
      <c r="G5110" t="str">
        <f>"Je12122024"</f>
        <v>Je12122024</v>
      </c>
      <c r="H5110" s="2">
        <f>15.91</f>
        <v>15.91</v>
      </c>
      <c r="I5110" t="s">
        <v>15</v>
      </c>
      <c r="J5110" t="s">
        <v>1326</v>
      </c>
      <c r="K5110" t="str">
        <f>"60136464"</f>
        <v>60136464</v>
      </c>
    </row>
    <row r="5111" spans="1:11" x14ac:dyDescent="0.25">
      <c r="A5111">
        <v>2024</v>
      </c>
      <c r="B5111" t="s">
        <v>2538</v>
      </c>
      <c r="C5111" t="s">
        <v>2539</v>
      </c>
      <c r="D5111" t="s">
        <v>50</v>
      </c>
      <c r="E5111" t="s">
        <v>20</v>
      </c>
      <c r="F5111" t="str">
        <f>"43560"</f>
        <v>43560</v>
      </c>
      <c r="G5111" t="str">
        <f>"716166"</f>
        <v>716166</v>
      </c>
      <c r="H5111" s="2">
        <f>20</f>
        <v>20</v>
      </c>
      <c r="I5111" t="s">
        <v>27</v>
      </c>
      <c r="J5111" t="s">
        <v>262</v>
      </c>
      <c r="K5111" t="str">
        <f>"41121"</f>
        <v>41121</v>
      </c>
    </row>
    <row r="5112" spans="1:11" x14ac:dyDescent="0.25">
      <c r="A5112">
        <v>2024</v>
      </c>
      <c r="B5112" t="s">
        <v>2556</v>
      </c>
      <c r="C5112" t="s">
        <v>2557</v>
      </c>
      <c r="D5112" t="s">
        <v>105</v>
      </c>
      <c r="E5112" t="s">
        <v>20</v>
      </c>
      <c r="F5112" t="str">
        <f>"43528"</f>
        <v>43528</v>
      </c>
      <c r="G5112" t="str">
        <f>"Je10112024"</f>
        <v>Je10112024</v>
      </c>
      <c r="H5112" s="2">
        <f>285.8</f>
        <v>285.8</v>
      </c>
      <c r="I5112" t="s">
        <v>15</v>
      </c>
      <c r="J5112" t="s">
        <v>205</v>
      </c>
      <c r="K5112" t="str">
        <f>"60128671"</f>
        <v>60128671</v>
      </c>
    </row>
    <row r="5113" spans="1:11" x14ac:dyDescent="0.25">
      <c r="A5113">
        <v>2024</v>
      </c>
      <c r="B5113" t="s">
        <v>2562</v>
      </c>
      <c r="C5113" t="s">
        <v>2563</v>
      </c>
      <c r="D5113" t="s">
        <v>19</v>
      </c>
      <c r="E5113" t="s">
        <v>20</v>
      </c>
      <c r="F5113" t="str">
        <f>"43605"</f>
        <v>43605</v>
      </c>
      <c r="G5113" t="str">
        <f>"719211"</f>
        <v>719211</v>
      </c>
      <c r="H5113" s="2">
        <f>135</f>
        <v>135</v>
      </c>
      <c r="I5113" t="s">
        <v>27</v>
      </c>
      <c r="J5113" t="s">
        <v>200</v>
      </c>
      <c r="K5113" t="str">
        <f>"N/A"</f>
        <v>N/A</v>
      </c>
    </row>
    <row r="5114" spans="1:11" x14ac:dyDescent="0.25">
      <c r="A5114">
        <v>2024</v>
      </c>
      <c r="B5114" t="s">
        <v>2566</v>
      </c>
      <c r="C5114" t="s">
        <v>2567</v>
      </c>
      <c r="D5114" t="s">
        <v>125</v>
      </c>
      <c r="E5114" t="s">
        <v>20</v>
      </c>
      <c r="F5114" t="str">
        <f>"43537-9414"</f>
        <v>43537-9414</v>
      </c>
      <c r="G5114" t="str">
        <f>"716165"</f>
        <v>716165</v>
      </c>
      <c r="H5114" s="2">
        <f>40</f>
        <v>40</v>
      </c>
      <c r="I5114" t="s">
        <v>27</v>
      </c>
      <c r="J5114" t="s">
        <v>34</v>
      </c>
      <c r="K5114" t="str">
        <f>"123871"</f>
        <v>123871</v>
      </c>
    </row>
    <row r="5115" spans="1:11" x14ac:dyDescent="0.25">
      <c r="A5115">
        <v>2024</v>
      </c>
      <c r="B5115" t="s">
        <v>2578</v>
      </c>
      <c r="C5115" t="s">
        <v>2581</v>
      </c>
      <c r="D5115" t="s">
        <v>2580</v>
      </c>
      <c r="E5115" t="s">
        <v>14</v>
      </c>
      <c r="F5115" t="str">
        <f>"48326"</f>
        <v>48326</v>
      </c>
      <c r="G5115" t="str">
        <f>"716619"</f>
        <v>716619</v>
      </c>
      <c r="H5115" s="2">
        <f>9</f>
        <v>9</v>
      </c>
      <c r="I5115" t="s">
        <v>27</v>
      </c>
      <c r="J5115" t="s">
        <v>34</v>
      </c>
      <c r="K5115" t="str">
        <f>"44010031"</f>
        <v>44010031</v>
      </c>
    </row>
    <row r="5116" spans="1:11" x14ac:dyDescent="0.25">
      <c r="A5116">
        <v>2024</v>
      </c>
      <c r="B5116" t="s">
        <v>2586</v>
      </c>
      <c r="C5116" t="s">
        <v>2587</v>
      </c>
      <c r="D5116" t="s">
        <v>19</v>
      </c>
      <c r="E5116" t="s">
        <v>20</v>
      </c>
      <c r="F5116" t="str">
        <f>"43612-4518"</f>
        <v>43612-4518</v>
      </c>
      <c r="G5116" t="str">
        <f>"716165"</f>
        <v>716165</v>
      </c>
      <c r="H5116" s="2">
        <f>20</f>
        <v>20</v>
      </c>
      <c r="I5116" t="s">
        <v>27</v>
      </c>
      <c r="J5116" t="s">
        <v>34</v>
      </c>
      <c r="K5116" t="str">
        <f>"122526"</f>
        <v>122526</v>
      </c>
    </row>
    <row r="5117" spans="1:11" x14ac:dyDescent="0.25">
      <c r="A5117">
        <v>2024</v>
      </c>
      <c r="B5117" t="s">
        <v>2591</v>
      </c>
      <c r="C5117" t="s">
        <v>2592</v>
      </c>
      <c r="D5117" t="s">
        <v>125</v>
      </c>
      <c r="E5117" t="s">
        <v>20</v>
      </c>
      <c r="F5117" t="str">
        <f>"43537-2155"</f>
        <v>43537-2155</v>
      </c>
      <c r="G5117" t="str">
        <f>"716165"</f>
        <v>716165</v>
      </c>
      <c r="H5117" s="2">
        <f>30</f>
        <v>30</v>
      </c>
      <c r="I5117" t="s">
        <v>27</v>
      </c>
      <c r="J5117" t="s">
        <v>34</v>
      </c>
      <c r="K5117" t="str">
        <f>"123973"</f>
        <v>123973</v>
      </c>
    </row>
    <row r="5118" spans="1:11" x14ac:dyDescent="0.25">
      <c r="A5118">
        <v>2024</v>
      </c>
      <c r="B5118" t="s">
        <v>2593</v>
      </c>
      <c r="C5118" t="s">
        <v>2594</v>
      </c>
      <c r="D5118" t="s">
        <v>125</v>
      </c>
      <c r="E5118" t="s">
        <v>20</v>
      </c>
      <c r="F5118" t="str">
        <f>"43537"</f>
        <v>43537</v>
      </c>
      <c r="G5118" t="str">
        <f>"Je10112024"</f>
        <v>Je10112024</v>
      </c>
      <c r="H5118" s="2">
        <f>20</f>
        <v>20</v>
      </c>
      <c r="I5118" t="s">
        <v>15</v>
      </c>
      <c r="J5118" t="s">
        <v>205</v>
      </c>
      <c r="K5118" t="str">
        <f>"60127490"</f>
        <v>60127490</v>
      </c>
    </row>
    <row r="5119" spans="1:11" x14ac:dyDescent="0.25">
      <c r="A5119">
        <v>2024</v>
      </c>
      <c r="B5119" t="s">
        <v>2607</v>
      </c>
      <c r="C5119" t="s">
        <v>2608</v>
      </c>
      <c r="D5119" t="s">
        <v>19</v>
      </c>
      <c r="E5119" t="s">
        <v>20</v>
      </c>
      <c r="F5119" t="str">
        <f>"43610"</f>
        <v>43610</v>
      </c>
      <c r="G5119" t="str">
        <f>"719211"</f>
        <v>719211</v>
      </c>
      <c r="H5119" s="2">
        <f>135</f>
        <v>135</v>
      </c>
      <c r="I5119" t="s">
        <v>27</v>
      </c>
      <c r="J5119" t="s">
        <v>200</v>
      </c>
      <c r="K5119" t="str">
        <f>"N/A"</f>
        <v>N/A</v>
      </c>
    </row>
    <row r="5120" spans="1:11" x14ac:dyDescent="0.25">
      <c r="A5120">
        <v>2024</v>
      </c>
      <c r="B5120" t="s">
        <v>2607</v>
      </c>
      <c r="C5120" t="s">
        <v>2608</v>
      </c>
      <c r="D5120" t="s">
        <v>19</v>
      </c>
      <c r="E5120" t="s">
        <v>20</v>
      </c>
      <c r="F5120" t="str">
        <f>"43610"</f>
        <v>43610</v>
      </c>
      <c r="G5120" t="str">
        <f>"719211"</f>
        <v>719211</v>
      </c>
      <c r="H5120" s="2">
        <f>135</f>
        <v>135</v>
      </c>
      <c r="I5120" t="s">
        <v>27</v>
      </c>
      <c r="J5120" t="s">
        <v>200</v>
      </c>
      <c r="K5120" t="str">
        <f>"N/A"</f>
        <v>N/A</v>
      </c>
    </row>
    <row r="5121" spans="1:11" x14ac:dyDescent="0.25">
      <c r="A5121">
        <v>2024</v>
      </c>
      <c r="B5121" t="s">
        <v>2643</v>
      </c>
      <c r="C5121" t="s">
        <v>2644</v>
      </c>
      <c r="D5121" t="s">
        <v>19</v>
      </c>
      <c r="E5121" t="s">
        <v>20</v>
      </c>
      <c r="F5121" t="str">
        <f>"43609"</f>
        <v>43609</v>
      </c>
      <c r="G5121" t="str">
        <f>"Je12122024"</f>
        <v>Je12122024</v>
      </c>
      <c r="H5121" s="2">
        <f>20</f>
        <v>20</v>
      </c>
      <c r="I5121" t="s">
        <v>15</v>
      </c>
      <c r="J5121" t="s">
        <v>1326</v>
      </c>
      <c r="K5121" t="str">
        <f>"60136914"</f>
        <v>60136914</v>
      </c>
    </row>
    <row r="5122" spans="1:11" x14ac:dyDescent="0.25">
      <c r="A5122">
        <v>2024</v>
      </c>
      <c r="B5122" t="s">
        <v>2668</v>
      </c>
      <c r="C5122" t="s">
        <v>2669</v>
      </c>
      <c r="D5122" t="s">
        <v>19</v>
      </c>
      <c r="E5122" t="s">
        <v>20</v>
      </c>
      <c r="F5122" t="str">
        <f>"43613-1738"</f>
        <v>43613-1738</v>
      </c>
      <c r="G5122" t="str">
        <f>"716165"</f>
        <v>716165</v>
      </c>
      <c r="H5122" s="2">
        <f>20</f>
        <v>20</v>
      </c>
      <c r="I5122" t="s">
        <v>27</v>
      </c>
      <c r="J5122" t="s">
        <v>34</v>
      </c>
      <c r="K5122" t="str">
        <f>"122903"</f>
        <v>122903</v>
      </c>
    </row>
    <row r="5123" spans="1:11" x14ac:dyDescent="0.25">
      <c r="A5123">
        <v>2024</v>
      </c>
      <c r="B5123" t="s">
        <v>2680</v>
      </c>
      <c r="C5123" t="s">
        <v>2681</v>
      </c>
      <c r="D5123" t="s">
        <v>19</v>
      </c>
      <c r="E5123" t="s">
        <v>20</v>
      </c>
      <c r="F5123" t="str">
        <f>"43604"</f>
        <v>43604</v>
      </c>
      <c r="G5123" t="str">
        <f>"716166"</f>
        <v>716166</v>
      </c>
      <c r="H5123" s="2">
        <f>20</f>
        <v>20</v>
      </c>
      <c r="I5123" t="s">
        <v>27</v>
      </c>
      <c r="J5123" t="s">
        <v>262</v>
      </c>
      <c r="K5123" t="str">
        <f>"41110"</f>
        <v>41110</v>
      </c>
    </row>
    <row r="5124" spans="1:11" x14ac:dyDescent="0.25">
      <c r="A5124">
        <v>2024</v>
      </c>
      <c r="B5124" t="s">
        <v>2682</v>
      </c>
      <c r="C5124" t="s">
        <v>2683</v>
      </c>
      <c r="D5124" t="s">
        <v>19</v>
      </c>
      <c r="E5124" t="s">
        <v>20</v>
      </c>
      <c r="F5124" t="str">
        <f>"43606-2434"</f>
        <v>43606-2434</v>
      </c>
      <c r="G5124" t="str">
        <f t="shared" ref="G5124:G5130" si="173">"716165"</f>
        <v>716165</v>
      </c>
      <c r="H5124" s="2">
        <f>10</f>
        <v>10</v>
      </c>
      <c r="I5124" t="s">
        <v>27</v>
      </c>
      <c r="J5124" t="s">
        <v>34</v>
      </c>
      <c r="K5124" t="str">
        <f>"121111"</f>
        <v>121111</v>
      </c>
    </row>
    <row r="5125" spans="1:11" x14ac:dyDescent="0.25">
      <c r="A5125">
        <v>2024</v>
      </c>
      <c r="B5125" t="s">
        <v>2725</v>
      </c>
      <c r="C5125" t="s">
        <v>2726</v>
      </c>
      <c r="D5125" t="s">
        <v>19</v>
      </c>
      <c r="E5125" t="s">
        <v>20</v>
      </c>
      <c r="F5125" t="str">
        <f>"43606-3805"</f>
        <v>43606-3805</v>
      </c>
      <c r="G5125" t="str">
        <f t="shared" si="173"/>
        <v>716165</v>
      </c>
      <c r="H5125" s="2">
        <f>10</f>
        <v>10</v>
      </c>
      <c r="I5125" t="s">
        <v>27</v>
      </c>
      <c r="J5125" t="s">
        <v>34</v>
      </c>
      <c r="K5125" t="str">
        <f>"122626"</f>
        <v>122626</v>
      </c>
    </row>
    <row r="5126" spans="1:11" x14ac:dyDescent="0.25">
      <c r="A5126">
        <v>2024</v>
      </c>
      <c r="B5126" t="s">
        <v>2727</v>
      </c>
      <c r="C5126" t="s">
        <v>2728</v>
      </c>
      <c r="D5126" t="s">
        <v>19</v>
      </c>
      <c r="E5126" t="s">
        <v>20</v>
      </c>
      <c r="F5126" t="str">
        <f>"43611-2143"</f>
        <v>43611-2143</v>
      </c>
      <c r="G5126" t="str">
        <f t="shared" si="173"/>
        <v>716165</v>
      </c>
      <c r="H5126" s="2">
        <f>10</f>
        <v>10</v>
      </c>
      <c r="I5126" t="s">
        <v>27</v>
      </c>
      <c r="J5126" t="s">
        <v>34</v>
      </c>
      <c r="K5126" t="str">
        <f>"123944"</f>
        <v>123944</v>
      </c>
    </row>
    <row r="5127" spans="1:11" x14ac:dyDescent="0.25">
      <c r="A5127">
        <v>2024</v>
      </c>
      <c r="B5127" t="s">
        <v>2737</v>
      </c>
      <c r="C5127" t="s">
        <v>2738</v>
      </c>
      <c r="D5127" t="s">
        <v>19</v>
      </c>
      <c r="E5127" t="s">
        <v>20</v>
      </c>
      <c r="F5127" t="str">
        <f>"43612-3018"</f>
        <v>43612-3018</v>
      </c>
      <c r="G5127" t="str">
        <f t="shared" si="173"/>
        <v>716165</v>
      </c>
      <c r="H5127" s="2">
        <f>10</f>
        <v>10</v>
      </c>
      <c r="I5127" t="s">
        <v>27</v>
      </c>
      <c r="J5127" t="s">
        <v>34</v>
      </c>
      <c r="K5127" t="str">
        <f>"122088"</f>
        <v>122088</v>
      </c>
    </row>
    <row r="5128" spans="1:11" x14ac:dyDescent="0.25">
      <c r="A5128">
        <v>2024</v>
      </c>
      <c r="B5128" t="s">
        <v>2739</v>
      </c>
      <c r="C5128" t="s">
        <v>2740</v>
      </c>
      <c r="D5128" t="s">
        <v>19</v>
      </c>
      <c r="E5128" t="s">
        <v>20</v>
      </c>
      <c r="F5128" t="str">
        <f>"43613-4535"</f>
        <v>43613-4535</v>
      </c>
      <c r="G5128" t="str">
        <f t="shared" si="173"/>
        <v>716165</v>
      </c>
      <c r="H5128" s="2">
        <f>10</f>
        <v>10</v>
      </c>
      <c r="I5128" t="s">
        <v>27</v>
      </c>
      <c r="J5128" t="s">
        <v>34</v>
      </c>
      <c r="K5128" t="str">
        <f>"121219"</f>
        <v>121219</v>
      </c>
    </row>
    <row r="5129" spans="1:11" x14ac:dyDescent="0.25">
      <c r="A5129">
        <v>2024</v>
      </c>
      <c r="B5129" t="s">
        <v>2757</v>
      </c>
      <c r="C5129" t="s">
        <v>2758</v>
      </c>
      <c r="D5129" t="s">
        <v>58</v>
      </c>
      <c r="E5129" t="s">
        <v>20</v>
      </c>
      <c r="F5129" t="str">
        <f>"43616-4644"</f>
        <v>43616-4644</v>
      </c>
      <c r="G5129" t="str">
        <f t="shared" si="173"/>
        <v>716165</v>
      </c>
      <c r="H5129" s="2">
        <f>10</f>
        <v>10</v>
      </c>
      <c r="I5129" t="s">
        <v>27</v>
      </c>
      <c r="J5129" t="s">
        <v>34</v>
      </c>
      <c r="K5129" t="str">
        <f>"121279"</f>
        <v>121279</v>
      </c>
    </row>
    <row r="5130" spans="1:11" x14ac:dyDescent="0.25">
      <c r="A5130">
        <v>2024</v>
      </c>
      <c r="B5130" t="s">
        <v>2759</v>
      </c>
      <c r="C5130" t="s">
        <v>2760</v>
      </c>
      <c r="D5130" t="s">
        <v>19</v>
      </c>
      <c r="E5130" t="s">
        <v>20</v>
      </c>
      <c r="F5130" t="str">
        <f>"43614-2245"</f>
        <v>43614-2245</v>
      </c>
      <c r="G5130" t="str">
        <f t="shared" si="173"/>
        <v>716165</v>
      </c>
      <c r="H5130" s="2">
        <f>10</f>
        <v>10</v>
      </c>
      <c r="I5130" t="s">
        <v>27</v>
      </c>
      <c r="J5130" t="s">
        <v>34</v>
      </c>
      <c r="K5130" t="str">
        <f>"124710"</f>
        <v>124710</v>
      </c>
    </row>
    <row r="5131" spans="1:11" x14ac:dyDescent="0.25">
      <c r="A5131">
        <v>2024</v>
      </c>
      <c r="B5131" t="s">
        <v>2765</v>
      </c>
      <c r="C5131" t="s">
        <v>2766</v>
      </c>
      <c r="D5131" t="s">
        <v>19</v>
      </c>
      <c r="E5131" t="s">
        <v>20</v>
      </c>
      <c r="F5131" t="str">
        <f>"43605"</f>
        <v>43605</v>
      </c>
      <c r="G5131" t="str">
        <f>"719211"</f>
        <v>719211</v>
      </c>
      <c r="H5131" s="2">
        <f>225</f>
        <v>225</v>
      </c>
      <c r="I5131" t="s">
        <v>27</v>
      </c>
      <c r="J5131" t="s">
        <v>200</v>
      </c>
      <c r="K5131" t="str">
        <f>"N/A"</f>
        <v>N/A</v>
      </c>
    </row>
    <row r="5132" spans="1:11" x14ac:dyDescent="0.25">
      <c r="A5132">
        <v>2024</v>
      </c>
      <c r="B5132" t="s">
        <v>2775</v>
      </c>
      <c r="C5132" t="s">
        <v>2776</v>
      </c>
      <c r="D5132" t="s">
        <v>58</v>
      </c>
      <c r="E5132" t="s">
        <v>20</v>
      </c>
      <c r="F5132" t="str">
        <f>"43616-3403"</f>
        <v>43616-3403</v>
      </c>
      <c r="G5132" t="str">
        <f>"716165"</f>
        <v>716165</v>
      </c>
      <c r="H5132" s="2">
        <f>10</f>
        <v>10</v>
      </c>
      <c r="I5132" t="s">
        <v>27</v>
      </c>
      <c r="J5132" t="s">
        <v>34</v>
      </c>
      <c r="K5132" t="str">
        <f>"121951"</f>
        <v>121951</v>
      </c>
    </row>
    <row r="5133" spans="1:11" x14ac:dyDescent="0.25">
      <c r="A5133">
        <v>2024</v>
      </c>
      <c r="B5133" t="s">
        <v>2777</v>
      </c>
      <c r="C5133" t="s">
        <v>2778</v>
      </c>
      <c r="D5133" t="s">
        <v>19</v>
      </c>
      <c r="E5133" t="s">
        <v>20</v>
      </c>
      <c r="F5133" t="str">
        <f>"43611-1005"</f>
        <v>43611-1005</v>
      </c>
      <c r="G5133" t="str">
        <f>"716165"</f>
        <v>716165</v>
      </c>
      <c r="H5133" s="2">
        <f>20</f>
        <v>20</v>
      </c>
      <c r="I5133" t="s">
        <v>27</v>
      </c>
      <c r="J5133" t="s">
        <v>34</v>
      </c>
      <c r="K5133" t="str">
        <f>"124516"</f>
        <v>124516</v>
      </c>
    </row>
    <row r="5134" spans="1:11" x14ac:dyDescent="0.25">
      <c r="A5134">
        <v>2024</v>
      </c>
      <c r="B5134" t="s">
        <v>2784</v>
      </c>
      <c r="C5134" t="s">
        <v>2785</v>
      </c>
      <c r="D5134" t="s">
        <v>45</v>
      </c>
      <c r="E5134" t="s">
        <v>20</v>
      </c>
      <c r="F5134" t="str">
        <f>"43542-9498"</f>
        <v>43542-9498</v>
      </c>
      <c r="G5134" t="str">
        <f>"716165"</f>
        <v>716165</v>
      </c>
      <c r="H5134" s="2">
        <f>10</f>
        <v>10</v>
      </c>
      <c r="I5134" t="s">
        <v>27</v>
      </c>
      <c r="J5134" t="s">
        <v>34</v>
      </c>
      <c r="K5134" t="str">
        <f>"122309"</f>
        <v>122309</v>
      </c>
    </row>
    <row r="5135" spans="1:11" x14ac:dyDescent="0.25">
      <c r="A5135">
        <v>2024</v>
      </c>
      <c r="B5135" t="s">
        <v>2792</v>
      </c>
      <c r="C5135" t="s">
        <v>2793</v>
      </c>
      <c r="D5135" t="s">
        <v>19</v>
      </c>
      <c r="E5135" t="s">
        <v>20</v>
      </c>
      <c r="F5135" t="str">
        <f>"43603"</f>
        <v>43603</v>
      </c>
      <c r="G5135" t="str">
        <f>"716166"</f>
        <v>716166</v>
      </c>
      <c r="H5135" s="2">
        <f>20</f>
        <v>20</v>
      </c>
      <c r="I5135" t="s">
        <v>27</v>
      </c>
      <c r="J5135" t="s">
        <v>262</v>
      </c>
      <c r="K5135" t="str">
        <f>"42802"</f>
        <v>42802</v>
      </c>
    </row>
    <row r="5136" spans="1:11" x14ac:dyDescent="0.25">
      <c r="A5136">
        <v>2024</v>
      </c>
      <c r="B5136" t="s">
        <v>2822</v>
      </c>
      <c r="C5136" t="s">
        <v>2823</v>
      </c>
      <c r="D5136" t="s">
        <v>19</v>
      </c>
      <c r="E5136" t="s">
        <v>20</v>
      </c>
      <c r="F5136" t="str">
        <f>"43614-2812"</f>
        <v>43614-2812</v>
      </c>
      <c r="G5136" t="str">
        <f t="shared" ref="G5136:G5144" si="174">"716165"</f>
        <v>716165</v>
      </c>
      <c r="H5136" s="2">
        <f>10</f>
        <v>10</v>
      </c>
      <c r="I5136" t="s">
        <v>27</v>
      </c>
      <c r="J5136" t="s">
        <v>34</v>
      </c>
      <c r="K5136" t="str">
        <f>"124944"</f>
        <v>124944</v>
      </c>
    </row>
    <row r="5137" spans="1:11" x14ac:dyDescent="0.25">
      <c r="A5137">
        <v>2024</v>
      </c>
      <c r="B5137" t="s">
        <v>2827</v>
      </c>
      <c r="C5137" t="s">
        <v>2828</v>
      </c>
      <c r="D5137" t="s">
        <v>64</v>
      </c>
      <c r="E5137" t="s">
        <v>20</v>
      </c>
      <c r="F5137" t="str">
        <f>"43566-9766"</f>
        <v>43566-9766</v>
      </c>
      <c r="G5137" t="str">
        <f t="shared" si="174"/>
        <v>716165</v>
      </c>
      <c r="H5137" s="2">
        <f>10</f>
        <v>10</v>
      </c>
      <c r="I5137" t="s">
        <v>27</v>
      </c>
      <c r="J5137" t="s">
        <v>34</v>
      </c>
      <c r="K5137" t="str">
        <f>"124751"</f>
        <v>124751</v>
      </c>
    </row>
    <row r="5138" spans="1:11" x14ac:dyDescent="0.25">
      <c r="A5138">
        <v>2024</v>
      </c>
      <c r="B5138" t="s">
        <v>2831</v>
      </c>
      <c r="C5138" t="s">
        <v>2832</v>
      </c>
      <c r="D5138" t="s">
        <v>19</v>
      </c>
      <c r="E5138" t="s">
        <v>20</v>
      </c>
      <c r="F5138" t="str">
        <f>"43611-2251"</f>
        <v>43611-2251</v>
      </c>
      <c r="G5138" t="str">
        <f t="shared" si="174"/>
        <v>716165</v>
      </c>
      <c r="H5138" s="2">
        <f>60</f>
        <v>60</v>
      </c>
      <c r="I5138" t="s">
        <v>27</v>
      </c>
      <c r="J5138" t="s">
        <v>34</v>
      </c>
      <c r="K5138" t="str">
        <f>"122325"</f>
        <v>122325</v>
      </c>
    </row>
    <row r="5139" spans="1:11" x14ac:dyDescent="0.25">
      <c r="A5139">
        <v>2024</v>
      </c>
      <c r="B5139" t="s">
        <v>2833</v>
      </c>
      <c r="C5139" t="s">
        <v>2834</v>
      </c>
      <c r="D5139" t="s">
        <v>19</v>
      </c>
      <c r="E5139" t="s">
        <v>20</v>
      </c>
      <c r="F5139" t="str">
        <f>"43613-4020"</f>
        <v>43613-4020</v>
      </c>
      <c r="G5139" t="str">
        <f t="shared" si="174"/>
        <v>716165</v>
      </c>
      <c r="H5139" s="2">
        <f>20</f>
        <v>20</v>
      </c>
      <c r="I5139" t="s">
        <v>27</v>
      </c>
      <c r="J5139" t="s">
        <v>34</v>
      </c>
      <c r="K5139" t="str">
        <f>"123668"</f>
        <v>123668</v>
      </c>
    </row>
    <row r="5140" spans="1:11" x14ac:dyDescent="0.25">
      <c r="A5140">
        <v>2024</v>
      </c>
      <c r="B5140" t="s">
        <v>2843</v>
      </c>
      <c r="C5140" t="s">
        <v>2844</v>
      </c>
      <c r="D5140" t="s">
        <v>105</v>
      </c>
      <c r="E5140" t="s">
        <v>20</v>
      </c>
      <c r="F5140" t="str">
        <f>"43528-7004"</f>
        <v>43528-7004</v>
      </c>
      <c r="G5140" t="str">
        <f t="shared" si="174"/>
        <v>716165</v>
      </c>
      <c r="H5140" s="2">
        <f>10</f>
        <v>10</v>
      </c>
      <c r="I5140" t="s">
        <v>27</v>
      </c>
      <c r="J5140" t="s">
        <v>34</v>
      </c>
      <c r="K5140" t="str">
        <f>"125079"</f>
        <v>125079</v>
      </c>
    </row>
    <row r="5141" spans="1:11" x14ac:dyDescent="0.25">
      <c r="A5141">
        <v>2024</v>
      </c>
      <c r="B5141" t="s">
        <v>2849</v>
      </c>
      <c r="C5141" t="s">
        <v>2850</v>
      </c>
      <c r="D5141" t="s">
        <v>50</v>
      </c>
      <c r="E5141" t="s">
        <v>20</v>
      </c>
      <c r="F5141" t="str">
        <f>"43560-3019"</f>
        <v>43560-3019</v>
      </c>
      <c r="G5141" t="str">
        <f t="shared" si="174"/>
        <v>716165</v>
      </c>
      <c r="H5141" s="2">
        <f>10</f>
        <v>10</v>
      </c>
      <c r="I5141" t="s">
        <v>27</v>
      </c>
      <c r="J5141" t="s">
        <v>34</v>
      </c>
      <c r="K5141" t="str">
        <f>"121311"</f>
        <v>121311</v>
      </c>
    </row>
    <row r="5142" spans="1:11" x14ac:dyDescent="0.25">
      <c r="A5142">
        <v>2024</v>
      </c>
      <c r="B5142" t="s">
        <v>2851</v>
      </c>
      <c r="C5142" t="s">
        <v>2852</v>
      </c>
      <c r="D5142" t="s">
        <v>19</v>
      </c>
      <c r="E5142" t="s">
        <v>20</v>
      </c>
      <c r="F5142" t="str">
        <f>"43615-7064"</f>
        <v>43615-7064</v>
      </c>
      <c r="G5142" t="str">
        <f t="shared" si="174"/>
        <v>716165</v>
      </c>
      <c r="H5142" s="2">
        <f>10</f>
        <v>10</v>
      </c>
      <c r="I5142" t="s">
        <v>27</v>
      </c>
      <c r="J5142" t="s">
        <v>34</v>
      </c>
      <c r="K5142" t="str">
        <f>"121952"</f>
        <v>121952</v>
      </c>
    </row>
    <row r="5143" spans="1:11" x14ac:dyDescent="0.25">
      <c r="A5143">
        <v>2024</v>
      </c>
      <c r="B5143" t="s">
        <v>2865</v>
      </c>
      <c r="C5143" t="s">
        <v>2866</v>
      </c>
      <c r="D5143" t="s">
        <v>19</v>
      </c>
      <c r="E5143" t="s">
        <v>20</v>
      </c>
      <c r="F5143" t="str">
        <f>"43615-6741"</f>
        <v>43615-6741</v>
      </c>
      <c r="G5143" t="str">
        <f t="shared" si="174"/>
        <v>716165</v>
      </c>
      <c r="H5143" s="2">
        <f>10</f>
        <v>10</v>
      </c>
      <c r="I5143" t="s">
        <v>27</v>
      </c>
      <c r="J5143" t="s">
        <v>34</v>
      </c>
      <c r="K5143" t="str">
        <f>"125084"</f>
        <v>125084</v>
      </c>
    </row>
    <row r="5144" spans="1:11" x14ac:dyDescent="0.25">
      <c r="A5144">
        <v>2024</v>
      </c>
      <c r="B5144" t="s">
        <v>2865</v>
      </c>
      <c r="C5144" t="s">
        <v>2866</v>
      </c>
      <c r="D5144" t="s">
        <v>19</v>
      </c>
      <c r="E5144" t="s">
        <v>20</v>
      </c>
      <c r="F5144" t="str">
        <f>"43615-6741"</f>
        <v>43615-6741</v>
      </c>
      <c r="G5144" t="str">
        <f t="shared" si="174"/>
        <v>716165</v>
      </c>
      <c r="H5144" s="2">
        <f>10</f>
        <v>10</v>
      </c>
      <c r="I5144" t="s">
        <v>27</v>
      </c>
      <c r="J5144" t="s">
        <v>34</v>
      </c>
      <c r="K5144" t="str">
        <f>"121112"</f>
        <v>121112</v>
      </c>
    </row>
    <row r="5145" spans="1:11" x14ac:dyDescent="0.25">
      <c r="A5145">
        <v>2024</v>
      </c>
      <c r="B5145" t="s">
        <v>2877</v>
      </c>
      <c r="C5145" t="s">
        <v>2878</v>
      </c>
      <c r="D5145" t="s">
        <v>19</v>
      </c>
      <c r="E5145" t="s">
        <v>20</v>
      </c>
      <c r="F5145" t="str">
        <f>"43614"</f>
        <v>43614</v>
      </c>
      <c r="G5145" t="str">
        <f>"712783"</f>
        <v>712783</v>
      </c>
      <c r="H5145" s="2">
        <f>2</f>
        <v>2</v>
      </c>
      <c r="I5145" t="s">
        <v>519</v>
      </c>
      <c r="J5145" t="s">
        <v>519</v>
      </c>
      <c r="K5145" t="str">
        <f>"11599"</f>
        <v>11599</v>
      </c>
    </row>
    <row r="5146" spans="1:11" x14ac:dyDescent="0.25">
      <c r="A5146">
        <v>2024</v>
      </c>
      <c r="B5146" t="s">
        <v>2889</v>
      </c>
      <c r="C5146" t="s">
        <v>2890</v>
      </c>
      <c r="D5146" t="s">
        <v>105</v>
      </c>
      <c r="E5146" t="s">
        <v>20</v>
      </c>
      <c r="F5146" t="str">
        <f>"43528"</f>
        <v>43528</v>
      </c>
      <c r="G5146" t="str">
        <f>"716165"</f>
        <v>716165</v>
      </c>
      <c r="H5146" s="2">
        <f>10</f>
        <v>10</v>
      </c>
      <c r="I5146" t="s">
        <v>27</v>
      </c>
      <c r="J5146" t="s">
        <v>34</v>
      </c>
      <c r="K5146" t="str">
        <f>"122778"</f>
        <v>122778</v>
      </c>
    </row>
    <row r="5147" spans="1:11" x14ac:dyDescent="0.25">
      <c r="A5147">
        <v>2024</v>
      </c>
      <c r="B5147" t="s">
        <v>2893</v>
      </c>
      <c r="C5147" t="s">
        <v>2894</v>
      </c>
      <c r="D5147" t="s">
        <v>19</v>
      </c>
      <c r="E5147" t="s">
        <v>20</v>
      </c>
      <c r="F5147" t="str">
        <f>"43635"</f>
        <v>43635</v>
      </c>
      <c r="G5147" t="str">
        <f>"718470"</f>
        <v>718470</v>
      </c>
      <c r="H5147" s="2">
        <f>300</f>
        <v>300</v>
      </c>
      <c r="I5147" t="s">
        <v>27</v>
      </c>
      <c r="J5147" t="s">
        <v>34</v>
      </c>
      <c r="K5147" t="str">
        <f>"334387"</f>
        <v>334387</v>
      </c>
    </row>
    <row r="5148" spans="1:11" x14ac:dyDescent="0.25">
      <c r="A5148">
        <v>2024</v>
      </c>
      <c r="B5148" t="s">
        <v>2895</v>
      </c>
      <c r="C5148" t="s">
        <v>2896</v>
      </c>
      <c r="D5148" t="s">
        <v>19</v>
      </c>
      <c r="E5148" t="s">
        <v>20</v>
      </c>
      <c r="F5148" t="str">
        <f>"43605-1117"</f>
        <v>43605-1117</v>
      </c>
      <c r="G5148" t="str">
        <f>"716165"</f>
        <v>716165</v>
      </c>
      <c r="H5148" s="2">
        <f>20</f>
        <v>20</v>
      </c>
      <c r="I5148" t="s">
        <v>27</v>
      </c>
      <c r="J5148" t="s">
        <v>34</v>
      </c>
      <c r="K5148" t="str">
        <f>"122410"</f>
        <v>122410</v>
      </c>
    </row>
    <row r="5149" spans="1:11" x14ac:dyDescent="0.25">
      <c r="A5149">
        <v>2024</v>
      </c>
      <c r="B5149" t="s">
        <v>2914</v>
      </c>
      <c r="C5149" t="s">
        <v>2915</v>
      </c>
      <c r="D5149" t="s">
        <v>164</v>
      </c>
      <c r="E5149" t="s">
        <v>20</v>
      </c>
      <c r="F5149" t="str">
        <f>"43558-8750"</f>
        <v>43558-8750</v>
      </c>
      <c r="G5149" t="str">
        <f>"716165"</f>
        <v>716165</v>
      </c>
      <c r="H5149" s="2">
        <f>80</f>
        <v>80</v>
      </c>
      <c r="I5149" t="s">
        <v>27</v>
      </c>
      <c r="J5149" t="s">
        <v>34</v>
      </c>
      <c r="K5149" t="str">
        <f>"124046"</f>
        <v>124046</v>
      </c>
    </row>
    <row r="5150" spans="1:11" x14ac:dyDescent="0.25">
      <c r="A5150">
        <v>2024</v>
      </c>
      <c r="B5150" t="s">
        <v>2922</v>
      </c>
      <c r="C5150" t="s">
        <v>368</v>
      </c>
      <c r="D5150" t="s">
        <v>19</v>
      </c>
      <c r="E5150" t="s">
        <v>20</v>
      </c>
      <c r="F5150" t="str">
        <f>"43612-4233"</f>
        <v>43612-4233</v>
      </c>
      <c r="G5150" t="str">
        <f>"716165"</f>
        <v>716165</v>
      </c>
      <c r="H5150" s="2">
        <f>10</f>
        <v>10</v>
      </c>
      <c r="I5150" t="s">
        <v>27</v>
      </c>
      <c r="J5150" t="s">
        <v>34</v>
      </c>
      <c r="K5150" t="str">
        <f>"123563"</f>
        <v>123563</v>
      </c>
    </row>
    <row r="5151" spans="1:11" x14ac:dyDescent="0.25">
      <c r="A5151">
        <v>2024</v>
      </c>
      <c r="B5151" t="s">
        <v>2933</v>
      </c>
      <c r="C5151" t="s">
        <v>2934</v>
      </c>
      <c r="D5151" t="s">
        <v>19</v>
      </c>
      <c r="E5151" t="s">
        <v>20</v>
      </c>
      <c r="F5151" t="str">
        <f>"43608-2248"</f>
        <v>43608-2248</v>
      </c>
      <c r="G5151" t="str">
        <f>"716165"</f>
        <v>716165</v>
      </c>
      <c r="H5151" s="2">
        <f>20</f>
        <v>20</v>
      </c>
      <c r="I5151" t="s">
        <v>27</v>
      </c>
      <c r="J5151" t="s">
        <v>34</v>
      </c>
      <c r="K5151" t="str">
        <f>"122412"</f>
        <v>122412</v>
      </c>
    </row>
    <row r="5152" spans="1:11" x14ac:dyDescent="0.25">
      <c r="A5152">
        <v>2024</v>
      </c>
      <c r="B5152" t="s">
        <v>2935</v>
      </c>
      <c r="C5152" t="s">
        <v>2936</v>
      </c>
      <c r="D5152" t="s">
        <v>125</v>
      </c>
      <c r="E5152" t="s">
        <v>20</v>
      </c>
      <c r="F5152" t="str">
        <f>"43537-2409"</f>
        <v>43537-2409</v>
      </c>
      <c r="G5152" t="str">
        <f>"716165"</f>
        <v>716165</v>
      </c>
      <c r="H5152" s="2">
        <f>20</f>
        <v>20</v>
      </c>
      <c r="I5152" t="s">
        <v>27</v>
      </c>
      <c r="J5152" t="s">
        <v>34</v>
      </c>
      <c r="K5152" t="str">
        <f>"122529"</f>
        <v>122529</v>
      </c>
    </row>
    <row r="5153" spans="1:11" x14ac:dyDescent="0.25">
      <c r="A5153">
        <v>2024</v>
      </c>
      <c r="B5153" t="s">
        <v>2937</v>
      </c>
      <c r="C5153" t="s">
        <v>2938</v>
      </c>
      <c r="D5153" t="s">
        <v>125</v>
      </c>
      <c r="E5153" t="s">
        <v>20</v>
      </c>
      <c r="F5153" t="str">
        <f>"43537"</f>
        <v>43537</v>
      </c>
      <c r="G5153" t="str">
        <f>"716619"</f>
        <v>716619</v>
      </c>
      <c r="H5153" s="2">
        <f>171.23</f>
        <v>171.23</v>
      </c>
      <c r="I5153" t="s">
        <v>27</v>
      </c>
      <c r="J5153" t="s">
        <v>34</v>
      </c>
      <c r="K5153" t="str">
        <f>"22026191"</f>
        <v>22026191</v>
      </c>
    </row>
    <row r="5154" spans="1:11" x14ac:dyDescent="0.25">
      <c r="A5154">
        <v>2024</v>
      </c>
      <c r="B5154" t="s">
        <v>2942</v>
      </c>
      <c r="C5154" t="s">
        <v>2943</v>
      </c>
      <c r="D5154" t="s">
        <v>64</v>
      </c>
      <c r="E5154" t="s">
        <v>20</v>
      </c>
      <c r="F5154" t="str">
        <f>"43566"</f>
        <v>43566</v>
      </c>
      <c r="G5154" t="str">
        <f>"Je10112024"</f>
        <v>Je10112024</v>
      </c>
      <c r="H5154" s="2">
        <f>20</f>
        <v>20</v>
      </c>
      <c r="I5154" t="s">
        <v>15</v>
      </c>
      <c r="J5154" t="s">
        <v>205</v>
      </c>
      <c r="K5154" t="str">
        <f>"60127520"</f>
        <v>60127520</v>
      </c>
    </row>
    <row r="5155" spans="1:11" x14ac:dyDescent="0.25">
      <c r="A5155">
        <v>2024</v>
      </c>
      <c r="B5155" t="s">
        <v>2944</v>
      </c>
      <c r="C5155" t="s">
        <v>2945</v>
      </c>
      <c r="D5155" t="s">
        <v>19</v>
      </c>
      <c r="E5155" t="s">
        <v>20</v>
      </c>
      <c r="F5155" t="str">
        <f>"43623-3543"</f>
        <v>43623-3543</v>
      </c>
      <c r="G5155" t="str">
        <f>"716165"</f>
        <v>716165</v>
      </c>
      <c r="H5155" s="2">
        <f>10</f>
        <v>10</v>
      </c>
      <c r="I5155" t="s">
        <v>27</v>
      </c>
      <c r="J5155" t="s">
        <v>34</v>
      </c>
      <c r="K5155" t="str">
        <f>"121419"</f>
        <v>121419</v>
      </c>
    </row>
    <row r="5156" spans="1:11" x14ac:dyDescent="0.25">
      <c r="A5156">
        <v>2024</v>
      </c>
      <c r="B5156" t="s">
        <v>2946</v>
      </c>
      <c r="C5156" t="s">
        <v>2947</v>
      </c>
      <c r="D5156" t="s">
        <v>2948</v>
      </c>
      <c r="E5156" t="s">
        <v>20</v>
      </c>
      <c r="F5156" t="str">
        <f>"43512"</f>
        <v>43512</v>
      </c>
      <c r="G5156" t="str">
        <f>"716166"</f>
        <v>716166</v>
      </c>
      <c r="H5156" s="2">
        <f>3.08</f>
        <v>3.08</v>
      </c>
      <c r="I5156" t="s">
        <v>27</v>
      </c>
      <c r="J5156" t="s">
        <v>262</v>
      </c>
      <c r="K5156" t="str">
        <f>"42244"</f>
        <v>42244</v>
      </c>
    </row>
    <row r="5157" spans="1:11" x14ac:dyDescent="0.25">
      <c r="A5157">
        <v>2024</v>
      </c>
      <c r="B5157" t="s">
        <v>2959</v>
      </c>
      <c r="C5157" t="s">
        <v>2960</v>
      </c>
      <c r="D5157" t="s">
        <v>19</v>
      </c>
      <c r="E5157" t="s">
        <v>20</v>
      </c>
      <c r="F5157" t="str">
        <f>"43612-1277"</f>
        <v>43612-1277</v>
      </c>
      <c r="G5157" t="str">
        <f>"716165"</f>
        <v>716165</v>
      </c>
      <c r="H5157" s="2">
        <f>100</f>
        <v>100</v>
      </c>
      <c r="I5157" t="s">
        <v>27</v>
      </c>
      <c r="J5157" t="s">
        <v>34</v>
      </c>
      <c r="K5157" t="str">
        <f>"121661"</f>
        <v>121661</v>
      </c>
    </row>
    <row r="5158" spans="1:11" x14ac:dyDescent="0.25">
      <c r="A5158">
        <v>2024</v>
      </c>
      <c r="B5158" t="s">
        <v>2974</v>
      </c>
      <c r="C5158" t="s">
        <v>2975</v>
      </c>
      <c r="D5158" t="s">
        <v>50</v>
      </c>
      <c r="E5158" t="s">
        <v>20</v>
      </c>
      <c r="F5158" t="str">
        <f>"43560"</f>
        <v>43560</v>
      </c>
      <c r="G5158" t="str">
        <f>"716619"</f>
        <v>716619</v>
      </c>
      <c r="H5158" s="2">
        <f>6</f>
        <v>6</v>
      </c>
      <c r="I5158" t="s">
        <v>27</v>
      </c>
      <c r="J5158" t="s">
        <v>34</v>
      </c>
      <c r="K5158" t="str">
        <f>"22025715"</f>
        <v>22025715</v>
      </c>
    </row>
    <row r="5159" spans="1:11" x14ac:dyDescent="0.25">
      <c r="A5159">
        <v>2024</v>
      </c>
      <c r="B5159" t="s">
        <v>2977</v>
      </c>
      <c r="C5159" t="s">
        <v>2978</v>
      </c>
      <c r="D5159" t="s">
        <v>19</v>
      </c>
      <c r="E5159" t="s">
        <v>20</v>
      </c>
      <c r="F5159" t="str">
        <f>"43608-2321"</f>
        <v>43608-2321</v>
      </c>
      <c r="G5159" t="str">
        <f t="shared" ref="G5159:G5168" si="175">"716165"</f>
        <v>716165</v>
      </c>
      <c r="H5159" s="2">
        <f>10</f>
        <v>10</v>
      </c>
      <c r="I5159" t="s">
        <v>27</v>
      </c>
      <c r="J5159" t="s">
        <v>34</v>
      </c>
      <c r="K5159" t="str">
        <f>"122610"</f>
        <v>122610</v>
      </c>
    </row>
    <row r="5160" spans="1:11" x14ac:dyDescent="0.25">
      <c r="A5160">
        <v>2024</v>
      </c>
      <c r="B5160" t="s">
        <v>2993</v>
      </c>
      <c r="C5160" t="s">
        <v>2994</v>
      </c>
      <c r="D5160" t="s">
        <v>19</v>
      </c>
      <c r="E5160" t="s">
        <v>20</v>
      </c>
      <c r="F5160" t="str">
        <f>"43611-2640"</f>
        <v>43611-2640</v>
      </c>
      <c r="G5160" t="str">
        <f t="shared" si="175"/>
        <v>716165</v>
      </c>
      <c r="H5160" s="2">
        <f>10</f>
        <v>10</v>
      </c>
      <c r="I5160" t="s">
        <v>27</v>
      </c>
      <c r="J5160" t="s">
        <v>34</v>
      </c>
      <c r="K5160" t="str">
        <f>"124263"</f>
        <v>124263</v>
      </c>
    </row>
    <row r="5161" spans="1:11" x14ac:dyDescent="0.25">
      <c r="A5161">
        <v>2024</v>
      </c>
      <c r="B5161" t="s">
        <v>3001</v>
      </c>
      <c r="C5161" t="s">
        <v>3002</v>
      </c>
      <c r="D5161" t="s">
        <v>19</v>
      </c>
      <c r="E5161" t="s">
        <v>20</v>
      </c>
      <c r="F5161" t="str">
        <f>"43617-1425"</f>
        <v>43617-1425</v>
      </c>
      <c r="G5161" t="str">
        <f t="shared" si="175"/>
        <v>716165</v>
      </c>
      <c r="H5161" s="2">
        <f>20</f>
        <v>20</v>
      </c>
      <c r="I5161" t="s">
        <v>27</v>
      </c>
      <c r="J5161" t="s">
        <v>34</v>
      </c>
      <c r="K5161" t="str">
        <f>"125037"</f>
        <v>125037</v>
      </c>
    </row>
    <row r="5162" spans="1:11" x14ac:dyDescent="0.25">
      <c r="A5162">
        <v>2024</v>
      </c>
      <c r="B5162" t="s">
        <v>3003</v>
      </c>
      <c r="C5162" t="s">
        <v>3004</v>
      </c>
      <c r="D5162" t="s">
        <v>125</v>
      </c>
      <c r="E5162" t="s">
        <v>20</v>
      </c>
      <c r="F5162" t="str">
        <f>"43537-3435"</f>
        <v>43537-3435</v>
      </c>
      <c r="G5162" t="str">
        <f t="shared" si="175"/>
        <v>716165</v>
      </c>
      <c r="H5162" s="2">
        <f>20</f>
        <v>20</v>
      </c>
      <c r="I5162" t="s">
        <v>27</v>
      </c>
      <c r="J5162" t="s">
        <v>34</v>
      </c>
      <c r="K5162" t="str">
        <f>"123623"</f>
        <v>123623</v>
      </c>
    </row>
    <row r="5163" spans="1:11" x14ac:dyDescent="0.25">
      <c r="A5163">
        <v>2024</v>
      </c>
      <c r="B5163" t="s">
        <v>3017</v>
      </c>
      <c r="C5163" t="s">
        <v>3018</v>
      </c>
      <c r="D5163" t="s">
        <v>19</v>
      </c>
      <c r="E5163" t="s">
        <v>20</v>
      </c>
      <c r="F5163" t="str">
        <f>"43614-1958"</f>
        <v>43614-1958</v>
      </c>
      <c r="G5163" t="str">
        <f t="shared" si="175"/>
        <v>716165</v>
      </c>
      <c r="H5163" s="2">
        <f>10</f>
        <v>10</v>
      </c>
      <c r="I5163" t="s">
        <v>27</v>
      </c>
      <c r="J5163" t="s">
        <v>34</v>
      </c>
      <c r="K5163" t="str">
        <f>"123170"</f>
        <v>123170</v>
      </c>
    </row>
    <row r="5164" spans="1:11" x14ac:dyDescent="0.25">
      <c r="A5164">
        <v>2024</v>
      </c>
      <c r="B5164" t="s">
        <v>3027</v>
      </c>
      <c r="C5164" t="s">
        <v>3028</v>
      </c>
      <c r="D5164" t="s">
        <v>58</v>
      </c>
      <c r="E5164" t="s">
        <v>20</v>
      </c>
      <c r="F5164" t="str">
        <f>"43616-2480"</f>
        <v>43616-2480</v>
      </c>
      <c r="G5164" t="str">
        <f t="shared" si="175"/>
        <v>716165</v>
      </c>
      <c r="H5164" s="2">
        <f>10</f>
        <v>10</v>
      </c>
      <c r="I5164" t="s">
        <v>27</v>
      </c>
      <c r="J5164" t="s">
        <v>34</v>
      </c>
      <c r="K5164" t="str">
        <f>"124650"</f>
        <v>124650</v>
      </c>
    </row>
    <row r="5165" spans="1:11" x14ac:dyDescent="0.25">
      <c r="A5165">
        <v>2024</v>
      </c>
      <c r="B5165" t="s">
        <v>3056</v>
      </c>
      <c r="C5165" t="s">
        <v>3057</v>
      </c>
      <c r="D5165" t="s">
        <v>105</v>
      </c>
      <c r="E5165" t="s">
        <v>20</v>
      </c>
      <c r="F5165" t="str">
        <f>"43528-9518"</f>
        <v>43528-9518</v>
      </c>
      <c r="G5165" t="str">
        <f t="shared" si="175"/>
        <v>716165</v>
      </c>
      <c r="H5165" s="2">
        <f>20</f>
        <v>20</v>
      </c>
      <c r="I5165" t="s">
        <v>27</v>
      </c>
      <c r="J5165" t="s">
        <v>34</v>
      </c>
      <c r="K5165" t="str">
        <f>"123582"</f>
        <v>123582</v>
      </c>
    </row>
    <row r="5166" spans="1:11" x14ac:dyDescent="0.25">
      <c r="A5166">
        <v>2024</v>
      </c>
      <c r="B5166" t="s">
        <v>3084</v>
      </c>
      <c r="C5166" t="s">
        <v>3085</v>
      </c>
      <c r="D5166" t="s">
        <v>19</v>
      </c>
      <c r="E5166" t="s">
        <v>20</v>
      </c>
      <c r="F5166" t="str">
        <f>"43623-3927"</f>
        <v>43623-3927</v>
      </c>
      <c r="G5166" t="str">
        <f t="shared" si="175"/>
        <v>716165</v>
      </c>
      <c r="H5166" s="2">
        <f>40</f>
        <v>40</v>
      </c>
      <c r="I5166" t="s">
        <v>27</v>
      </c>
      <c r="J5166" t="s">
        <v>34</v>
      </c>
      <c r="K5166" t="str">
        <f>"123825"</f>
        <v>123825</v>
      </c>
    </row>
    <row r="5167" spans="1:11" x14ac:dyDescent="0.25">
      <c r="A5167">
        <v>2024</v>
      </c>
      <c r="B5167" t="s">
        <v>3090</v>
      </c>
      <c r="C5167" t="s">
        <v>3091</v>
      </c>
      <c r="D5167" t="s">
        <v>105</v>
      </c>
      <c r="E5167" t="s">
        <v>20</v>
      </c>
      <c r="F5167" t="str">
        <f>"43528-8359"</f>
        <v>43528-8359</v>
      </c>
      <c r="G5167" t="str">
        <f t="shared" si="175"/>
        <v>716165</v>
      </c>
      <c r="H5167" s="2">
        <f>10</f>
        <v>10</v>
      </c>
      <c r="I5167" t="s">
        <v>27</v>
      </c>
      <c r="J5167" t="s">
        <v>34</v>
      </c>
      <c r="K5167" t="str">
        <f>"123889"</f>
        <v>123889</v>
      </c>
    </row>
    <row r="5168" spans="1:11" x14ac:dyDescent="0.25">
      <c r="A5168">
        <v>2024</v>
      </c>
      <c r="B5168" t="s">
        <v>3092</v>
      </c>
      <c r="C5168" t="s">
        <v>3093</v>
      </c>
      <c r="D5168" t="s">
        <v>105</v>
      </c>
      <c r="E5168" t="s">
        <v>20</v>
      </c>
      <c r="F5168" t="str">
        <f>"43528-8468"</f>
        <v>43528-8468</v>
      </c>
      <c r="G5168" t="str">
        <f t="shared" si="175"/>
        <v>716165</v>
      </c>
      <c r="H5168" s="2">
        <f>30</f>
        <v>30</v>
      </c>
      <c r="I5168" t="s">
        <v>27</v>
      </c>
      <c r="J5168" t="s">
        <v>34</v>
      </c>
      <c r="K5168" t="str">
        <f>"124805"</f>
        <v>124805</v>
      </c>
    </row>
    <row r="5169" spans="1:11" x14ac:dyDescent="0.25">
      <c r="A5169">
        <v>2024</v>
      </c>
      <c r="B5169" t="s">
        <v>3119</v>
      </c>
      <c r="C5169" t="s">
        <v>3120</v>
      </c>
      <c r="D5169" t="s">
        <v>58</v>
      </c>
      <c r="E5169" t="s">
        <v>20</v>
      </c>
      <c r="F5169" t="str">
        <f>"43616"</f>
        <v>43616</v>
      </c>
      <c r="G5169" t="str">
        <f>"Je03262024"</f>
        <v>Je03262024</v>
      </c>
      <c r="H5169" s="2">
        <f>996.18</f>
        <v>996.18</v>
      </c>
      <c r="I5169" t="s">
        <v>15</v>
      </c>
      <c r="J5169" t="s">
        <v>21</v>
      </c>
      <c r="K5169" t="str">
        <f>"60111265"</f>
        <v>60111265</v>
      </c>
    </row>
    <row r="5170" spans="1:11" x14ac:dyDescent="0.25">
      <c r="A5170">
        <v>2024</v>
      </c>
      <c r="B5170" t="s">
        <v>3121</v>
      </c>
      <c r="C5170" t="s">
        <v>3122</v>
      </c>
      <c r="D5170" t="s">
        <v>1005</v>
      </c>
      <c r="E5170" t="s">
        <v>20</v>
      </c>
      <c r="F5170" t="str">
        <f>"44139"</f>
        <v>44139</v>
      </c>
      <c r="G5170" t="str">
        <f>"716166"</f>
        <v>716166</v>
      </c>
      <c r="H5170" s="2">
        <f>270</f>
        <v>270</v>
      </c>
      <c r="I5170" t="s">
        <v>27</v>
      </c>
      <c r="J5170" t="s">
        <v>262</v>
      </c>
      <c r="K5170" t="str">
        <f>"42080"</f>
        <v>42080</v>
      </c>
    </row>
    <row r="5171" spans="1:11" x14ac:dyDescent="0.25">
      <c r="A5171">
        <v>2024</v>
      </c>
      <c r="B5171" t="s">
        <v>3131</v>
      </c>
      <c r="C5171" t="s">
        <v>3132</v>
      </c>
      <c r="D5171" t="s">
        <v>164</v>
      </c>
      <c r="E5171" t="s">
        <v>20</v>
      </c>
      <c r="F5171" t="str">
        <f>"43558-8562"</f>
        <v>43558-8562</v>
      </c>
      <c r="G5171" t="str">
        <f>"716165"</f>
        <v>716165</v>
      </c>
      <c r="H5171" s="2">
        <f>10</f>
        <v>10</v>
      </c>
      <c r="I5171" t="s">
        <v>27</v>
      </c>
      <c r="J5171" t="s">
        <v>34</v>
      </c>
      <c r="K5171" t="str">
        <f>"123805"</f>
        <v>123805</v>
      </c>
    </row>
    <row r="5172" spans="1:11" x14ac:dyDescent="0.25">
      <c r="A5172">
        <v>2024</v>
      </c>
      <c r="B5172" t="s">
        <v>3184</v>
      </c>
      <c r="C5172" t="s">
        <v>3185</v>
      </c>
      <c r="D5172" t="s">
        <v>19</v>
      </c>
      <c r="E5172" t="s">
        <v>20</v>
      </c>
      <c r="F5172" t="str">
        <f>"43615"</f>
        <v>43615</v>
      </c>
      <c r="G5172" t="str">
        <f>"716165"</f>
        <v>716165</v>
      </c>
      <c r="H5172" s="2">
        <f>10</f>
        <v>10</v>
      </c>
      <c r="I5172" t="s">
        <v>27</v>
      </c>
      <c r="J5172" t="s">
        <v>34</v>
      </c>
      <c r="K5172" t="str">
        <f>"123498"</f>
        <v>123498</v>
      </c>
    </row>
    <row r="5173" spans="1:11" x14ac:dyDescent="0.25">
      <c r="A5173">
        <v>2024</v>
      </c>
      <c r="B5173" t="s">
        <v>3200</v>
      </c>
      <c r="C5173" t="s">
        <v>3201</v>
      </c>
      <c r="D5173" t="s">
        <v>19</v>
      </c>
      <c r="E5173" t="s">
        <v>20</v>
      </c>
      <c r="F5173" t="str">
        <f>"43608-1780"</f>
        <v>43608-1780</v>
      </c>
      <c r="G5173" t="str">
        <f>"716165"</f>
        <v>716165</v>
      </c>
      <c r="H5173" s="2">
        <f>10</f>
        <v>10</v>
      </c>
      <c r="I5173" t="s">
        <v>27</v>
      </c>
      <c r="J5173" t="s">
        <v>34</v>
      </c>
      <c r="K5173" t="str">
        <f>"122020"</f>
        <v>122020</v>
      </c>
    </row>
    <row r="5174" spans="1:11" x14ac:dyDescent="0.25">
      <c r="A5174">
        <v>2024</v>
      </c>
      <c r="B5174" t="s">
        <v>3210</v>
      </c>
      <c r="C5174" t="s">
        <v>3211</v>
      </c>
      <c r="D5174" t="s">
        <v>19</v>
      </c>
      <c r="E5174" t="s">
        <v>20</v>
      </c>
      <c r="F5174" t="str">
        <f>"43613"</f>
        <v>43613</v>
      </c>
      <c r="G5174" t="str">
        <f>"716165"</f>
        <v>716165</v>
      </c>
      <c r="H5174" s="2">
        <f>10</f>
        <v>10</v>
      </c>
      <c r="I5174" t="s">
        <v>27</v>
      </c>
      <c r="J5174" t="s">
        <v>34</v>
      </c>
      <c r="K5174" t="str">
        <f>"124256"</f>
        <v>124256</v>
      </c>
    </row>
    <row r="5175" spans="1:11" x14ac:dyDescent="0.25">
      <c r="A5175">
        <v>2024</v>
      </c>
      <c r="B5175" t="s">
        <v>3222</v>
      </c>
      <c r="C5175" t="s">
        <v>3223</v>
      </c>
      <c r="D5175" t="s">
        <v>19</v>
      </c>
      <c r="E5175" t="s">
        <v>20</v>
      </c>
      <c r="F5175" t="str">
        <f>"43606-4371"</f>
        <v>43606-4371</v>
      </c>
      <c r="G5175" t="str">
        <f>"716165"</f>
        <v>716165</v>
      </c>
      <c r="H5175" s="2">
        <f>10</f>
        <v>10</v>
      </c>
      <c r="I5175" t="s">
        <v>27</v>
      </c>
      <c r="J5175" t="s">
        <v>34</v>
      </c>
      <c r="K5175" t="str">
        <f>"124703"</f>
        <v>124703</v>
      </c>
    </row>
    <row r="5176" spans="1:11" x14ac:dyDescent="0.25">
      <c r="A5176">
        <v>2024</v>
      </c>
      <c r="B5176" t="s">
        <v>3238</v>
      </c>
      <c r="C5176" t="s">
        <v>3239</v>
      </c>
      <c r="D5176" t="s">
        <v>164</v>
      </c>
      <c r="E5176" t="s">
        <v>20</v>
      </c>
      <c r="F5176" t="str">
        <f>"43558"</f>
        <v>43558</v>
      </c>
      <c r="G5176" t="str">
        <f>"718470"</f>
        <v>718470</v>
      </c>
      <c r="H5176" s="2">
        <f>1.34</f>
        <v>1.34</v>
      </c>
      <c r="I5176" t="s">
        <v>27</v>
      </c>
      <c r="J5176" t="s">
        <v>34</v>
      </c>
      <c r="K5176" t="str">
        <f>"334435"</f>
        <v>334435</v>
      </c>
    </row>
    <row r="5177" spans="1:11" x14ac:dyDescent="0.25">
      <c r="A5177">
        <v>2024</v>
      </c>
      <c r="B5177" t="s">
        <v>3249</v>
      </c>
      <c r="C5177" t="s">
        <v>3250</v>
      </c>
      <c r="D5177" t="s">
        <v>19</v>
      </c>
      <c r="E5177" t="s">
        <v>20</v>
      </c>
      <c r="F5177" t="str">
        <f>"43617"</f>
        <v>43617</v>
      </c>
      <c r="G5177" t="str">
        <f>"718470"</f>
        <v>718470</v>
      </c>
      <c r="H5177" s="2">
        <f>18.18</f>
        <v>18.18</v>
      </c>
      <c r="I5177" t="s">
        <v>27</v>
      </c>
      <c r="J5177" t="s">
        <v>34</v>
      </c>
      <c r="K5177" t="str">
        <f>"334323"</f>
        <v>334323</v>
      </c>
    </row>
    <row r="5178" spans="1:11" x14ac:dyDescent="0.25">
      <c r="A5178">
        <v>2024</v>
      </c>
      <c r="B5178" t="s">
        <v>3286</v>
      </c>
      <c r="C5178" t="s">
        <v>3287</v>
      </c>
      <c r="D5178" t="s">
        <v>64</v>
      </c>
      <c r="E5178" t="s">
        <v>20</v>
      </c>
      <c r="F5178" t="str">
        <f>"43566-1141"</f>
        <v>43566-1141</v>
      </c>
      <c r="G5178" t="str">
        <f>"716165"</f>
        <v>716165</v>
      </c>
      <c r="H5178" s="2">
        <f>10</f>
        <v>10</v>
      </c>
      <c r="I5178" t="s">
        <v>27</v>
      </c>
      <c r="J5178" t="s">
        <v>34</v>
      </c>
      <c r="K5178" t="str">
        <f>"125142"</f>
        <v>125142</v>
      </c>
    </row>
    <row r="5179" spans="1:11" x14ac:dyDescent="0.25">
      <c r="A5179">
        <v>2024</v>
      </c>
      <c r="B5179" t="s">
        <v>3288</v>
      </c>
      <c r="C5179" t="s">
        <v>3289</v>
      </c>
      <c r="D5179" t="s">
        <v>19</v>
      </c>
      <c r="E5179" t="s">
        <v>20</v>
      </c>
      <c r="F5179" t="str">
        <f>"43605-2956"</f>
        <v>43605-2956</v>
      </c>
      <c r="G5179" t="str">
        <f>"716165"</f>
        <v>716165</v>
      </c>
      <c r="H5179" s="2">
        <f>20</f>
        <v>20</v>
      </c>
      <c r="I5179" t="s">
        <v>27</v>
      </c>
      <c r="J5179" t="s">
        <v>34</v>
      </c>
      <c r="K5179" t="str">
        <f>"121840"</f>
        <v>121840</v>
      </c>
    </row>
    <row r="5180" spans="1:11" x14ac:dyDescent="0.25">
      <c r="A5180">
        <v>2024</v>
      </c>
      <c r="B5180" t="s">
        <v>3296</v>
      </c>
      <c r="C5180" t="s">
        <v>3297</v>
      </c>
      <c r="D5180" t="s">
        <v>19</v>
      </c>
      <c r="E5180" t="s">
        <v>20</v>
      </c>
      <c r="F5180" t="str">
        <f>"43612"</f>
        <v>43612</v>
      </c>
      <c r="G5180" t="str">
        <f>"716619"</f>
        <v>716619</v>
      </c>
      <c r="H5180" s="2">
        <f>4</f>
        <v>4</v>
      </c>
      <c r="I5180" t="s">
        <v>27</v>
      </c>
      <c r="J5180" t="s">
        <v>34</v>
      </c>
      <c r="K5180" t="str">
        <f>"22026310"</f>
        <v>22026310</v>
      </c>
    </row>
    <row r="5181" spans="1:11" x14ac:dyDescent="0.25">
      <c r="A5181">
        <v>2024</v>
      </c>
      <c r="B5181" t="s">
        <v>3298</v>
      </c>
      <c r="C5181" t="s">
        <v>3299</v>
      </c>
      <c r="D5181" t="s">
        <v>19</v>
      </c>
      <c r="E5181" t="s">
        <v>20</v>
      </c>
      <c r="F5181" t="str">
        <f>"43615-2087"</f>
        <v>43615-2087</v>
      </c>
      <c r="G5181" t="str">
        <f>"716165"</f>
        <v>716165</v>
      </c>
      <c r="H5181" s="2">
        <f>10</f>
        <v>10</v>
      </c>
      <c r="I5181" t="s">
        <v>27</v>
      </c>
      <c r="J5181" t="s">
        <v>34</v>
      </c>
      <c r="K5181" t="str">
        <f>"122461"</f>
        <v>122461</v>
      </c>
    </row>
    <row r="5182" spans="1:11" x14ac:dyDescent="0.25">
      <c r="A5182">
        <v>2024</v>
      </c>
      <c r="B5182" t="s">
        <v>3306</v>
      </c>
      <c r="C5182" t="s">
        <v>3307</v>
      </c>
      <c r="D5182" t="s">
        <v>19</v>
      </c>
      <c r="E5182" t="s">
        <v>20</v>
      </c>
      <c r="F5182" t="str">
        <f>"43609"</f>
        <v>43609</v>
      </c>
      <c r="G5182" t="str">
        <f>"716165"</f>
        <v>716165</v>
      </c>
      <c r="H5182" s="2">
        <f>10</f>
        <v>10</v>
      </c>
      <c r="I5182" t="s">
        <v>27</v>
      </c>
      <c r="J5182" t="s">
        <v>34</v>
      </c>
      <c r="K5182" t="str">
        <f>"122001"</f>
        <v>122001</v>
      </c>
    </row>
    <row r="5183" spans="1:11" x14ac:dyDescent="0.25">
      <c r="A5183">
        <v>2024</v>
      </c>
      <c r="B5183" t="s">
        <v>3317</v>
      </c>
      <c r="C5183" t="s">
        <v>3316</v>
      </c>
      <c r="D5183" t="s">
        <v>19</v>
      </c>
      <c r="E5183" t="s">
        <v>20</v>
      </c>
      <c r="F5183" t="str">
        <f>"43607"</f>
        <v>43607</v>
      </c>
      <c r="G5183" t="str">
        <f>"Je10112024"</f>
        <v>Je10112024</v>
      </c>
      <c r="H5183" s="2">
        <f>77</f>
        <v>77</v>
      </c>
      <c r="I5183" t="s">
        <v>15</v>
      </c>
      <c r="J5183" t="s">
        <v>205</v>
      </c>
      <c r="K5183" t="str">
        <f>"60128880"</f>
        <v>60128880</v>
      </c>
    </row>
    <row r="5184" spans="1:11" x14ac:dyDescent="0.25">
      <c r="A5184">
        <v>2024</v>
      </c>
      <c r="B5184" t="s">
        <v>3330</v>
      </c>
      <c r="C5184" t="s">
        <v>3331</v>
      </c>
      <c r="D5184" t="s">
        <v>19</v>
      </c>
      <c r="E5184" t="s">
        <v>20</v>
      </c>
      <c r="F5184" t="str">
        <f>"43607-3510"</f>
        <v>43607-3510</v>
      </c>
      <c r="G5184" t="str">
        <f>"716165"</f>
        <v>716165</v>
      </c>
      <c r="H5184" s="2">
        <f>10</f>
        <v>10</v>
      </c>
      <c r="I5184" t="s">
        <v>27</v>
      </c>
      <c r="J5184" t="s">
        <v>34</v>
      </c>
      <c r="K5184" t="str">
        <f>"121372"</f>
        <v>121372</v>
      </c>
    </row>
    <row r="5185" spans="1:11" x14ac:dyDescent="0.25">
      <c r="A5185">
        <v>2024</v>
      </c>
      <c r="B5185" t="s">
        <v>3338</v>
      </c>
      <c r="C5185" t="s">
        <v>3339</v>
      </c>
      <c r="D5185" t="s">
        <v>19</v>
      </c>
      <c r="E5185" t="s">
        <v>20</v>
      </c>
      <c r="F5185" t="str">
        <f>"43608"</f>
        <v>43608</v>
      </c>
      <c r="G5185" t="str">
        <f>"Je08072024"</f>
        <v>Je08072024</v>
      </c>
      <c r="H5185" s="2">
        <f>6.6</f>
        <v>6.6</v>
      </c>
      <c r="I5185" t="s">
        <v>15</v>
      </c>
      <c r="J5185" t="s">
        <v>1647</v>
      </c>
      <c r="K5185" t="str">
        <f>"60119545"</f>
        <v>60119545</v>
      </c>
    </row>
    <row r="5186" spans="1:11" x14ac:dyDescent="0.25">
      <c r="A5186">
        <v>2024</v>
      </c>
      <c r="B5186" t="s">
        <v>3340</v>
      </c>
      <c r="C5186" t="s">
        <v>3341</v>
      </c>
      <c r="D5186" t="s">
        <v>164</v>
      </c>
      <c r="E5186" t="s">
        <v>20</v>
      </c>
      <c r="F5186" t="str">
        <f>"43558-9191"</f>
        <v>43558-9191</v>
      </c>
      <c r="G5186" t="str">
        <f>"716165"</f>
        <v>716165</v>
      </c>
      <c r="H5186" s="2">
        <f>10</f>
        <v>10</v>
      </c>
      <c r="I5186" t="s">
        <v>27</v>
      </c>
      <c r="J5186" t="s">
        <v>34</v>
      </c>
      <c r="K5186" t="str">
        <f>"123186"</f>
        <v>123186</v>
      </c>
    </row>
    <row r="5187" spans="1:11" x14ac:dyDescent="0.25">
      <c r="A5187">
        <v>2024</v>
      </c>
      <c r="B5187" t="s">
        <v>3358</v>
      </c>
      <c r="C5187" t="s">
        <v>3359</v>
      </c>
      <c r="D5187" t="s">
        <v>19</v>
      </c>
      <c r="E5187" t="s">
        <v>20</v>
      </c>
      <c r="F5187" t="str">
        <f>"43614-3931"</f>
        <v>43614-3931</v>
      </c>
      <c r="G5187" t="str">
        <f>"716165"</f>
        <v>716165</v>
      </c>
      <c r="H5187" s="2">
        <f>10</f>
        <v>10</v>
      </c>
      <c r="I5187" t="s">
        <v>27</v>
      </c>
      <c r="J5187" t="s">
        <v>34</v>
      </c>
      <c r="K5187" t="str">
        <f>"121221"</f>
        <v>121221</v>
      </c>
    </row>
    <row r="5188" spans="1:11" x14ac:dyDescent="0.25">
      <c r="A5188">
        <v>2024</v>
      </c>
      <c r="B5188" t="s">
        <v>3366</v>
      </c>
      <c r="C5188" t="s">
        <v>3367</v>
      </c>
      <c r="D5188" t="s">
        <v>19</v>
      </c>
      <c r="E5188" t="s">
        <v>20</v>
      </c>
      <c r="F5188" t="str">
        <f>"43607-1371"</f>
        <v>43607-1371</v>
      </c>
      <c r="G5188" t="str">
        <f>"716165"</f>
        <v>716165</v>
      </c>
      <c r="H5188" s="2">
        <f>10</f>
        <v>10</v>
      </c>
      <c r="I5188" t="s">
        <v>27</v>
      </c>
      <c r="J5188" t="s">
        <v>34</v>
      </c>
      <c r="K5188" t="str">
        <f>"123688"</f>
        <v>123688</v>
      </c>
    </row>
    <row r="5189" spans="1:11" x14ac:dyDescent="0.25">
      <c r="A5189">
        <v>2024</v>
      </c>
      <c r="B5189" t="s">
        <v>3382</v>
      </c>
      <c r="C5189" t="s">
        <v>3383</v>
      </c>
      <c r="D5189" t="s">
        <v>3384</v>
      </c>
      <c r="E5189" t="s">
        <v>20</v>
      </c>
      <c r="F5189" t="str">
        <f>"45150"</f>
        <v>45150</v>
      </c>
      <c r="G5189" t="str">
        <f>"716166"</f>
        <v>716166</v>
      </c>
      <c r="H5189" s="2">
        <f>539</f>
        <v>539</v>
      </c>
      <c r="I5189" t="s">
        <v>27</v>
      </c>
      <c r="J5189" t="s">
        <v>262</v>
      </c>
      <c r="K5189" t="str">
        <f>"42768"</f>
        <v>42768</v>
      </c>
    </row>
    <row r="5190" spans="1:11" x14ac:dyDescent="0.25">
      <c r="A5190">
        <v>2024</v>
      </c>
      <c r="B5190" t="s">
        <v>3382</v>
      </c>
      <c r="C5190" t="s">
        <v>3385</v>
      </c>
      <c r="D5190" t="s">
        <v>1177</v>
      </c>
      <c r="E5190" t="s">
        <v>418</v>
      </c>
      <c r="F5190" t="str">
        <f>"60563"</f>
        <v>60563</v>
      </c>
      <c r="G5190" t="str">
        <f>"716166"</f>
        <v>716166</v>
      </c>
      <c r="H5190" s="2">
        <f>280</f>
        <v>280</v>
      </c>
      <c r="I5190" t="s">
        <v>27</v>
      </c>
      <c r="J5190" t="s">
        <v>262</v>
      </c>
      <c r="K5190" t="str">
        <f>"43060"</f>
        <v>43060</v>
      </c>
    </row>
    <row r="5191" spans="1:11" x14ac:dyDescent="0.25">
      <c r="A5191">
        <v>2024</v>
      </c>
      <c r="B5191" t="s">
        <v>3382</v>
      </c>
      <c r="C5191" t="s">
        <v>3386</v>
      </c>
      <c r="D5191" t="s">
        <v>1177</v>
      </c>
      <c r="E5191" t="s">
        <v>418</v>
      </c>
      <c r="F5191" t="str">
        <f>"60563"</f>
        <v>60563</v>
      </c>
      <c r="G5191" t="str">
        <f>"716166"</f>
        <v>716166</v>
      </c>
      <c r="H5191" s="2">
        <f>270</f>
        <v>270</v>
      </c>
      <c r="I5191" t="s">
        <v>27</v>
      </c>
      <c r="J5191" t="s">
        <v>262</v>
      </c>
      <c r="K5191" t="str">
        <f>"43061"</f>
        <v>43061</v>
      </c>
    </row>
    <row r="5192" spans="1:11" x14ac:dyDescent="0.25">
      <c r="A5192">
        <v>2024</v>
      </c>
      <c r="B5192" t="s">
        <v>3382</v>
      </c>
      <c r="C5192" t="s">
        <v>3387</v>
      </c>
      <c r="D5192" t="s">
        <v>1177</v>
      </c>
      <c r="E5192" t="s">
        <v>418</v>
      </c>
      <c r="F5192" t="str">
        <f>"60563"</f>
        <v>60563</v>
      </c>
      <c r="G5192" t="str">
        <f>"716166"</f>
        <v>716166</v>
      </c>
      <c r="H5192" s="2">
        <f>538</f>
        <v>538</v>
      </c>
      <c r="I5192" t="s">
        <v>27</v>
      </c>
      <c r="J5192" t="s">
        <v>262</v>
      </c>
      <c r="K5192" t="str">
        <f>"43081"</f>
        <v>43081</v>
      </c>
    </row>
    <row r="5193" spans="1:11" x14ac:dyDescent="0.25">
      <c r="A5193">
        <v>2024</v>
      </c>
      <c r="B5193" t="s">
        <v>3382</v>
      </c>
      <c r="C5193" t="s">
        <v>3388</v>
      </c>
      <c r="D5193" t="s">
        <v>1177</v>
      </c>
      <c r="E5193" t="s">
        <v>418</v>
      </c>
      <c r="F5193" t="str">
        <f>"60563"</f>
        <v>60563</v>
      </c>
      <c r="G5193" t="str">
        <f>"716166"</f>
        <v>716166</v>
      </c>
      <c r="H5193" s="2">
        <f>105.13</f>
        <v>105.13</v>
      </c>
      <c r="I5193" t="s">
        <v>27</v>
      </c>
      <c r="J5193" t="s">
        <v>262</v>
      </c>
      <c r="K5193" t="str">
        <f>"42730"</f>
        <v>42730</v>
      </c>
    </row>
    <row r="5194" spans="1:11" x14ac:dyDescent="0.25">
      <c r="A5194">
        <v>2024</v>
      </c>
      <c r="B5194" t="s">
        <v>3395</v>
      </c>
      <c r="C5194" t="s">
        <v>3396</v>
      </c>
      <c r="D5194" t="s">
        <v>58</v>
      </c>
      <c r="E5194" t="s">
        <v>20</v>
      </c>
      <c r="F5194" t="str">
        <f>"43616-2639"</f>
        <v>43616-2639</v>
      </c>
      <c r="G5194" t="str">
        <f>"716165"</f>
        <v>716165</v>
      </c>
      <c r="H5194" s="2">
        <f>10</f>
        <v>10</v>
      </c>
      <c r="I5194" t="s">
        <v>27</v>
      </c>
      <c r="J5194" t="s">
        <v>34</v>
      </c>
      <c r="K5194" t="str">
        <f>"121057"</f>
        <v>121057</v>
      </c>
    </row>
    <row r="5195" spans="1:11" x14ac:dyDescent="0.25">
      <c r="A5195">
        <v>2024</v>
      </c>
      <c r="B5195" t="s">
        <v>3399</v>
      </c>
      <c r="C5195" t="s">
        <v>3400</v>
      </c>
      <c r="D5195" t="s">
        <v>19</v>
      </c>
      <c r="E5195" t="s">
        <v>20</v>
      </c>
      <c r="F5195" t="str">
        <f>"43612-3505"</f>
        <v>43612-3505</v>
      </c>
      <c r="G5195" t="str">
        <f>"716165"</f>
        <v>716165</v>
      </c>
      <c r="H5195" s="2">
        <f>10</f>
        <v>10</v>
      </c>
      <c r="I5195" t="s">
        <v>27</v>
      </c>
      <c r="J5195" t="s">
        <v>34</v>
      </c>
      <c r="K5195" t="str">
        <f>"124402"</f>
        <v>124402</v>
      </c>
    </row>
    <row r="5196" spans="1:11" x14ac:dyDescent="0.25">
      <c r="A5196">
        <v>2024</v>
      </c>
      <c r="B5196" t="s">
        <v>3403</v>
      </c>
      <c r="C5196" t="s">
        <v>3409</v>
      </c>
      <c r="D5196" t="s">
        <v>19</v>
      </c>
      <c r="E5196" t="s">
        <v>20</v>
      </c>
      <c r="F5196" t="str">
        <f t="shared" ref="F5196:F5214" si="176">"43604"</f>
        <v>43604</v>
      </c>
      <c r="G5196" t="str">
        <f t="shared" ref="G5196:G5214" si="177">"716619"</f>
        <v>716619</v>
      </c>
      <c r="H5196" s="2">
        <f>189.8</f>
        <v>189.8</v>
      </c>
      <c r="I5196" t="s">
        <v>27</v>
      </c>
      <c r="J5196" t="s">
        <v>34</v>
      </c>
      <c r="K5196" t="str">
        <f>"44010128"</f>
        <v>44010128</v>
      </c>
    </row>
    <row r="5197" spans="1:11" x14ac:dyDescent="0.25">
      <c r="A5197">
        <v>2024</v>
      </c>
      <c r="B5197" t="s">
        <v>3403</v>
      </c>
      <c r="C5197" t="s">
        <v>3409</v>
      </c>
      <c r="D5197" t="s">
        <v>19</v>
      </c>
      <c r="E5197" t="s">
        <v>20</v>
      </c>
      <c r="F5197" t="str">
        <f t="shared" si="176"/>
        <v>43604</v>
      </c>
      <c r="G5197" t="str">
        <f t="shared" si="177"/>
        <v>716619</v>
      </c>
      <c r="H5197" s="2">
        <f>5.45</f>
        <v>5.45</v>
      </c>
      <c r="I5197" t="s">
        <v>27</v>
      </c>
      <c r="J5197" t="s">
        <v>34</v>
      </c>
      <c r="K5197" t="str">
        <f>"44010129"</f>
        <v>44010129</v>
      </c>
    </row>
    <row r="5198" spans="1:11" x14ac:dyDescent="0.25">
      <c r="A5198">
        <v>2024</v>
      </c>
      <c r="B5198" t="s">
        <v>3403</v>
      </c>
      <c r="C5198" t="s">
        <v>3409</v>
      </c>
      <c r="D5198" t="s">
        <v>19</v>
      </c>
      <c r="E5198" t="s">
        <v>20</v>
      </c>
      <c r="F5198" t="str">
        <f t="shared" si="176"/>
        <v>43604</v>
      </c>
      <c r="G5198" t="str">
        <f t="shared" si="177"/>
        <v>716619</v>
      </c>
      <c r="H5198" s="2">
        <f>4.11</f>
        <v>4.1100000000000003</v>
      </c>
      <c r="I5198" t="s">
        <v>27</v>
      </c>
      <c r="J5198" t="s">
        <v>34</v>
      </c>
      <c r="K5198" t="str">
        <f>"22025696"</f>
        <v>22025696</v>
      </c>
    </row>
    <row r="5199" spans="1:11" x14ac:dyDescent="0.25">
      <c r="A5199">
        <v>2024</v>
      </c>
      <c r="B5199" t="s">
        <v>3403</v>
      </c>
      <c r="C5199" t="s">
        <v>3409</v>
      </c>
      <c r="D5199" t="s">
        <v>19</v>
      </c>
      <c r="E5199" t="s">
        <v>20</v>
      </c>
      <c r="F5199" t="str">
        <f t="shared" si="176"/>
        <v>43604</v>
      </c>
      <c r="G5199" t="str">
        <f t="shared" si="177"/>
        <v>716619</v>
      </c>
      <c r="H5199" s="2">
        <f>10</f>
        <v>10</v>
      </c>
      <c r="I5199" t="s">
        <v>27</v>
      </c>
      <c r="J5199" t="s">
        <v>34</v>
      </c>
      <c r="K5199" t="str">
        <f>"33012191"</f>
        <v>33012191</v>
      </c>
    </row>
    <row r="5200" spans="1:11" x14ac:dyDescent="0.25">
      <c r="A5200">
        <v>2024</v>
      </c>
      <c r="B5200" t="s">
        <v>3403</v>
      </c>
      <c r="C5200" t="s">
        <v>3409</v>
      </c>
      <c r="D5200" t="s">
        <v>19</v>
      </c>
      <c r="E5200" t="s">
        <v>20</v>
      </c>
      <c r="F5200" t="str">
        <f t="shared" si="176"/>
        <v>43604</v>
      </c>
      <c r="G5200" t="str">
        <f t="shared" si="177"/>
        <v>716619</v>
      </c>
      <c r="H5200" s="2">
        <f>5</f>
        <v>5</v>
      </c>
      <c r="I5200" t="s">
        <v>27</v>
      </c>
      <c r="J5200" t="s">
        <v>34</v>
      </c>
      <c r="K5200" t="str">
        <f>"44009944"</f>
        <v>44009944</v>
      </c>
    </row>
    <row r="5201" spans="1:11" x14ac:dyDescent="0.25">
      <c r="A5201">
        <v>2024</v>
      </c>
      <c r="B5201" t="s">
        <v>3403</v>
      </c>
      <c r="C5201" t="s">
        <v>3409</v>
      </c>
      <c r="D5201" t="s">
        <v>19</v>
      </c>
      <c r="E5201" t="s">
        <v>20</v>
      </c>
      <c r="F5201" t="str">
        <f t="shared" si="176"/>
        <v>43604</v>
      </c>
      <c r="G5201" t="str">
        <f t="shared" si="177"/>
        <v>716619</v>
      </c>
      <c r="H5201" s="2">
        <f>10.05</f>
        <v>10.050000000000001</v>
      </c>
      <c r="I5201" t="s">
        <v>27</v>
      </c>
      <c r="J5201" t="s">
        <v>34</v>
      </c>
      <c r="K5201" t="str">
        <f>"22026029"</f>
        <v>22026029</v>
      </c>
    </row>
    <row r="5202" spans="1:11" x14ac:dyDescent="0.25">
      <c r="A5202">
        <v>2024</v>
      </c>
      <c r="B5202" t="s">
        <v>3403</v>
      </c>
      <c r="C5202" t="s">
        <v>3409</v>
      </c>
      <c r="D5202" t="s">
        <v>19</v>
      </c>
      <c r="E5202" t="s">
        <v>20</v>
      </c>
      <c r="F5202" t="str">
        <f t="shared" si="176"/>
        <v>43604</v>
      </c>
      <c r="G5202" t="str">
        <f t="shared" si="177"/>
        <v>716619</v>
      </c>
      <c r="H5202" s="2">
        <f>7.68</f>
        <v>7.68</v>
      </c>
      <c r="I5202" t="s">
        <v>27</v>
      </c>
      <c r="J5202" t="s">
        <v>34</v>
      </c>
      <c r="K5202" t="str">
        <f>"22025814"</f>
        <v>22025814</v>
      </c>
    </row>
    <row r="5203" spans="1:11" x14ac:dyDescent="0.25">
      <c r="A5203">
        <v>2024</v>
      </c>
      <c r="B5203" t="s">
        <v>3403</v>
      </c>
      <c r="C5203" t="s">
        <v>3409</v>
      </c>
      <c r="D5203" t="s">
        <v>19</v>
      </c>
      <c r="E5203" t="s">
        <v>20</v>
      </c>
      <c r="F5203" t="str">
        <f t="shared" si="176"/>
        <v>43604</v>
      </c>
      <c r="G5203" t="str">
        <f t="shared" si="177"/>
        <v>716619</v>
      </c>
      <c r="H5203" s="2">
        <f>21.63</f>
        <v>21.63</v>
      </c>
      <c r="I5203" t="s">
        <v>27</v>
      </c>
      <c r="J5203" t="s">
        <v>34</v>
      </c>
      <c r="K5203" t="str">
        <f>"33012796"</f>
        <v>33012796</v>
      </c>
    </row>
    <row r="5204" spans="1:11" x14ac:dyDescent="0.25">
      <c r="A5204">
        <v>2024</v>
      </c>
      <c r="B5204" t="s">
        <v>3403</v>
      </c>
      <c r="C5204" t="s">
        <v>3409</v>
      </c>
      <c r="D5204" t="s">
        <v>19</v>
      </c>
      <c r="E5204" t="s">
        <v>20</v>
      </c>
      <c r="F5204" t="str">
        <f t="shared" si="176"/>
        <v>43604</v>
      </c>
      <c r="G5204" t="str">
        <f t="shared" si="177"/>
        <v>716619</v>
      </c>
      <c r="H5204" s="2">
        <f>1.29</f>
        <v>1.29</v>
      </c>
      <c r="I5204" t="s">
        <v>27</v>
      </c>
      <c r="J5204" t="s">
        <v>34</v>
      </c>
      <c r="K5204" t="str">
        <f>"11004632"</f>
        <v>11004632</v>
      </c>
    </row>
    <row r="5205" spans="1:11" x14ac:dyDescent="0.25">
      <c r="A5205">
        <v>2024</v>
      </c>
      <c r="B5205" t="s">
        <v>3403</v>
      </c>
      <c r="C5205" t="s">
        <v>3409</v>
      </c>
      <c r="D5205" t="s">
        <v>19</v>
      </c>
      <c r="E5205" t="s">
        <v>20</v>
      </c>
      <c r="F5205" t="str">
        <f t="shared" si="176"/>
        <v>43604</v>
      </c>
      <c r="G5205" t="str">
        <f t="shared" si="177"/>
        <v>716619</v>
      </c>
      <c r="H5205" s="2">
        <f>19.46</f>
        <v>19.46</v>
      </c>
      <c r="I5205" t="s">
        <v>27</v>
      </c>
      <c r="J5205" t="s">
        <v>34</v>
      </c>
      <c r="K5205" t="str">
        <f>"44010310"</f>
        <v>44010310</v>
      </c>
    </row>
    <row r="5206" spans="1:11" x14ac:dyDescent="0.25">
      <c r="A5206">
        <v>2024</v>
      </c>
      <c r="B5206" t="s">
        <v>3403</v>
      </c>
      <c r="C5206" t="s">
        <v>3409</v>
      </c>
      <c r="D5206" t="s">
        <v>19</v>
      </c>
      <c r="E5206" t="s">
        <v>20</v>
      </c>
      <c r="F5206" t="str">
        <f t="shared" si="176"/>
        <v>43604</v>
      </c>
      <c r="G5206" t="str">
        <f t="shared" si="177"/>
        <v>716619</v>
      </c>
      <c r="H5206" s="2">
        <f>8.69</f>
        <v>8.69</v>
      </c>
      <c r="I5206" t="s">
        <v>27</v>
      </c>
      <c r="J5206" t="s">
        <v>34</v>
      </c>
      <c r="K5206" t="str">
        <f>"44010311"</f>
        <v>44010311</v>
      </c>
    </row>
    <row r="5207" spans="1:11" x14ac:dyDescent="0.25">
      <c r="A5207">
        <v>2024</v>
      </c>
      <c r="B5207" t="s">
        <v>3403</v>
      </c>
      <c r="C5207" t="s">
        <v>3409</v>
      </c>
      <c r="D5207" t="s">
        <v>19</v>
      </c>
      <c r="E5207" t="s">
        <v>20</v>
      </c>
      <c r="F5207" t="str">
        <f t="shared" si="176"/>
        <v>43604</v>
      </c>
      <c r="G5207" t="str">
        <f t="shared" si="177"/>
        <v>716619</v>
      </c>
      <c r="H5207" s="2">
        <f>5.25</f>
        <v>5.25</v>
      </c>
      <c r="I5207" t="s">
        <v>27</v>
      </c>
      <c r="J5207" t="s">
        <v>34</v>
      </c>
      <c r="K5207" t="str">
        <f>"22026359"</f>
        <v>22026359</v>
      </c>
    </row>
    <row r="5208" spans="1:11" x14ac:dyDescent="0.25">
      <c r="A5208">
        <v>2024</v>
      </c>
      <c r="B5208" t="s">
        <v>3403</v>
      </c>
      <c r="C5208" t="s">
        <v>3409</v>
      </c>
      <c r="D5208" t="s">
        <v>19</v>
      </c>
      <c r="E5208" t="s">
        <v>20</v>
      </c>
      <c r="F5208" t="str">
        <f t="shared" si="176"/>
        <v>43604</v>
      </c>
      <c r="G5208" t="str">
        <f t="shared" si="177"/>
        <v>716619</v>
      </c>
      <c r="H5208" s="2">
        <f>8.51</f>
        <v>8.51</v>
      </c>
      <c r="I5208" t="s">
        <v>27</v>
      </c>
      <c r="J5208" t="s">
        <v>34</v>
      </c>
      <c r="K5208" t="str">
        <f>"44010242"</f>
        <v>44010242</v>
      </c>
    </row>
    <row r="5209" spans="1:11" x14ac:dyDescent="0.25">
      <c r="A5209">
        <v>2024</v>
      </c>
      <c r="B5209" t="s">
        <v>3403</v>
      </c>
      <c r="C5209" t="s">
        <v>3409</v>
      </c>
      <c r="D5209" t="s">
        <v>19</v>
      </c>
      <c r="E5209" t="s">
        <v>20</v>
      </c>
      <c r="F5209" t="str">
        <f t="shared" si="176"/>
        <v>43604</v>
      </c>
      <c r="G5209" t="str">
        <f t="shared" si="177"/>
        <v>716619</v>
      </c>
      <c r="H5209" s="2">
        <f>9.51</f>
        <v>9.51</v>
      </c>
      <c r="I5209" t="s">
        <v>27</v>
      </c>
      <c r="J5209" t="s">
        <v>34</v>
      </c>
      <c r="K5209" t="str">
        <f>"44010243"</f>
        <v>44010243</v>
      </c>
    </row>
    <row r="5210" spans="1:11" x14ac:dyDescent="0.25">
      <c r="A5210">
        <v>2024</v>
      </c>
      <c r="B5210" t="s">
        <v>3403</v>
      </c>
      <c r="C5210" t="s">
        <v>3409</v>
      </c>
      <c r="D5210" t="s">
        <v>19</v>
      </c>
      <c r="E5210" t="s">
        <v>20</v>
      </c>
      <c r="F5210" t="str">
        <f t="shared" si="176"/>
        <v>43604</v>
      </c>
      <c r="G5210" t="str">
        <f t="shared" si="177"/>
        <v>716619</v>
      </c>
      <c r="H5210" s="2">
        <f>1.69</f>
        <v>1.69</v>
      </c>
      <c r="I5210" t="s">
        <v>27</v>
      </c>
      <c r="J5210" t="s">
        <v>34</v>
      </c>
      <c r="K5210" t="str">
        <f>"44010244"</f>
        <v>44010244</v>
      </c>
    </row>
    <row r="5211" spans="1:11" x14ac:dyDescent="0.25">
      <c r="A5211">
        <v>2024</v>
      </c>
      <c r="B5211" t="s">
        <v>3403</v>
      </c>
      <c r="C5211" t="s">
        <v>3409</v>
      </c>
      <c r="D5211" t="s">
        <v>19</v>
      </c>
      <c r="E5211" t="s">
        <v>20</v>
      </c>
      <c r="F5211" t="str">
        <f t="shared" si="176"/>
        <v>43604</v>
      </c>
      <c r="G5211" t="str">
        <f t="shared" si="177"/>
        <v>716619</v>
      </c>
      <c r="H5211" s="2">
        <f>35.25</f>
        <v>35.25</v>
      </c>
      <c r="I5211" t="s">
        <v>27</v>
      </c>
      <c r="J5211" t="s">
        <v>34</v>
      </c>
      <c r="K5211" t="str">
        <f>"44010215"</f>
        <v>44010215</v>
      </c>
    </row>
    <row r="5212" spans="1:11" x14ac:dyDescent="0.25">
      <c r="A5212">
        <v>2024</v>
      </c>
      <c r="B5212" t="s">
        <v>3403</v>
      </c>
      <c r="C5212" t="s">
        <v>3409</v>
      </c>
      <c r="D5212" t="s">
        <v>19</v>
      </c>
      <c r="E5212" t="s">
        <v>20</v>
      </c>
      <c r="F5212" t="str">
        <f t="shared" si="176"/>
        <v>43604</v>
      </c>
      <c r="G5212" t="str">
        <f t="shared" si="177"/>
        <v>716619</v>
      </c>
      <c r="H5212" s="2">
        <f>130</f>
        <v>130</v>
      </c>
      <c r="I5212" t="s">
        <v>27</v>
      </c>
      <c r="J5212" t="s">
        <v>34</v>
      </c>
      <c r="K5212" t="str">
        <f>"33012678"</f>
        <v>33012678</v>
      </c>
    </row>
    <row r="5213" spans="1:11" x14ac:dyDescent="0.25">
      <c r="A5213">
        <v>2024</v>
      </c>
      <c r="B5213" t="s">
        <v>3403</v>
      </c>
      <c r="C5213" t="s">
        <v>3409</v>
      </c>
      <c r="D5213" t="s">
        <v>19</v>
      </c>
      <c r="E5213" t="s">
        <v>20</v>
      </c>
      <c r="F5213" t="str">
        <f t="shared" si="176"/>
        <v>43604</v>
      </c>
      <c r="G5213" t="str">
        <f t="shared" si="177"/>
        <v>716619</v>
      </c>
      <c r="H5213" s="2">
        <f>13</f>
        <v>13</v>
      </c>
      <c r="I5213" t="s">
        <v>27</v>
      </c>
      <c r="J5213" t="s">
        <v>34</v>
      </c>
      <c r="K5213" t="str">
        <f>"22026618"</f>
        <v>22026618</v>
      </c>
    </row>
    <row r="5214" spans="1:11" x14ac:dyDescent="0.25">
      <c r="A5214">
        <v>2024</v>
      </c>
      <c r="B5214" t="s">
        <v>3403</v>
      </c>
      <c r="C5214" t="s">
        <v>3409</v>
      </c>
      <c r="D5214" t="s">
        <v>19</v>
      </c>
      <c r="E5214" t="s">
        <v>20</v>
      </c>
      <c r="F5214" t="str">
        <f t="shared" si="176"/>
        <v>43604</v>
      </c>
      <c r="G5214" t="str">
        <f t="shared" si="177"/>
        <v>716619</v>
      </c>
      <c r="H5214" s="2">
        <f>8</f>
        <v>8</v>
      </c>
      <c r="I5214" t="s">
        <v>27</v>
      </c>
      <c r="J5214" t="s">
        <v>34</v>
      </c>
      <c r="K5214" t="str">
        <f>"22026620"</f>
        <v>22026620</v>
      </c>
    </row>
    <row r="5215" spans="1:11" x14ac:dyDescent="0.25">
      <c r="A5215">
        <v>2024</v>
      </c>
      <c r="B5215" t="s">
        <v>3415</v>
      </c>
      <c r="C5215" t="s">
        <v>3416</v>
      </c>
      <c r="D5215" t="s">
        <v>19</v>
      </c>
      <c r="E5215" t="s">
        <v>20</v>
      </c>
      <c r="F5215" t="str">
        <f>"43623"</f>
        <v>43623</v>
      </c>
      <c r="G5215" t="str">
        <f>"Je10112024"</f>
        <v>Je10112024</v>
      </c>
      <c r="H5215" s="2">
        <f>518.1</f>
        <v>518.1</v>
      </c>
      <c r="I5215" t="s">
        <v>15</v>
      </c>
      <c r="J5215" t="s">
        <v>205</v>
      </c>
      <c r="K5215" t="str">
        <f>"60124372"</f>
        <v>60124372</v>
      </c>
    </row>
    <row r="5216" spans="1:11" x14ac:dyDescent="0.25">
      <c r="A5216">
        <v>2024</v>
      </c>
      <c r="B5216" t="s">
        <v>3421</v>
      </c>
      <c r="C5216" t="s">
        <v>1712</v>
      </c>
      <c r="D5216" t="s">
        <v>19</v>
      </c>
      <c r="E5216" t="s">
        <v>20</v>
      </c>
      <c r="F5216" t="str">
        <f>"43606"</f>
        <v>43606</v>
      </c>
      <c r="G5216" t="str">
        <f>"716166"</f>
        <v>716166</v>
      </c>
      <c r="H5216" s="2">
        <f>20</f>
        <v>20</v>
      </c>
      <c r="I5216" t="s">
        <v>27</v>
      </c>
      <c r="J5216" t="s">
        <v>262</v>
      </c>
      <c r="K5216" t="str">
        <f>"42476"</f>
        <v>42476</v>
      </c>
    </row>
    <row r="5217" spans="1:11" x14ac:dyDescent="0.25">
      <c r="A5217">
        <v>2024</v>
      </c>
      <c r="B5217" t="s">
        <v>3422</v>
      </c>
      <c r="C5217" t="s">
        <v>3423</v>
      </c>
      <c r="D5217" t="s">
        <v>19</v>
      </c>
      <c r="E5217" t="s">
        <v>20</v>
      </c>
      <c r="F5217" t="str">
        <f>"43620"</f>
        <v>43620</v>
      </c>
      <c r="G5217" t="str">
        <f>"Je10112024"</f>
        <v>Je10112024</v>
      </c>
      <c r="H5217" s="2">
        <f>88</f>
        <v>88</v>
      </c>
      <c r="I5217" t="s">
        <v>15</v>
      </c>
      <c r="J5217" t="s">
        <v>205</v>
      </c>
      <c r="K5217" t="str">
        <f>"60128882"</f>
        <v>60128882</v>
      </c>
    </row>
    <row r="5218" spans="1:11" x14ac:dyDescent="0.25">
      <c r="A5218">
        <v>2024</v>
      </c>
      <c r="B5218" t="s">
        <v>3436</v>
      </c>
      <c r="C5218" t="s">
        <v>3437</v>
      </c>
      <c r="D5218" t="s">
        <v>50</v>
      </c>
      <c r="E5218" t="s">
        <v>20</v>
      </c>
      <c r="F5218" t="str">
        <f>"43560-8601"</f>
        <v>43560-8601</v>
      </c>
      <c r="G5218" t="str">
        <f t="shared" ref="G5218:G5223" si="178">"716165"</f>
        <v>716165</v>
      </c>
      <c r="H5218" s="2">
        <f>10</f>
        <v>10</v>
      </c>
      <c r="I5218" t="s">
        <v>27</v>
      </c>
      <c r="J5218" t="s">
        <v>34</v>
      </c>
      <c r="K5218" t="str">
        <f>"123021"</f>
        <v>123021</v>
      </c>
    </row>
    <row r="5219" spans="1:11" x14ac:dyDescent="0.25">
      <c r="A5219">
        <v>2024</v>
      </c>
      <c r="B5219" t="s">
        <v>3448</v>
      </c>
      <c r="C5219" t="s">
        <v>3449</v>
      </c>
      <c r="D5219" t="s">
        <v>19</v>
      </c>
      <c r="E5219" t="s">
        <v>20</v>
      </c>
      <c r="F5219" t="str">
        <f>"43617-2220"</f>
        <v>43617-2220</v>
      </c>
      <c r="G5219" t="str">
        <f t="shared" si="178"/>
        <v>716165</v>
      </c>
      <c r="H5219" s="2">
        <f>10</f>
        <v>10</v>
      </c>
      <c r="I5219" t="s">
        <v>27</v>
      </c>
      <c r="J5219" t="s">
        <v>34</v>
      </c>
      <c r="K5219" t="str">
        <f>"122946"</f>
        <v>122946</v>
      </c>
    </row>
    <row r="5220" spans="1:11" x14ac:dyDescent="0.25">
      <c r="A5220">
        <v>2024</v>
      </c>
      <c r="B5220" t="s">
        <v>3469</v>
      </c>
      <c r="C5220" t="s">
        <v>3470</v>
      </c>
      <c r="D5220" t="s">
        <v>19</v>
      </c>
      <c r="E5220" t="s">
        <v>20</v>
      </c>
      <c r="F5220" t="str">
        <f>"43609-2212"</f>
        <v>43609-2212</v>
      </c>
      <c r="G5220" t="str">
        <f t="shared" si="178"/>
        <v>716165</v>
      </c>
      <c r="H5220" s="2">
        <f>10</f>
        <v>10</v>
      </c>
      <c r="I5220" t="s">
        <v>27</v>
      </c>
      <c r="J5220" t="s">
        <v>34</v>
      </c>
      <c r="K5220" t="str">
        <f>"121313"</f>
        <v>121313</v>
      </c>
    </row>
    <row r="5221" spans="1:11" x14ac:dyDescent="0.25">
      <c r="A5221">
        <v>2024</v>
      </c>
      <c r="B5221" t="s">
        <v>3473</v>
      </c>
      <c r="C5221" t="s">
        <v>3474</v>
      </c>
      <c r="D5221" t="s">
        <v>19</v>
      </c>
      <c r="E5221" t="s">
        <v>20</v>
      </c>
      <c r="F5221" t="str">
        <f>"43612-2130"</f>
        <v>43612-2130</v>
      </c>
      <c r="G5221" t="str">
        <f t="shared" si="178"/>
        <v>716165</v>
      </c>
      <c r="H5221" s="2">
        <f>60</f>
        <v>60</v>
      </c>
      <c r="I5221" t="s">
        <v>27</v>
      </c>
      <c r="J5221" t="s">
        <v>34</v>
      </c>
      <c r="K5221" t="str">
        <f>"122724"</f>
        <v>122724</v>
      </c>
    </row>
    <row r="5222" spans="1:11" x14ac:dyDescent="0.25">
      <c r="A5222">
        <v>2024</v>
      </c>
      <c r="B5222" t="s">
        <v>3477</v>
      </c>
      <c r="C5222" t="s">
        <v>3478</v>
      </c>
      <c r="D5222" t="s">
        <v>19</v>
      </c>
      <c r="E5222" t="s">
        <v>20</v>
      </c>
      <c r="F5222" t="str">
        <f>"43620-1146"</f>
        <v>43620-1146</v>
      </c>
      <c r="G5222" t="str">
        <f t="shared" si="178"/>
        <v>716165</v>
      </c>
      <c r="H5222" s="2">
        <f>10</f>
        <v>10</v>
      </c>
      <c r="I5222" t="s">
        <v>27</v>
      </c>
      <c r="J5222" t="s">
        <v>34</v>
      </c>
      <c r="K5222" t="str">
        <f>"124714"</f>
        <v>124714</v>
      </c>
    </row>
    <row r="5223" spans="1:11" x14ac:dyDescent="0.25">
      <c r="A5223">
        <v>2024</v>
      </c>
      <c r="B5223" t="s">
        <v>3504</v>
      </c>
      <c r="C5223" t="s">
        <v>3505</v>
      </c>
      <c r="D5223" t="s">
        <v>19</v>
      </c>
      <c r="E5223" t="s">
        <v>20</v>
      </c>
      <c r="F5223" t="str">
        <f>"43612-3668"</f>
        <v>43612-3668</v>
      </c>
      <c r="G5223" t="str">
        <f t="shared" si="178"/>
        <v>716165</v>
      </c>
      <c r="H5223" s="2">
        <f>70</f>
        <v>70</v>
      </c>
      <c r="I5223" t="s">
        <v>27</v>
      </c>
      <c r="J5223" t="s">
        <v>34</v>
      </c>
      <c r="K5223" t="str">
        <f>"124115"</f>
        <v>124115</v>
      </c>
    </row>
    <row r="5224" spans="1:11" x14ac:dyDescent="0.25">
      <c r="A5224">
        <v>2024</v>
      </c>
      <c r="B5224" t="s">
        <v>3508</v>
      </c>
      <c r="C5224" t="s">
        <v>3509</v>
      </c>
      <c r="D5224" t="s">
        <v>19</v>
      </c>
      <c r="E5224" t="s">
        <v>20</v>
      </c>
      <c r="F5224" t="str">
        <f>"43609"</f>
        <v>43609</v>
      </c>
      <c r="G5224" t="str">
        <f>"719211"</f>
        <v>719211</v>
      </c>
      <c r="H5224" s="2">
        <f>135</f>
        <v>135</v>
      </c>
      <c r="I5224" t="s">
        <v>27</v>
      </c>
      <c r="J5224" t="s">
        <v>200</v>
      </c>
      <c r="K5224" t="str">
        <f>"N/A"</f>
        <v>N/A</v>
      </c>
    </row>
    <row r="5225" spans="1:11" x14ac:dyDescent="0.25">
      <c r="A5225">
        <v>2024</v>
      </c>
      <c r="B5225" t="s">
        <v>3537</v>
      </c>
      <c r="C5225" t="s">
        <v>1004</v>
      </c>
      <c r="D5225" t="s">
        <v>1005</v>
      </c>
      <c r="E5225" t="s">
        <v>20</v>
      </c>
      <c r="F5225" t="str">
        <f t="shared" ref="F5225:F5230" si="179">"44139"</f>
        <v>44139</v>
      </c>
      <c r="G5225" t="str">
        <f t="shared" ref="G5225:G5231" si="180">"716166"</f>
        <v>716166</v>
      </c>
      <c r="H5225" s="2">
        <f>177.91</f>
        <v>177.91</v>
      </c>
      <c r="I5225" t="s">
        <v>27</v>
      </c>
      <c r="J5225" t="s">
        <v>262</v>
      </c>
      <c r="K5225" t="str">
        <f>"43549"</f>
        <v>43549</v>
      </c>
    </row>
    <row r="5226" spans="1:11" x14ac:dyDescent="0.25">
      <c r="A5226">
        <v>2024</v>
      </c>
      <c r="B5226" t="s">
        <v>3537</v>
      </c>
      <c r="C5226" t="s">
        <v>1004</v>
      </c>
      <c r="D5226" t="s">
        <v>1005</v>
      </c>
      <c r="E5226" t="s">
        <v>20</v>
      </c>
      <c r="F5226" t="str">
        <f t="shared" si="179"/>
        <v>44139</v>
      </c>
      <c r="G5226" t="str">
        <f t="shared" si="180"/>
        <v>716166</v>
      </c>
      <c r="H5226" s="2">
        <f>109.6</f>
        <v>109.6</v>
      </c>
      <c r="I5226" t="s">
        <v>27</v>
      </c>
      <c r="J5226" t="s">
        <v>262</v>
      </c>
      <c r="K5226" t="str">
        <f>"42401"</f>
        <v>42401</v>
      </c>
    </row>
    <row r="5227" spans="1:11" x14ac:dyDescent="0.25">
      <c r="A5227">
        <v>2024</v>
      </c>
      <c r="B5227" t="s">
        <v>3537</v>
      </c>
      <c r="C5227" t="s">
        <v>1004</v>
      </c>
      <c r="D5227" t="s">
        <v>1005</v>
      </c>
      <c r="E5227" t="s">
        <v>20</v>
      </c>
      <c r="F5227" t="str">
        <f t="shared" si="179"/>
        <v>44139</v>
      </c>
      <c r="G5227" t="str">
        <f t="shared" si="180"/>
        <v>716166</v>
      </c>
      <c r="H5227" s="2">
        <f>77.54</f>
        <v>77.540000000000006</v>
      </c>
      <c r="I5227" t="s">
        <v>27</v>
      </c>
      <c r="J5227" t="s">
        <v>262</v>
      </c>
      <c r="K5227" t="str">
        <f>"42228"</f>
        <v>42228</v>
      </c>
    </row>
    <row r="5228" spans="1:11" x14ac:dyDescent="0.25">
      <c r="A5228">
        <v>2024</v>
      </c>
      <c r="B5228" t="s">
        <v>3537</v>
      </c>
      <c r="C5228" t="s">
        <v>3123</v>
      </c>
      <c r="D5228" t="s">
        <v>1005</v>
      </c>
      <c r="E5228" t="s">
        <v>20</v>
      </c>
      <c r="F5228" t="str">
        <f t="shared" si="179"/>
        <v>44139</v>
      </c>
      <c r="G5228" t="str">
        <f t="shared" si="180"/>
        <v>716166</v>
      </c>
      <c r="H5228" s="2">
        <f>398.9</f>
        <v>398.9</v>
      </c>
      <c r="I5228" t="s">
        <v>27</v>
      </c>
      <c r="J5228" t="s">
        <v>262</v>
      </c>
      <c r="K5228" t="str">
        <f>"42340"</f>
        <v>42340</v>
      </c>
    </row>
    <row r="5229" spans="1:11" x14ac:dyDescent="0.25">
      <c r="A5229">
        <v>2024</v>
      </c>
      <c r="B5229" t="s">
        <v>3537</v>
      </c>
      <c r="C5229" t="s">
        <v>1004</v>
      </c>
      <c r="D5229" t="s">
        <v>1005</v>
      </c>
      <c r="E5229" t="s">
        <v>20</v>
      </c>
      <c r="F5229" t="str">
        <f t="shared" si="179"/>
        <v>44139</v>
      </c>
      <c r="G5229" t="str">
        <f t="shared" si="180"/>
        <v>716166</v>
      </c>
      <c r="H5229" s="2">
        <f>131.07</f>
        <v>131.07</v>
      </c>
      <c r="I5229" t="s">
        <v>27</v>
      </c>
      <c r="J5229" t="s">
        <v>262</v>
      </c>
      <c r="K5229" t="str">
        <f>"41976"</f>
        <v>41976</v>
      </c>
    </row>
    <row r="5230" spans="1:11" x14ac:dyDescent="0.25">
      <c r="A5230">
        <v>2024</v>
      </c>
      <c r="B5230" t="s">
        <v>3537</v>
      </c>
      <c r="C5230" t="s">
        <v>1004</v>
      </c>
      <c r="D5230" t="s">
        <v>1005</v>
      </c>
      <c r="E5230" t="s">
        <v>20</v>
      </c>
      <c r="F5230" t="str">
        <f t="shared" si="179"/>
        <v>44139</v>
      </c>
      <c r="G5230" t="str">
        <f t="shared" si="180"/>
        <v>716166</v>
      </c>
      <c r="H5230" s="2">
        <f>142.61</f>
        <v>142.61000000000001</v>
      </c>
      <c r="I5230" t="s">
        <v>27</v>
      </c>
      <c r="J5230" t="s">
        <v>262</v>
      </c>
      <c r="K5230" t="str">
        <f>"42026"</f>
        <v>42026</v>
      </c>
    </row>
    <row r="5231" spans="1:11" x14ac:dyDescent="0.25">
      <c r="A5231">
        <v>2024</v>
      </c>
      <c r="B5231" t="s">
        <v>3539</v>
      </c>
      <c r="C5231" t="s">
        <v>3540</v>
      </c>
      <c r="D5231" t="s">
        <v>19</v>
      </c>
      <c r="E5231" t="s">
        <v>20</v>
      </c>
      <c r="F5231" t="str">
        <f>"43620"</f>
        <v>43620</v>
      </c>
      <c r="G5231" t="str">
        <f t="shared" si="180"/>
        <v>716166</v>
      </c>
      <c r="H5231" s="2">
        <f>4.8</f>
        <v>4.8</v>
      </c>
      <c r="I5231" t="s">
        <v>27</v>
      </c>
      <c r="J5231" t="s">
        <v>262</v>
      </c>
      <c r="K5231" t="str">
        <f>"42371"</f>
        <v>42371</v>
      </c>
    </row>
    <row r="5232" spans="1:11" x14ac:dyDescent="0.25">
      <c r="A5232">
        <v>2024</v>
      </c>
      <c r="B5232" t="s">
        <v>3549</v>
      </c>
      <c r="C5232" t="s">
        <v>3550</v>
      </c>
      <c r="D5232" t="s">
        <v>19</v>
      </c>
      <c r="E5232" t="s">
        <v>20</v>
      </c>
      <c r="F5232" t="str">
        <f>"43614-3531"</f>
        <v>43614-3531</v>
      </c>
      <c r="G5232" t="str">
        <f>"716165"</f>
        <v>716165</v>
      </c>
      <c r="H5232" s="2">
        <f>10</f>
        <v>10</v>
      </c>
      <c r="I5232" t="s">
        <v>27</v>
      </c>
      <c r="J5232" t="s">
        <v>34</v>
      </c>
      <c r="K5232" t="str">
        <f>"121058"</f>
        <v>121058</v>
      </c>
    </row>
    <row r="5233" spans="1:11" x14ac:dyDescent="0.25">
      <c r="A5233">
        <v>2024</v>
      </c>
      <c r="B5233" t="s">
        <v>3560</v>
      </c>
      <c r="C5233" t="s">
        <v>3561</v>
      </c>
      <c r="D5233" t="s">
        <v>19</v>
      </c>
      <c r="E5233" t="s">
        <v>20</v>
      </c>
      <c r="F5233" t="str">
        <f>"43623"</f>
        <v>43623</v>
      </c>
      <c r="G5233" t="str">
        <f>"716619"</f>
        <v>716619</v>
      </c>
      <c r="H5233" s="2">
        <f>20</f>
        <v>20</v>
      </c>
      <c r="I5233" t="s">
        <v>27</v>
      </c>
      <c r="J5233" t="s">
        <v>34</v>
      </c>
      <c r="K5233" t="str">
        <f>"22026143"</f>
        <v>22026143</v>
      </c>
    </row>
    <row r="5234" spans="1:11" x14ac:dyDescent="0.25">
      <c r="A5234">
        <v>2024</v>
      </c>
      <c r="B5234" t="s">
        <v>3597</v>
      </c>
      <c r="C5234" t="s">
        <v>3598</v>
      </c>
      <c r="D5234" t="s">
        <v>19</v>
      </c>
      <c r="E5234" t="s">
        <v>20</v>
      </c>
      <c r="F5234" t="str">
        <f>"43608"</f>
        <v>43608</v>
      </c>
      <c r="G5234" t="str">
        <f>"716619"</f>
        <v>716619</v>
      </c>
      <c r="H5234" s="2">
        <f>5</f>
        <v>5</v>
      </c>
      <c r="I5234" t="s">
        <v>27</v>
      </c>
      <c r="J5234" t="s">
        <v>34</v>
      </c>
      <c r="K5234" t="str">
        <f>"44010305"</f>
        <v>44010305</v>
      </c>
    </row>
    <row r="5235" spans="1:11" x14ac:dyDescent="0.25">
      <c r="A5235">
        <v>2024</v>
      </c>
      <c r="B5235" t="s">
        <v>3607</v>
      </c>
      <c r="C5235" t="s">
        <v>3606</v>
      </c>
      <c r="D5235" t="s">
        <v>19</v>
      </c>
      <c r="E5235" t="s">
        <v>20</v>
      </c>
      <c r="F5235" t="str">
        <f>"43623-1525"</f>
        <v>43623-1525</v>
      </c>
      <c r="G5235" t="str">
        <f>"716165"</f>
        <v>716165</v>
      </c>
      <c r="H5235" s="2">
        <f>10</f>
        <v>10</v>
      </c>
      <c r="I5235" t="s">
        <v>27</v>
      </c>
      <c r="J5235" t="s">
        <v>34</v>
      </c>
      <c r="K5235" t="str">
        <f>"123442"</f>
        <v>123442</v>
      </c>
    </row>
    <row r="5236" spans="1:11" x14ac:dyDescent="0.25">
      <c r="A5236">
        <v>2024</v>
      </c>
      <c r="B5236" t="s">
        <v>3608</v>
      </c>
      <c r="C5236" t="s">
        <v>3609</v>
      </c>
      <c r="D5236" t="s">
        <v>105</v>
      </c>
      <c r="E5236" t="s">
        <v>20</v>
      </c>
      <c r="F5236" t="str">
        <f>"43528-9652"</f>
        <v>43528-9652</v>
      </c>
      <c r="G5236" t="str">
        <f>"716165"</f>
        <v>716165</v>
      </c>
      <c r="H5236" s="2">
        <f>80</f>
        <v>80</v>
      </c>
      <c r="I5236" t="s">
        <v>27</v>
      </c>
      <c r="J5236" t="s">
        <v>34</v>
      </c>
      <c r="K5236" t="str">
        <f>"122391"</f>
        <v>122391</v>
      </c>
    </row>
    <row r="5237" spans="1:11" x14ac:dyDescent="0.25">
      <c r="A5237">
        <v>2024</v>
      </c>
      <c r="B5237" t="s">
        <v>3610</v>
      </c>
      <c r="C5237" t="s">
        <v>3611</v>
      </c>
      <c r="D5237" t="s">
        <v>19</v>
      </c>
      <c r="E5237" t="s">
        <v>20</v>
      </c>
      <c r="F5237" t="str">
        <f>"43612-2712"</f>
        <v>43612-2712</v>
      </c>
      <c r="G5237" t="str">
        <f>"716165"</f>
        <v>716165</v>
      </c>
      <c r="H5237" s="2">
        <f>20</f>
        <v>20</v>
      </c>
      <c r="I5237" t="s">
        <v>27</v>
      </c>
      <c r="J5237" t="s">
        <v>34</v>
      </c>
      <c r="K5237" t="str">
        <f>"123583"</f>
        <v>123583</v>
      </c>
    </row>
    <row r="5238" spans="1:11" x14ac:dyDescent="0.25">
      <c r="A5238">
        <v>2024</v>
      </c>
      <c r="B5238" t="s">
        <v>3630</v>
      </c>
      <c r="C5238" t="s">
        <v>3631</v>
      </c>
      <c r="D5238" t="s">
        <v>19</v>
      </c>
      <c r="E5238" t="s">
        <v>20</v>
      </c>
      <c r="F5238" t="str">
        <f>"43615"</f>
        <v>43615</v>
      </c>
      <c r="G5238" t="str">
        <f>"719211"</f>
        <v>719211</v>
      </c>
      <c r="H5238" s="2">
        <f>135</f>
        <v>135</v>
      </c>
      <c r="I5238" t="s">
        <v>27</v>
      </c>
      <c r="J5238" t="s">
        <v>200</v>
      </c>
      <c r="K5238" t="str">
        <f>"N/A"</f>
        <v>N/A</v>
      </c>
    </row>
    <row r="5239" spans="1:11" x14ac:dyDescent="0.25">
      <c r="A5239">
        <v>2024</v>
      </c>
      <c r="B5239" t="s">
        <v>3632</v>
      </c>
      <c r="C5239" t="s">
        <v>3633</v>
      </c>
      <c r="D5239" t="s">
        <v>19</v>
      </c>
      <c r="E5239" t="s">
        <v>20</v>
      </c>
      <c r="F5239" t="str">
        <f>"43604"</f>
        <v>43604</v>
      </c>
      <c r="G5239" t="str">
        <f>"Je03262024"</f>
        <v>Je03262024</v>
      </c>
      <c r="H5239" s="2">
        <f>649.28</f>
        <v>649.28</v>
      </c>
      <c r="I5239" t="s">
        <v>15</v>
      </c>
      <c r="J5239" t="s">
        <v>21</v>
      </c>
      <c r="K5239" t="str">
        <f>"60111230"</f>
        <v>60111230</v>
      </c>
    </row>
    <row r="5240" spans="1:11" x14ac:dyDescent="0.25">
      <c r="A5240">
        <v>2024</v>
      </c>
      <c r="B5240" t="s">
        <v>3650</v>
      </c>
      <c r="C5240" t="s">
        <v>3651</v>
      </c>
      <c r="D5240" t="s">
        <v>19</v>
      </c>
      <c r="E5240" t="s">
        <v>20</v>
      </c>
      <c r="F5240" t="str">
        <f>"43611-3308"</f>
        <v>43611-3308</v>
      </c>
      <c r="G5240" t="str">
        <f>"716165"</f>
        <v>716165</v>
      </c>
      <c r="H5240" s="2">
        <f>10</f>
        <v>10</v>
      </c>
      <c r="I5240" t="s">
        <v>27</v>
      </c>
      <c r="J5240" t="s">
        <v>34</v>
      </c>
      <c r="K5240" t="str">
        <f>"123031"</f>
        <v>123031</v>
      </c>
    </row>
    <row r="5241" spans="1:11" x14ac:dyDescent="0.25">
      <c r="A5241">
        <v>2024</v>
      </c>
      <c r="B5241" t="s">
        <v>3656</v>
      </c>
      <c r="C5241" t="s">
        <v>3657</v>
      </c>
      <c r="D5241" t="s">
        <v>3658</v>
      </c>
      <c r="E5241" t="s">
        <v>20</v>
      </c>
      <c r="F5241" t="str">
        <f>"44512"</f>
        <v>44512</v>
      </c>
      <c r="G5241" t="str">
        <f>"716166"</f>
        <v>716166</v>
      </c>
      <c r="H5241" s="2">
        <f>1313.5</f>
        <v>1313.5</v>
      </c>
      <c r="I5241" t="s">
        <v>27</v>
      </c>
      <c r="J5241" t="s">
        <v>262</v>
      </c>
      <c r="K5241" t="str">
        <f>"43444"</f>
        <v>43444</v>
      </c>
    </row>
    <row r="5242" spans="1:11" x14ac:dyDescent="0.25">
      <c r="A5242">
        <v>2024</v>
      </c>
      <c r="B5242" t="s">
        <v>3669</v>
      </c>
      <c r="C5242" t="s">
        <v>3670</v>
      </c>
      <c r="D5242" t="s">
        <v>19</v>
      </c>
      <c r="E5242" t="s">
        <v>20</v>
      </c>
      <c r="F5242" t="str">
        <f>"43614"</f>
        <v>43614</v>
      </c>
      <c r="G5242" t="str">
        <f>"Je12122024"</f>
        <v>Je12122024</v>
      </c>
      <c r="H5242" s="2">
        <f>70</f>
        <v>70</v>
      </c>
      <c r="I5242" t="s">
        <v>15</v>
      </c>
      <c r="J5242" t="s">
        <v>1326</v>
      </c>
      <c r="K5242" t="str">
        <f>"60136987"</f>
        <v>60136987</v>
      </c>
    </row>
    <row r="5243" spans="1:11" x14ac:dyDescent="0.25">
      <c r="A5243">
        <v>2024</v>
      </c>
      <c r="B5243" t="s">
        <v>3688</v>
      </c>
      <c r="C5243" t="s">
        <v>3689</v>
      </c>
      <c r="D5243" t="s">
        <v>19</v>
      </c>
      <c r="E5243" t="s">
        <v>20</v>
      </c>
      <c r="F5243" t="str">
        <f>"43604"</f>
        <v>43604</v>
      </c>
      <c r="G5243" t="str">
        <f t="shared" ref="G5243:G5251" si="181">"716165"</f>
        <v>716165</v>
      </c>
      <c r="H5243" s="2">
        <f>10</f>
        <v>10</v>
      </c>
      <c r="I5243" t="s">
        <v>27</v>
      </c>
      <c r="J5243" t="s">
        <v>34</v>
      </c>
      <c r="K5243" t="str">
        <f>"122870"</f>
        <v>122870</v>
      </c>
    </row>
    <row r="5244" spans="1:11" x14ac:dyDescent="0.25">
      <c r="A5244">
        <v>2024</v>
      </c>
      <c r="B5244" t="s">
        <v>3696</v>
      </c>
      <c r="C5244" t="s">
        <v>3697</v>
      </c>
      <c r="D5244" t="s">
        <v>164</v>
      </c>
      <c r="E5244" t="s">
        <v>20</v>
      </c>
      <c r="F5244" t="str">
        <f>"43558-9396"</f>
        <v>43558-9396</v>
      </c>
      <c r="G5244" t="str">
        <f t="shared" si="181"/>
        <v>716165</v>
      </c>
      <c r="H5244" s="2">
        <f>10</f>
        <v>10</v>
      </c>
      <c r="I5244" t="s">
        <v>27</v>
      </c>
      <c r="J5244" t="s">
        <v>34</v>
      </c>
      <c r="K5244" t="str">
        <f>"121867"</f>
        <v>121867</v>
      </c>
    </row>
    <row r="5245" spans="1:11" x14ac:dyDescent="0.25">
      <c r="A5245">
        <v>2024</v>
      </c>
      <c r="B5245" t="s">
        <v>3714</v>
      </c>
      <c r="C5245" t="s">
        <v>3715</v>
      </c>
      <c r="D5245" t="s">
        <v>50</v>
      </c>
      <c r="E5245" t="s">
        <v>20</v>
      </c>
      <c r="F5245" t="str">
        <f>"43560-2141"</f>
        <v>43560-2141</v>
      </c>
      <c r="G5245" t="str">
        <f t="shared" si="181"/>
        <v>716165</v>
      </c>
      <c r="H5245" s="2">
        <f>10</f>
        <v>10</v>
      </c>
      <c r="I5245" t="s">
        <v>27</v>
      </c>
      <c r="J5245" t="s">
        <v>34</v>
      </c>
      <c r="K5245" t="str">
        <f>"124960"</f>
        <v>124960</v>
      </c>
    </row>
    <row r="5246" spans="1:11" x14ac:dyDescent="0.25">
      <c r="A5246">
        <v>2024</v>
      </c>
      <c r="B5246" t="s">
        <v>3720</v>
      </c>
      <c r="C5246" t="s">
        <v>3721</v>
      </c>
      <c r="D5246" t="s">
        <v>19</v>
      </c>
      <c r="E5246" t="s">
        <v>20</v>
      </c>
      <c r="F5246" t="str">
        <f>"43617-1220"</f>
        <v>43617-1220</v>
      </c>
      <c r="G5246" t="str">
        <f t="shared" si="181"/>
        <v>716165</v>
      </c>
      <c r="H5246" s="2">
        <f>10</f>
        <v>10</v>
      </c>
      <c r="I5246" t="s">
        <v>27</v>
      </c>
      <c r="J5246" t="s">
        <v>34</v>
      </c>
      <c r="K5246" t="str">
        <f>"124909"</f>
        <v>124909</v>
      </c>
    </row>
    <row r="5247" spans="1:11" x14ac:dyDescent="0.25">
      <c r="A5247">
        <v>2024</v>
      </c>
      <c r="B5247" t="s">
        <v>3722</v>
      </c>
      <c r="C5247" t="s">
        <v>3723</v>
      </c>
      <c r="D5247" t="s">
        <v>125</v>
      </c>
      <c r="E5247" t="s">
        <v>20</v>
      </c>
      <c r="F5247" t="str">
        <f>"43537-2031"</f>
        <v>43537-2031</v>
      </c>
      <c r="G5247" t="str">
        <f t="shared" si="181"/>
        <v>716165</v>
      </c>
      <c r="H5247" s="2">
        <f>20</f>
        <v>20</v>
      </c>
      <c r="I5247" t="s">
        <v>27</v>
      </c>
      <c r="J5247" t="s">
        <v>34</v>
      </c>
      <c r="K5247" t="str">
        <f>"122137"</f>
        <v>122137</v>
      </c>
    </row>
    <row r="5248" spans="1:11" x14ac:dyDescent="0.25">
      <c r="A5248">
        <v>2024</v>
      </c>
      <c r="B5248" t="s">
        <v>3724</v>
      </c>
      <c r="C5248" t="s">
        <v>3725</v>
      </c>
      <c r="D5248" t="s">
        <v>19</v>
      </c>
      <c r="E5248" t="s">
        <v>20</v>
      </c>
      <c r="F5248" t="str">
        <f>"43613"</f>
        <v>43613</v>
      </c>
      <c r="G5248" t="str">
        <f t="shared" si="181"/>
        <v>716165</v>
      </c>
      <c r="H5248" s="2">
        <f>10</f>
        <v>10</v>
      </c>
      <c r="I5248" t="s">
        <v>27</v>
      </c>
      <c r="J5248" t="s">
        <v>34</v>
      </c>
      <c r="K5248" t="str">
        <f>"124003"</f>
        <v>124003</v>
      </c>
    </row>
    <row r="5249" spans="1:11" x14ac:dyDescent="0.25">
      <c r="A5249">
        <v>2024</v>
      </c>
      <c r="B5249" t="s">
        <v>3734</v>
      </c>
      <c r="C5249" t="s">
        <v>3735</v>
      </c>
      <c r="D5249" t="s">
        <v>1299</v>
      </c>
      <c r="E5249" t="s">
        <v>20</v>
      </c>
      <c r="F5249" t="str">
        <f>"43504-9730"</f>
        <v>43504-9730</v>
      </c>
      <c r="G5249" t="str">
        <f t="shared" si="181"/>
        <v>716165</v>
      </c>
      <c r="H5249" s="2">
        <f>10</f>
        <v>10</v>
      </c>
      <c r="I5249" t="s">
        <v>27</v>
      </c>
      <c r="J5249" t="s">
        <v>34</v>
      </c>
      <c r="K5249" t="str">
        <f>"123939"</f>
        <v>123939</v>
      </c>
    </row>
    <row r="5250" spans="1:11" x14ac:dyDescent="0.25">
      <c r="A5250">
        <v>2024</v>
      </c>
      <c r="B5250" t="s">
        <v>3736</v>
      </c>
      <c r="C5250" t="s">
        <v>3737</v>
      </c>
      <c r="D5250" t="s">
        <v>323</v>
      </c>
      <c r="E5250" t="s">
        <v>20</v>
      </c>
      <c r="F5250" t="str">
        <f>"43571-9098"</f>
        <v>43571-9098</v>
      </c>
      <c r="G5250" t="str">
        <f t="shared" si="181"/>
        <v>716165</v>
      </c>
      <c r="H5250" s="2">
        <f>40</f>
        <v>40</v>
      </c>
      <c r="I5250" t="s">
        <v>27</v>
      </c>
      <c r="J5250" t="s">
        <v>34</v>
      </c>
      <c r="K5250" t="str">
        <f>"122340"</f>
        <v>122340</v>
      </c>
    </row>
    <row r="5251" spans="1:11" x14ac:dyDescent="0.25">
      <c r="A5251">
        <v>2024</v>
      </c>
      <c r="B5251" t="s">
        <v>3742</v>
      </c>
      <c r="C5251" t="s">
        <v>3743</v>
      </c>
      <c r="D5251" t="s">
        <v>19</v>
      </c>
      <c r="E5251" t="s">
        <v>20</v>
      </c>
      <c r="F5251" t="str">
        <f>"43605-2284"</f>
        <v>43605-2284</v>
      </c>
      <c r="G5251" t="str">
        <f t="shared" si="181"/>
        <v>716165</v>
      </c>
      <c r="H5251" s="2">
        <f>30</f>
        <v>30</v>
      </c>
      <c r="I5251" t="s">
        <v>27</v>
      </c>
      <c r="J5251" t="s">
        <v>34</v>
      </c>
      <c r="K5251" t="str">
        <f>"122025"</f>
        <v>122025</v>
      </c>
    </row>
    <row r="5252" spans="1:11" x14ac:dyDescent="0.25">
      <c r="A5252">
        <v>2024</v>
      </c>
      <c r="B5252" t="s">
        <v>3754</v>
      </c>
      <c r="C5252" t="s">
        <v>3755</v>
      </c>
      <c r="D5252" t="s">
        <v>3756</v>
      </c>
      <c r="E5252" t="s">
        <v>1837</v>
      </c>
      <c r="F5252" t="str">
        <f>"10005"</f>
        <v>10005</v>
      </c>
      <c r="G5252" t="str">
        <f>"716166"</f>
        <v>716166</v>
      </c>
      <c r="H5252" s="2">
        <f>2.48</f>
        <v>2.48</v>
      </c>
      <c r="I5252" t="s">
        <v>27</v>
      </c>
      <c r="J5252" t="s">
        <v>262</v>
      </c>
      <c r="K5252" t="str">
        <f>"42061"</f>
        <v>42061</v>
      </c>
    </row>
    <row r="5253" spans="1:11" x14ac:dyDescent="0.25">
      <c r="A5253">
        <v>2024</v>
      </c>
      <c r="B5253" t="s">
        <v>3757</v>
      </c>
      <c r="C5253" t="s">
        <v>3758</v>
      </c>
      <c r="D5253" t="s">
        <v>19</v>
      </c>
      <c r="E5253" t="s">
        <v>20</v>
      </c>
      <c r="F5253" t="str">
        <f>"43614-5423"</f>
        <v>43614-5423</v>
      </c>
      <c r="G5253" t="str">
        <f>"716165"</f>
        <v>716165</v>
      </c>
      <c r="H5253" s="2">
        <f>10</f>
        <v>10</v>
      </c>
      <c r="I5253" t="s">
        <v>27</v>
      </c>
      <c r="J5253" t="s">
        <v>34</v>
      </c>
      <c r="K5253" t="str">
        <f>"122633"</f>
        <v>122633</v>
      </c>
    </row>
    <row r="5254" spans="1:11" x14ac:dyDescent="0.25">
      <c r="A5254">
        <v>2024</v>
      </c>
      <c r="B5254" t="s">
        <v>3761</v>
      </c>
      <c r="C5254" t="s">
        <v>3762</v>
      </c>
      <c r="D5254" t="s">
        <v>19</v>
      </c>
      <c r="E5254" t="s">
        <v>20</v>
      </c>
      <c r="F5254" t="str">
        <f>"43614-1223"</f>
        <v>43614-1223</v>
      </c>
      <c r="G5254" t="str">
        <f>"716165"</f>
        <v>716165</v>
      </c>
      <c r="H5254" s="2">
        <f>20</f>
        <v>20</v>
      </c>
      <c r="I5254" t="s">
        <v>27</v>
      </c>
      <c r="J5254" t="s">
        <v>34</v>
      </c>
      <c r="K5254" t="str">
        <f>"122857"</f>
        <v>122857</v>
      </c>
    </row>
    <row r="5255" spans="1:11" x14ac:dyDescent="0.25">
      <c r="A5255">
        <v>2024</v>
      </c>
      <c r="B5255" t="s">
        <v>3771</v>
      </c>
      <c r="C5255" t="s">
        <v>3772</v>
      </c>
      <c r="D5255" t="s">
        <v>19</v>
      </c>
      <c r="E5255" t="s">
        <v>20</v>
      </c>
      <c r="F5255" t="str">
        <f>"43605-2710"</f>
        <v>43605-2710</v>
      </c>
      <c r="G5255" t="str">
        <f>"716165"</f>
        <v>716165</v>
      </c>
      <c r="H5255" s="2">
        <f>10</f>
        <v>10</v>
      </c>
      <c r="I5255" t="s">
        <v>27</v>
      </c>
      <c r="J5255" t="s">
        <v>34</v>
      </c>
      <c r="K5255" t="str">
        <f>"123040"</f>
        <v>123040</v>
      </c>
    </row>
    <row r="5256" spans="1:11" x14ac:dyDescent="0.25">
      <c r="A5256">
        <v>2024</v>
      </c>
      <c r="B5256" t="s">
        <v>3775</v>
      </c>
      <c r="C5256" t="s">
        <v>3776</v>
      </c>
      <c r="D5256" t="s">
        <v>3777</v>
      </c>
      <c r="E5256" t="s">
        <v>14</v>
      </c>
      <c r="F5256" t="str">
        <f>"49431"</f>
        <v>49431</v>
      </c>
      <c r="G5256" t="str">
        <f>"716619"</f>
        <v>716619</v>
      </c>
      <c r="H5256" s="2">
        <f>10</f>
        <v>10</v>
      </c>
      <c r="I5256" t="s">
        <v>27</v>
      </c>
      <c r="J5256" t="s">
        <v>34</v>
      </c>
      <c r="K5256" t="str">
        <f>"22026250"</f>
        <v>22026250</v>
      </c>
    </row>
    <row r="5257" spans="1:11" x14ac:dyDescent="0.25">
      <c r="A5257">
        <v>2024</v>
      </c>
      <c r="B5257" t="s">
        <v>3780</v>
      </c>
      <c r="C5257" t="s">
        <v>3781</v>
      </c>
      <c r="D5257" t="s">
        <v>19</v>
      </c>
      <c r="E5257" t="s">
        <v>20</v>
      </c>
      <c r="F5257" t="str">
        <f>"43614-4789"</f>
        <v>43614-4789</v>
      </c>
      <c r="G5257" t="str">
        <f t="shared" ref="G5257:G5262" si="182">"716165"</f>
        <v>716165</v>
      </c>
      <c r="H5257" s="2">
        <f>30</f>
        <v>30</v>
      </c>
      <c r="I5257" t="s">
        <v>27</v>
      </c>
      <c r="J5257" t="s">
        <v>34</v>
      </c>
      <c r="K5257" t="str">
        <f>"124102"</f>
        <v>124102</v>
      </c>
    </row>
    <row r="5258" spans="1:11" x14ac:dyDescent="0.25">
      <c r="A5258">
        <v>2024</v>
      </c>
      <c r="B5258" t="s">
        <v>3780</v>
      </c>
      <c r="C5258" t="s">
        <v>3781</v>
      </c>
      <c r="D5258" t="s">
        <v>19</v>
      </c>
      <c r="E5258" t="s">
        <v>20</v>
      </c>
      <c r="F5258" t="str">
        <f>"43614-4789"</f>
        <v>43614-4789</v>
      </c>
      <c r="G5258" t="str">
        <f t="shared" si="182"/>
        <v>716165</v>
      </c>
      <c r="H5258" s="2">
        <f>40</f>
        <v>40</v>
      </c>
      <c r="I5258" t="s">
        <v>27</v>
      </c>
      <c r="J5258" t="s">
        <v>34</v>
      </c>
      <c r="K5258" t="str">
        <f>"123962"</f>
        <v>123962</v>
      </c>
    </row>
    <row r="5259" spans="1:11" x14ac:dyDescent="0.25">
      <c r="A5259">
        <v>2024</v>
      </c>
      <c r="B5259" t="s">
        <v>3782</v>
      </c>
      <c r="C5259" t="s">
        <v>3783</v>
      </c>
      <c r="D5259" t="s">
        <v>19</v>
      </c>
      <c r="E5259" t="s">
        <v>20</v>
      </c>
      <c r="F5259" t="str">
        <f>"43614-4008"</f>
        <v>43614-4008</v>
      </c>
      <c r="G5259" t="str">
        <f t="shared" si="182"/>
        <v>716165</v>
      </c>
      <c r="H5259" s="2">
        <f>20</f>
        <v>20</v>
      </c>
      <c r="I5259" t="s">
        <v>27</v>
      </c>
      <c r="J5259" t="s">
        <v>34</v>
      </c>
      <c r="K5259" t="str">
        <f>"124070"</f>
        <v>124070</v>
      </c>
    </row>
    <row r="5260" spans="1:11" x14ac:dyDescent="0.25">
      <c r="A5260">
        <v>2024</v>
      </c>
      <c r="B5260" t="s">
        <v>3786</v>
      </c>
      <c r="C5260" t="s">
        <v>3787</v>
      </c>
      <c r="D5260" t="s">
        <v>19</v>
      </c>
      <c r="E5260" t="s">
        <v>20</v>
      </c>
      <c r="F5260" t="str">
        <f>"43613-3413"</f>
        <v>43613-3413</v>
      </c>
      <c r="G5260" t="str">
        <f t="shared" si="182"/>
        <v>716165</v>
      </c>
      <c r="H5260" s="2">
        <f>10</f>
        <v>10</v>
      </c>
      <c r="I5260" t="s">
        <v>27</v>
      </c>
      <c r="J5260" t="s">
        <v>34</v>
      </c>
      <c r="K5260" t="str">
        <f>"124437"</f>
        <v>124437</v>
      </c>
    </row>
    <row r="5261" spans="1:11" x14ac:dyDescent="0.25">
      <c r="A5261">
        <v>2024</v>
      </c>
      <c r="B5261" t="s">
        <v>3788</v>
      </c>
      <c r="C5261" t="s">
        <v>3789</v>
      </c>
      <c r="D5261" t="s">
        <v>19</v>
      </c>
      <c r="E5261" t="s">
        <v>20</v>
      </c>
      <c r="F5261" t="str">
        <f>"43615-1210"</f>
        <v>43615-1210</v>
      </c>
      <c r="G5261" t="str">
        <f t="shared" si="182"/>
        <v>716165</v>
      </c>
      <c r="H5261" s="2">
        <f>10</f>
        <v>10</v>
      </c>
      <c r="I5261" t="s">
        <v>27</v>
      </c>
      <c r="J5261" t="s">
        <v>34</v>
      </c>
      <c r="K5261" t="str">
        <f>"123902"</f>
        <v>123902</v>
      </c>
    </row>
    <row r="5262" spans="1:11" x14ac:dyDescent="0.25">
      <c r="A5262">
        <v>2024</v>
      </c>
      <c r="B5262" t="s">
        <v>3794</v>
      </c>
      <c r="C5262" t="s">
        <v>3795</v>
      </c>
      <c r="D5262" t="s">
        <v>19</v>
      </c>
      <c r="E5262" t="s">
        <v>20</v>
      </c>
      <c r="F5262" t="str">
        <f>"43615-5507"</f>
        <v>43615-5507</v>
      </c>
      <c r="G5262" t="str">
        <f t="shared" si="182"/>
        <v>716165</v>
      </c>
      <c r="H5262" s="2">
        <f>30</f>
        <v>30</v>
      </c>
      <c r="I5262" t="s">
        <v>27</v>
      </c>
      <c r="J5262" t="s">
        <v>34</v>
      </c>
      <c r="K5262" t="str">
        <f>"122094"</f>
        <v>122094</v>
      </c>
    </row>
    <row r="5263" spans="1:11" x14ac:dyDescent="0.25">
      <c r="A5263">
        <v>2024</v>
      </c>
      <c r="B5263" t="s">
        <v>3841</v>
      </c>
      <c r="C5263" t="s">
        <v>3842</v>
      </c>
      <c r="D5263" t="s">
        <v>19</v>
      </c>
      <c r="E5263" t="s">
        <v>20</v>
      </c>
      <c r="F5263" t="str">
        <f>"43608"</f>
        <v>43608</v>
      </c>
      <c r="G5263" t="str">
        <f>"716619"</f>
        <v>716619</v>
      </c>
      <c r="H5263" s="2">
        <f>3</f>
        <v>3</v>
      </c>
      <c r="I5263" t="s">
        <v>27</v>
      </c>
      <c r="J5263" t="s">
        <v>34</v>
      </c>
      <c r="K5263" t="str">
        <f>"44010074"</f>
        <v>44010074</v>
      </c>
    </row>
    <row r="5264" spans="1:11" x14ac:dyDescent="0.25">
      <c r="A5264">
        <v>2024</v>
      </c>
      <c r="B5264" t="s">
        <v>3858</v>
      </c>
      <c r="C5264" t="s">
        <v>3859</v>
      </c>
      <c r="D5264" t="s">
        <v>58</v>
      </c>
      <c r="E5264" t="s">
        <v>20</v>
      </c>
      <c r="F5264" t="str">
        <f>"43616-1828"</f>
        <v>43616-1828</v>
      </c>
      <c r="G5264" t="str">
        <f>"716165"</f>
        <v>716165</v>
      </c>
      <c r="H5264" s="2">
        <f>20</f>
        <v>20</v>
      </c>
      <c r="I5264" t="s">
        <v>27</v>
      </c>
      <c r="J5264" t="s">
        <v>34</v>
      </c>
      <c r="K5264" t="str">
        <f>"122488"</f>
        <v>122488</v>
      </c>
    </row>
    <row r="5265" spans="1:11" x14ac:dyDescent="0.25">
      <c r="A5265">
        <v>2024</v>
      </c>
      <c r="B5265" t="s">
        <v>3878</v>
      </c>
      <c r="C5265" t="s">
        <v>3879</v>
      </c>
      <c r="D5265" t="s">
        <v>19</v>
      </c>
      <c r="E5265" t="s">
        <v>20</v>
      </c>
      <c r="F5265" t="str">
        <f>"43614-5407"</f>
        <v>43614-5407</v>
      </c>
      <c r="G5265" t="str">
        <f>"716165"</f>
        <v>716165</v>
      </c>
      <c r="H5265" s="2">
        <f>10</f>
        <v>10</v>
      </c>
      <c r="I5265" t="s">
        <v>27</v>
      </c>
      <c r="J5265" t="s">
        <v>34</v>
      </c>
      <c r="K5265" t="str">
        <f>"122986"</f>
        <v>122986</v>
      </c>
    </row>
    <row r="5266" spans="1:11" x14ac:dyDescent="0.25">
      <c r="A5266">
        <v>2024</v>
      </c>
      <c r="B5266" t="s">
        <v>3907</v>
      </c>
      <c r="C5266" t="s">
        <v>3908</v>
      </c>
      <c r="D5266" t="s">
        <v>19</v>
      </c>
      <c r="E5266" t="s">
        <v>20</v>
      </c>
      <c r="F5266" t="str">
        <f>"43606-2440"</f>
        <v>43606-2440</v>
      </c>
      <c r="G5266" t="str">
        <f>"716165"</f>
        <v>716165</v>
      </c>
      <c r="H5266" s="2">
        <f>10</f>
        <v>10</v>
      </c>
      <c r="I5266" t="s">
        <v>27</v>
      </c>
      <c r="J5266" t="s">
        <v>34</v>
      </c>
      <c r="K5266" t="str">
        <f>"122226"</f>
        <v>122226</v>
      </c>
    </row>
    <row r="5267" spans="1:11" x14ac:dyDescent="0.25">
      <c r="A5267">
        <v>2024</v>
      </c>
      <c r="B5267" t="s">
        <v>3909</v>
      </c>
      <c r="C5267" t="s">
        <v>3910</v>
      </c>
      <c r="D5267" t="s">
        <v>50</v>
      </c>
      <c r="E5267" t="s">
        <v>20</v>
      </c>
      <c r="F5267" t="str">
        <f>"43560-9250"</f>
        <v>43560-9250</v>
      </c>
      <c r="G5267" t="str">
        <f>"716165"</f>
        <v>716165</v>
      </c>
      <c r="H5267" s="2">
        <f>10</f>
        <v>10</v>
      </c>
      <c r="I5267" t="s">
        <v>27</v>
      </c>
      <c r="J5267" t="s">
        <v>34</v>
      </c>
      <c r="K5267" t="str">
        <f>"122603"</f>
        <v>122603</v>
      </c>
    </row>
    <row r="5268" spans="1:11" x14ac:dyDescent="0.25">
      <c r="A5268">
        <v>2024</v>
      </c>
      <c r="B5268" t="s">
        <v>3921</v>
      </c>
      <c r="C5268" t="s">
        <v>3922</v>
      </c>
      <c r="D5268" t="s">
        <v>19</v>
      </c>
      <c r="E5268" t="s">
        <v>20</v>
      </c>
      <c r="F5268" t="str">
        <f>"43604-8285"</f>
        <v>43604-8285</v>
      </c>
      <c r="G5268" t="str">
        <f>"716165"</f>
        <v>716165</v>
      </c>
      <c r="H5268" s="2">
        <f>30</f>
        <v>30</v>
      </c>
      <c r="I5268" t="s">
        <v>27</v>
      </c>
      <c r="J5268" t="s">
        <v>34</v>
      </c>
      <c r="K5268" t="str">
        <f>"123992"</f>
        <v>123992</v>
      </c>
    </row>
    <row r="5269" spans="1:11" x14ac:dyDescent="0.25">
      <c r="A5269">
        <v>2024</v>
      </c>
      <c r="B5269" t="s">
        <v>3927</v>
      </c>
      <c r="C5269" t="s">
        <v>3928</v>
      </c>
      <c r="D5269" t="s">
        <v>19</v>
      </c>
      <c r="E5269" t="s">
        <v>20</v>
      </c>
      <c r="F5269" t="str">
        <f>"43613"</f>
        <v>43613</v>
      </c>
      <c r="G5269" t="str">
        <f>"719211"</f>
        <v>719211</v>
      </c>
      <c r="H5269" s="2">
        <f>450</f>
        <v>450</v>
      </c>
      <c r="I5269" t="s">
        <v>27</v>
      </c>
      <c r="J5269" t="s">
        <v>200</v>
      </c>
      <c r="K5269" t="str">
        <f>"N/A"</f>
        <v>N/A</v>
      </c>
    </row>
    <row r="5270" spans="1:11" x14ac:dyDescent="0.25">
      <c r="A5270">
        <v>2024</v>
      </c>
      <c r="B5270" t="s">
        <v>3941</v>
      </c>
      <c r="C5270" t="s">
        <v>3942</v>
      </c>
      <c r="D5270" t="s">
        <v>323</v>
      </c>
      <c r="E5270" t="s">
        <v>20</v>
      </c>
      <c r="F5270" t="str">
        <f>"43571-9527"</f>
        <v>43571-9527</v>
      </c>
      <c r="G5270" t="str">
        <f>"716165"</f>
        <v>716165</v>
      </c>
      <c r="H5270" s="2">
        <f>10</f>
        <v>10</v>
      </c>
      <c r="I5270" t="s">
        <v>27</v>
      </c>
      <c r="J5270" t="s">
        <v>34</v>
      </c>
      <c r="K5270" t="str">
        <f>"124968"</f>
        <v>124968</v>
      </c>
    </row>
    <row r="5271" spans="1:11" x14ac:dyDescent="0.25">
      <c r="A5271">
        <v>2024</v>
      </c>
      <c r="B5271" t="s">
        <v>3960</v>
      </c>
      <c r="C5271" t="s">
        <v>895</v>
      </c>
      <c r="F5271" t="str">
        <f>""</f>
        <v/>
      </c>
      <c r="G5271" t="str">
        <f>"701123"</f>
        <v>701123</v>
      </c>
      <c r="H5271" s="2">
        <f>216.05</f>
        <v>216.05</v>
      </c>
      <c r="I5271" t="s">
        <v>148</v>
      </c>
      <c r="J5271" t="s">
        <v>3961</v>
      </c>
      <c r="K5271" t="str">
        <f>"26769"</f>
        <v>26769</v>
      </c>
    </row>
    <row r="5272" spans="1:11" x14ac:dyDescent="0.25">
      <c r="A5272">
        <v>2024</v>
      </c>
      <c r="B5272" t="s">
        <v>3972</v>
      </c>
      <c r="C5272" t="s">
        <v>3968</v>
      </c>
      <c r="D5272" t="s">
        <v>3969</v>
      </c>
      <c r="E5272" t="s">
        <v>600</v>
      </c>
      <c r="F5272" t="str">
        <f>"41042"</f>
        <v>41042</v>
      </c>
      <c r="G5272" t="str">
        <f>"716166"</f>
        <v>716166</v>
      </c>
      <c r="H5272" s="2">
        <f>270</f>
        <v>270</v>
      </c>
      <c r="I5272" t="s">
        <v>27</v>
      </c>
      <c r="J5272" t="s">
        <v>262</v>
      </c>
      <c r="K5272" t="str">
        <f>"42557"</f>
        <v>42557</v>
      </c>
    </row>
    <row r="5273" spans="1:11" x14ac:dyDescent="0.25">
      <c r="A5273">
        <v>2024</v>
      </c>
      <c r="B5273" t="s">
        <v>3972</v>
      </c>
      <c r="C5273" t="s">
        <v>3968</v>
      </c>
      <c r="D5273" t="s">
        <v>3969</v>
      </c>
      <c r="E5273" t="s">
        <v>600</v>
      </c>
      <c r="F5273" t="str">
        <f>"41042"</f>
        <v>41042</v>
      </c>
      <c r="G5273" t="str">
        <f>"716166"</f>
        <v>716166</v>
      </c>
      <c r="H5273" s="2">
        <f>280</f>
        <v>280</v>
      </c>
      <c r="I5273" t="s">
        <v>27</v>
      </c>
      <c r="J5273" t="s">
        <v>262</v>
      </c>
      <c r="K5273" t="str">
        <f>"42558"</f>
        <v>42558</v>
      </c>
    </row>
    <row r="5274" spans="1:11" x14ac:dyDescent="0.25">
      <c r="A5274">
        <v>2024</v>
      </c>
      <c r="B5274" t="s">
        <v>3972</v>
      </c>
      <c r="C5274" t="s">
        <v>3968</v>
      </c>
      <c r="D5274" t="s">
        <v>3969</v>
      </c>
      <c r="E5274" t="s">
        <v>600</v>
      </c>
      <c r="F5274" t="str">
        <f>"41042"</f>
        <v>41042</v>
      </c>
      <c r="G5274" t="str">
        <f>"716166"</f>
        <v>716166</v>
      </c>
      <c r="H5274" s="2">
        <f>550</f>
        <v>550</v>
      </c>
      <c r="I5274" t="s">
        <v>27</v>
      </c>
      <c r="J5274" t="s">
        <v>262</v>
      </c>
      <c r="K5274" t="str">
        <f>"42624"</f>
        <v>42624</v>
      </c>
    </row>
    <row r="5275" spans="1:11" x14ac:dyDescent="0.25">
      <c r="A5275">
        <v>2024</v>
      </c>
      <c r="B5275" t="s">
        <v>3972</v>
      </c>
      <c r="C5275" t="s">
        <v>3968</v>
      </c>
      <c r="D5275" t="s">
        <v>3969</v>
      </c>
      <c r="E5275" t="s">
        <v>600</v>
      </c>
      <c r="F5275" t="str">
        <f>"41042"</f>
        <v>41042</v>
      </c>
      <c r="G5275" t="str">
        <f>"716166"</f>
        <v>716166</v>
      </c>
      <c r="H5275" s="2">
        <f>280</f>
        <v>280</v>
      </c>
      <c r="I5275" t="s">
        <v>27</v>
      </c>
      <c r="J5275" t="s">
        <v>262</v>
      </c>
      <c r="K5275" t="str">
        <f>"42953"</f>
        <v>42953</v>
      </c>
    </row>
    <row r="5276" spans="1:11" x14ac:dyDescent="0.25">
      <c r="A5276">
        <v>2024</v>
      </c>
      <c r="B5276" t="s">
        <v>3973</v>
      </c>
      <c r="C5276" t="s">
        <v>3974</v>
      </c>
      <c r="D5276" t="s">
        <v>58</v>
      </c>
      <c r="E5276" t="s">
        <v>20</v>
      </c>
      <c r="F5276" t="str">
        <f>"43616-5801"</f>
        <v>43616-5801</v>
      </c>
      <c r="G5276" t="str">
        <f>"716165"</f>
        <v>716165</v>
      </c>
      <c r="H5276" s="2">
        <f>10</f>
        <v>10</v>
      </c>
      <c r="I5276" t="s">
        <v>27</v>
      </c>
      <c r="J5276" t="s">
        <v>34</v>
      </c>
      <c r="K5276" t="str">
        <f>"123000"</f>
        <v>123000</v>
      </c>
    </row>
    <row r="5277" spans="1:11" x14ac:dyDescent="0.25">
      <c r="A5277">
        <v>2024</v>
      </c>
      <c r="B5277" t="s">
        <v>3981</v>
      </c>
      <c r="C5277" t="s">
        <v>3982</v>
      </c>
      <c r="D5277" t="s">
        <v>19</v>
      </c>
      <c r="E5277" t="s">
        <v>20</v>
      </c>
      <c r="F5277" t="str">
        <f>"43607"</f>
        <v>43607</v>
      </c>
      <c r="G5277" t="str">
        <f>"701123"</f>
        <v>701123</v>
      </c>
      <c r="H5277" s="2">
        <f>19</f>
        <v>19</v>
      </c>
      <c r="I5277" t="s">
        <v>148</v>
      </c>
      <c r="J5277" t="s">
        <v>3983</v>
      </c>
      <c r="K5277" t="str">
        <f>"26769"</f>
        <v>26769</v>
      </c>
    </row>
    <row r="5278" spans="1:11" x14ac:dyDescent="0.25">
      <c r="A5278">
        <v>2024</v>
      </c>
      <c r="B5278" t="s">
        <v>3986</v>
      </c>
      <c r="C5278" t="s">
        <v>3987</v>
      </c>
      <c r="D5278" t="s">
        <v>19</v>
      </c>
      <c r="E5278" t="s">
        <v>20</v>
      </c>
      <c r="F5278" t="str">
        <f>"43608"</f>
        <v>43608</v>
      </c>
      <c r="G5278" t="str">
        <f>"719211"</f>
        <v>719211</v>
      </c>
      <c r="H5278" s="2">
        <f>270</f>
        <v>270</v>
      </c>
      <c r="I5278" t="s">
        <v>27</v>
      </c>
      <c r="J5278" t="s">
        <v>200</v>
      </c>
      <c r="K5278" t="str">
        <f>"N/A"</f>
        <v>N/A</v>
      </c>
    </row>
    <row r="5279" spans="1:11" x14ac:dyDescent="0.25">
      <c r="A5279">
        <v>2024</v>
      </c>
      <c r="B5279" t="s">
        <v>4004</v>
      </c>
      <c r="C5279" t="s">
        <v>4005</v>
      </c>
      <c r="D5279" t="s">
        <v>422</v>
      </c>
      <c r="E5279" t="s">
        <v>20</v>
      </c>
      <c r="F5279" t="str">
        <f>"44113"</f>
        <v>44113</v>
      </c>
      <c r="G5279" t="str">
        <f>"Je08072024"</f>
        <v>Je08072024</v>
      </c>
      <c r="H5279" s="2">
        <f>6692.08</f>
        <v>6692.08</v>
      </c>
      <c r="I5279" t="s">
        <v>15</v>
      </c>
      <c r="J5279" t="s">
        <v>1647</v>
      </c>
      <c r="K5279" t="str">
        <f>"60116913"</f>
        <v>60116913</v>
      </c>
    </row>
    <row r="5280" spans="1:11" x14ac:dyDescent="0.25">
      <c r="A5280">
        <v>2024</v>
      </c>
      <c r="B5280" t="s">
        <v>4006</v>
      </c>
      <c r="C5280" t="s">
        <v>1004</v>
      </c>
      <c r="D5280" t="s">
        <v>1005</v>
      </c>
      <c r="E5280" t="s">
        <v>20</v>
      </c>
      <c r="F5280" t="str">
        <f>"44139"</f>
        <v>44139</v>
      </c>
      <c r="G5280" t="str">
        <f>"716166"</f>
        <v>716166</v>
      </c>
      <c r="H5280" s="2">
        <f>550</f>
        <v>550</v>
      </c>
      <c r="I5280" t="s">
        <v>27</v>
      </c>
      <c r="J5280" t="s">
        <v>262</v>
      </c>
      <c r="K5280" t="str">
        <f>"42347"</f>
        <v>42347</v>
      </c>
    </row>
    <row r="5281" spans="1:11" x14ac:dyDescent="0.25">
      <c r="A5281">
        <v>2024</v>
      </c>
      <c r="B5281" t="s">
        <v>4009</v>
      </c>
      <c r="C5281" t="s">
        <v>4010</v>
      </c>
      <c r="D5281" t="s">
        <v>323</v>
      </c>
      <c r="E5281" t="s">
        <v>20</v>
      </c>
      <c r="F5281" t="str">
        <f>"43571-9040"</f>
        <v>43571-9040</v>
      </c>
      <c r="G5281" t="str">
        <f>"716165"</f>
        <v>716165</v>
      </c>
      <c r="H5281" s="2">
        <f>40</f>
        <v>40</v>
      </c>
      <c r="I5281" t="s">
        <v>27</v>
      </c>
      <c r="J5281" t="s">
        <v>34</v>
      </c>
      <c r="K5281" t="str">
        <f>"124225"</f>
        <v>124225</v>
      </c>
    </row>
    <row r="5282" spans="1:11" x14ac:dyDescent="0.25">
      <c r="A5282">
        <v>2024</v>
      </c>
      <c r="B5282" t="s">
        <v>4091</v>
      </c>
      <c r="C5282" t="s">
        <v>4092</v>
      </c>
      <c r="D5282" t="s">
        <v>19</v>
      </c>
      <c r="E5282" t="s">
        <v>20</v>
      </c>
      <c r="F5282" t="str">
        <f>"43615"</f>
        <v>43615</v>
      </c>
      <c r="G5282" t="str">
        <f>"Je10112024"</f>
        <v>Je10112024</v>
      </c>
      <c r="H5282" s="2">
        <f>364.16</f>
        <v>364.16</v>
      </c>
      <c r="I5282" t="s">
        <v>15</v>
      </c>
      <c r="J5282" t="s">
        <v>205</v>
      </c>
      <c r="K5282" t="str">
        <f>"60124906"</f>
        <v>60124906</v>
      </c>
    </row>
    <row r="5283" spans="1:11" x14ac:dyDescent="0.25">
      <c r="A5283">
        <v>2024</v>
      </c>
      <c r="B5283" t="s">
        <v>4149</v>
      </c>
      <c r="C5283" t="s">
        <v>4150</v>
      </c>
      <c r="D5283" t="s">
        <v>50</v>
      </c>
      <c r="E5283" t="s">
        <v>20</v>
      </c>
      <c r="F5283" t="str">
        <f>"43560-1877"</f>
        <v>43560-1877</v>
      </c>
      <c r="G5283" t="str">
        <f>"716165"</f>
        <v>716165</v>
      </c>
      <c r="H5283" s="2">
        <f>20</f>
        <v>20</v>
      </c>
      <c r="I5283" t="s">
        <v>27</v>
      </c>
      <c r="J5283" t="s">
        <v>34</v>
      </c>
      <c r="K5283" t="str">
        <f>"124792"</f>
        <v>124792</v>
      </c>
    </row>
    <row r="5284" spans="1:11" x14ac:dyDescent="0.25">
      <c r="A5284">
        <v>2024</v>
      </c>
      <c r="B5284" t="s">
        <v>4153</v>
      </c>
      <c r="C5284" t="s">
        <v>4154</v>
      </c>
      <c r="D5284" t="s">
        <v>4155</v>
      </c>
      <c r="E5284" t="s">
        <v>20</v>
      </c>
      <c r="F5284" t="str">
        <f>"45601"</f>
        <v>45601</v>
      </c>
      <c r="G5284" t="str">
        <f>"Je03262024"</f>
        <v>Je03262024</v>
      </c>
      <c r="H5284" s="2">
        <f>25</f>
        <v>25</v>
      </c>
      <c r="I5284" t="s">
        <v>15</v>
      </c>
      <c r="J5284" t="s">
        <v>21</v>
      </c>
      <c r="K5284" t="str">
        <f>"60110965"</f>
        <v>60110965</v>
      </c>
    </row>
    <row r="5285" spans="1:11" x14ac:dyDescent="0.25">
      <c r="A5285">
        <v>2024</v>
      </c>
      <c r="B5285" t="s">
        <v>4188</v>
      </c>
      <c r="C5285" t="s">
        <v>4189</v>
      </c>
      <c r="D5285" t="s">
        <v>19</v>
      </c>
      <c r="E5285" t="s">
        <v>20</v>
      </c>
      <c r="F5285" t="str">
        <f>"43614-3560"</f>
        <v>43614-3560</v>
      </c>
      <c r="G5285" t="str">
        <f>"716165"</f>
        <v>716165</v>
      </c>
      <c r="H5285" s="2">
        <f>10</f>
        <v>10</v>
      </c>
      <c r="I5285" t="s">
        <v>27</v>
      </c>
      <c r="J5285" t="s">
        <v>34</v>
      </c>
      <c r="K5285" t="str">
        <f>"122182"</f>
        <v>122182</v>
      </c>
    </row>
    <row r="5286" spans="1:11" x14ac:dyDescent="0.25">
      <c r="A5286">
        <v>2024</v>
      </c>
      <c r="B5286" t="s">
        <v>4192</v>
      </c>
      <c r="C5286" t="s">
        <v>4193</v>
      </c>
      <c r="D5286" t="s">
        <v>4194</v>
      </c>
      <c r="E5286" t="s">
        <v>887</v>
      </c>
      <c r="F5286" t="str">
        <f>"37013"</f>
        <v>37013</v>
      </c>
      <c r="G5286" t="str">
        <f>"Je08072024"</f>
        <v>Je08072024</v>
      </c>
      <c r="H5286" s="2">
        <f>383.42</f>
        <v>383.42</v>
      </c>
      <c r="I5286" t="s">
        <v>15</v>
      </c>
      <c r="J5286" t="s">
        <v>1647</v>
      </c>
      <c r="K5286" t="str">
        <f>"60117362"</f>
        <v>60117362</v>
      </c>
    </row>
    <row r="5287" spans="1:11" x14ac:dyDescent="0.25">
      <c r="A5287">
        <v>2024</v>
      </c>
      <c r="B5287" t="s">
        <v>4220</v>
      </c>
      <c r="C5287" t="s">
        <v>4221</v>
      </c>
      <c r="D5287" t="s">
        <v>4222</v>
      </c>
      <c r="E5287" t="s">
        <v>14</v>
      </c>
      <c r="F5287" t="str">
        <f>"48090"</f>
        <v>48090</v>
      </c>
      <c r="G5287" t="str">
        <f>"716166"</f>
        <v>716166</v>
      </c>
      <c r="H5287" s="2">
        <f>4.47</f>
        <v>4.47</v>
      </c>
      <c r="I5287" t="s">
        <v>27</v>
      </c>
      <c r="J5287" t="s">
        <v>262</v>
      </c>
      <c r="K5287" t="str">
        <f>"40951"</f>
        <v>40951</v>
      </c>
    </row>
    <row r="5288" spans="1:11" x14ac:dyDescent="0.25">
      <c r="A5288">
        <v>2024</v>
      </c>
      <c r="B5288" t="s">
        <v>4236</v>
      </c>
      <c r="C5288" t="s">
        <v>4237</v>
      </c>
      <c r="D5288" t="s">
        <v>19</v>
      </c>
      <c r="E5288" t="s">
        <v>20</v>
      </c>
      <c r="F5288" t="str">
        <f>"43615"</f>
        <v>43615</v>
      </c>
      <c r="G5288" t="str">
        <f>"716165"</f>
        <v>716165</v>
      </c>
      <c r="H5288" s="2">
        <f>10</f>
        <v>10</v>
      </c>
      <c r="I5288" t="s">
        <v>27</v>
      </c>
      <c r="J5288" t="s">
        <v>34</v>
      </c>
      <c r="K5288" t="str">
        <f>"122847"</f>
        <v>122847</v>
      </c>
    </row>
    <row r="5289" spans="1:11" x14ac:dyDescent="0.25">
      <c r="A5289">
        <v>2024</v>
      </c>
      <c r="B5289" t="s">
        <v>4238</v>
      </c>
      <c r="C5289" t="s">
        <v>4239</v>
      </c>
      <c r="D5289" t="s">
        <v>19</v>
      </c>
      <c r="E5289" t="s">
        <v>20</v>
      </c>
      <c r="F5289" t="str">
        <f>"43613-1269"</f>
        <v>43613-1269</v>
      </c>
      <c r="G5289" t="str">
        <f>"716165"</f>
        <v>716165</v>
      </c>
      <c r="H5289" s="2">
        <f>10</f>
        <v>10</v>
      </c>
      <c r="I5289" t="s">
        <v>27</v>
      </c>
      <c r="J5289" t="s">
        <v>34</v>
      </c>
      <c r="K5289" t="str">
        <f>"123287"</f>
        <v>123287</v>
      </c>
    </row>
    <row r="5290" spans="1:11" x14ac:dyDescent="0.25">
      <c r="A5290">
        <v>2024</v>
      </c>
      <c r="B5290" t="s">
        <v>4240</v>
      </c>
      <c r="C5290" t="s">
        <v>4241</v>
      </c>
      <c r="D5290" t="s">
        <v>19</v>
      </c>
      <c r="E5290" t="s">
        <v>20</v>
      </c>
      <c r="F5290" t="str">
        <f>"43606"</f>
        <v>43606</v>
      </c>
      <c r="G5290" t="str">
        <f>"Je12122024"</f>
        <v>Je12122024</v>
      </c>
      <c r="H5290" s="2">
        <f>20</f>
        <v>20</v>
      </c>
      <c r="I5290" t="s">
        <v>15</v>
      </c>
      <c r="J5290" t="s">
        <v>1326</v>
      </c>
      <c r="K5290" t="str">
        <f>"60137055"</f>
        <v>60137055</v>
      </c>
    </row>
    <row r="5291" spans="1:11" x14ac:dyDescent="0.25">
      <c r="A5291">
        <v>2024</v>
      </c>
      <c r="B5291" t="s">
        <v>4256</v>
      </c>
      <c r="C5291" t="s">
        <v>4257</v>
      </c>
      <c r="D5291" t="s">
        <v>19</v>
      </c>
      <c r="E5291" t="s">
        <v>20</v>
      </c>
      <c r="F5291" t="str">
        <f>"43605"</f>
        <v>43605</v>
      </c>
      <c r="G5291" t="str">
        <f>"Je03262024"</f>
        <v>Je03262024</v>
      </c>
      <c r="H5291" s="2">
        <f>7.67</f>
        <v>7.67</v>
      </c>
      <c r="I5291" t="s">
        <v>15</v>
      </c>
      <c r="J5291" t="s">
        <v>21</v>
      </c>
      <c r="K5291" t="str">
        <f>"60111187"</f>
        <v>60111187</v>
      </c>
    </row>
    <row r="5292" spans="1:11" x14ac:dyDescent="0.25">
      <c r="A5292">
        <v>2024</v>
      </c>
      <c r="B5292" t="s">
        <v>4284</v>
      </c>
      <c r="C5292" t="s">
        <v>4285</v>
      </c>
      <c r="D5292" t="s">
        <v>19</v>
      </c>
      <c r="E5292" t="s">
        <v>20</v>
      </c>
      <c r="F5292" t="str">
        <f>"43613-2114"</f>
        <v>43613-2114</v>
      </c>
      <c r="G5292" t="str">
        <f>"716165"</f>
        <v>716165</v>
      </c>
      <c r="H5292" s="2">
        <f>10</f>
        <v>10</v>
      </c>
      <c r="I5292" t="s">
        <v>27</v>
      </c>
      <c r="J5292" t="s">
        <v>34</v>
      </c>
      <c r="K5292" t="str">
        <f>"123200"</f>
        <v>123200</v>
      </c>
    </row>
    <row r="5293" spans="1:11" x14ac:dyDescent="0.25">
      <c r="A5293">
        <v>2024</v>
      </c>
      <c r="B5293" t="s">
        <v>4291</v>
      </c>
      <c r="C5293" t="s">
        <v>4292</v>
      </c>
      <c r="D5293" t="s">
        <v>1239</v>
      </c>
      <c r="E5293" t="s">
        <v>600</v>
      </c>
      <c r="F5293" t="str">
        <f>"42104"</f>
        <v>42104</v>
      </c>
      <c r="G5293" t="str">
        <f>"716619"</f>
        <v>716619</v>
      </c>
      <c r="H5293" s="2">
        <f>284.54</f>
        <v>284.54000000000002</v>
      </c>
      <c r="I5293" t="s">
        <v>27</v>
      </c>
      <c r="J5293" t="s">
        <v>34</v>
      </c>
      <c r="K5293" t="str">
        <f>"22026594"</f>
        <v>22026594</v>
      </c>
    </row>
    <row r="5294" spans="1:11" x14ac:dyDescent="0.25">
      <c r="A5294">
        <v>2024</v>
      </c>
      <c r="B5294" t="s">
        <v>4295</v>
      </c>
      <c r="C5294" t="s">
        <v>4296</v>
      </c>
      <c r="D5294" t="s">
        <v>19</v>
      </c>
      <c r="E5294" t="s">
        <v>20</v>
      </c>
      <c r="F5294" t="str">
        <f>"43623-4138"</f>
        <v>43623-4138</v>
      </c>
      <c r="G5294" t="str">
        <f>"716165"</f>
        <v>716165</v>
      </c>
      <c r="H5294" s="2">
        <f>20</f>
        <v>20</v>
      </c>
      <c r="I5294" t="s">
        <v>27</v>
      </c>
      <c r="J5294" t="s">
        <v>34</v>
      </c>
      <c r="K5294" t="str">
        <f>"123550"</f>
        <v>123550</v>
      </c>
    </row>
    <row r="5295" spans="1:11" x14ac:dyDescent="0.25">
      <c r="A5295">
        <v>2024</v>
      </c>
      <c r="B5295" t="s">
        <v>4302</v>
      </c>
      <c r="C5295" t="s">
        <v>4303</v>
      </c>
      <c r="D5295" t="s">
        <v>58</v>
      </c>
      <c r="E5295" t="s">
        <v>20</v>
      </c>
      <c r="F5295" t="str">
        <f>"43616-2488"</f>
        <v>43616-2488</v>
      </c>
      <c r="G5295" t="str">
        <f>"716165"</f>
        <v>716165</v>
      </c>
      <c r="H5295" s="2">
        <f>40</f>
        <v>40</v>
      </c>
      <c r="I5295" t="s">
        <v>27</v>
      </c>
      <c r="J5295" t="s">
        <v>34</v>
      </c>
      <c r="K5295" t="str">
        <f>"122093"</f>
        <v>122093</v>
      </c>
    </row>
    <row r="5296" spans="1:11" x14ac:dyDescent="0.25">
      <c r="A5296">
        <v>2024</v>
      </c>
      <c r="B5296" t="s">
        <v>4304</v>
      </c>
      <c r="C5296" t="s">
        <v>4305</v>
      </c>
      <c r="D5296" t="s">
        <v>19</v>
      </c>
      <c r="E5296" t="s">
        <v>20</v>
      </c>
      <c r="F5296" t="str">
        <f>"43617"</f>
        <v>43617</v>
      </c>
      <c r="G5296" t="str">
        <f>"716166"</f>
        <v>716166</v>
      </c>
      <c r="H5296" s="2">
        <f>20</f>
        <v>20</v>
      </c>
      <c r="I5296" t="s">
        <v>27</v>
      </c>
      <c r="J5296" t="s">
        <v>262</v>
      </c>
      <c r="K5296" t="str">
        <f>"43583"</f>
        <v>43583</v>
      </c>
    </row>
    <row r="5297" spans="1:11" x14ac:dyDescent="0.25">
      <c r="A5297">
        <v>2024</v>
      </c>
      <c r="B5297" t="s">
        <v>4311</v>
      </c>
      <c r="C5297" t="s">
        <v>4312</v>
      </c>
      <c r="D5297" t="s">
        <v>19</v>
      </c>
      <c r="E5297" t="s">
        <v>20</v>
      </c>
      <c r="F5297" t="str">
        <f>"43614-5114"</f>
        <v>43614-5114</v>
      </c>
      <c r="G5297" t="str">
        <f>"716165"</f>
        <v>716165</v>
      </c>
      <c r="H5297" s="2">
        <f>10</f>
        <v>10</v>
      </c>
      <c r="I5297" t="s">
        <v>27</v>
      </c>
      <c r="J5297" t="s">
        <v>34</v>
      </c>
      <c r="K5297" t="str">
        <f>"124411"</f>
        <v>124411</v>
      </c>
    </row>
    <row r="5298" spans="1:11" x14ac:dyDescent="0.25">
      <c r="A5298">
        <v>2024</v>
      </c>
      <c r="B5298" t="s">
        <v>4319</v>
      </c>
      <c r="C5298" t="s">
        <v>4320</v>
      </c>
      <c r="D5298" t="s">
        <v>58</v>
      </c>
      <c r="E5298" t="s">
        <v>20</v>
      </c>
      <c r="F5298" t="str">
        <f>"43616"</f>
        <v>43616</v>
      </c>
      <c r="G5298" t="str">
        <f>"Je10112024"</f>
        <v>Je10112024</v>
      </c>
      <c r="H5298" s="2">
        <f>47.5</f>
        <v>47.5</v>
      </c>
      <c r="I5298" t="s">
        <v>15</v>
      </c>
      <c r="J5298" t="s">
        <v>205</v>
      </c>
      <c r="K5298" t="str">
        <f>"60128894"</f>
        <v>60128894</v>
      </c>
    </row>
    <row r="5299" spans="1:11" x14ac:dyDescent="0.25">
      <c r="A5299">
        <v>2024</v>
      </c>
      <c r="B5299" t="s">
        <v>4332</v>
      </c>
      <c r="C5299" t="s">
        <v>4333</v>
      </c>
      <c r="D5299" t="s">
        <v>45</v>
      </c>
      <c r="E5299" t="s">
        <v>20</v>
      </c>
      <c r="F5299" t="str">
        <f>"43542-9603"</f>
        <v>43542-9603</v>
      </c>
      <c r="G5299" t="str">
        <f>"716165"</f>
        <v>716165</v>
      </c>
      <c r="H5299" s="2">
        <f>20</f>
        <v>20</v>
      </c>
      <c r="I5299" t="s">
        <v>27</v>
      </c>
      <c r="J5299" t="s">
        <v>34</v>
      </c>
      <c r="K5299" t="str">
        <f>"122725"</f>
        <v>122725</v>
      </c>
    </row>
    <row r="5300" spans="1:11" x14ac:dyDescent="0.25">
      <c r="A5300">
        <v>2024</v>
      </c>
      <c r="B5300" t="s">
        <v>4342</v>
      </c>
      <c r="C5300" t="s">
        <v>4343</v>
      </c>
      <c r="D5300" t="s">
        <v>19</v>
      </c>
      <c r="E5300" t="s">
        <v>20</v>
      </c>
      <c r="F5300" t="str">
        <f>"43614-4142"</f>
        <v>43614-4142</v>
      </c>
      <c r="G5300" t="str">
        <f>"716165"</f>
        <v>716165</v>
      </c>
      <c r="H5300" s="2">
        <f>10</f>
        <v>10</v>
      </c>
      <c r="I5300" t="s">
        <v>27</v>
      </c>
      <c r="J5300" t="s">
        <v>34</v>
      </c>
      <c r="K5300" t="str">
        <f>"121369"</f>
        <v>121369</v>
      </c>
    </row>
    <row r="5301" spans="1:11" x14ac:dyDescent="0.25">
      <c r="A5301">
        <v>2024</v>
      </c>
      <c r="B5301" t="s">
        <v>4348</v>
      </c>
      <c r="C5301" t="s">
        <v>4349</v>
      </c>
      <c r="D5301" t="s">
        <v>19</v>
      </c>
      <c r="E5301" t="s">
        <v>20</v>
      </c>
      <c r="F5301" t="str">
        <f>"43611-2801"</f>
        <v>43611-2801</v>
      </c>
      <c r="G5301" t="str">
        <f>"716165"</f>
        <v>716165</v>
      </c>
      <c r="H5301" s="2">
        <f>40</f>
        <v>40</v>
      </c>
      <c r="I5301" t="s">
        <v>27</v>
      </c>
      <c r="J5301" t="s">
        <v>34</v>
      </c>
      <c r="K5301" t="str">
        <f>"121018"</f>
        <v>121018</v>
      </c>
    </row>
    <row r="5302" spans="1:11" x14ac:dyDescent="0.25">
      <c r="A5302">
        <v>2024</v>
      </c>
      <c r="B5302" t="s">
        <v>4354</v>
      </c>
      <c r="C5302" t="s">
        <v>4355</v>
      </c>
      <c r="D5302" t="s">
        <v>19</v>
      </c>
      <c r="E5302" t="s">
        <v>20</v>
      </c>
      <c r="F5302" t="str">
        <f>"43607"</f>
        <v>43607</v>
      </c>
      <c r="G5302" t="str">
        <f>"Je08072024"</f>
        <v>Je08072024</v>
      </c>
      <c r="H5302" s="2">
        <f>259.05</f>
        <v>259.05</v>
      </c>
      <c r="I5302" t="s">
        <v>15</v>
      </c>
      <c r="J5302" t="s">
        <v>1647</v>
      </c>
      <c r="K5302" t="str">
        <f>"60116611"</f>
        <v>60116611</v>
      </c>
    </row>
    <row r="5303" spans="1:11" x14ac:dyDescent="0.25">
      <c r="A5303">
        <v>2024</v>
      </c>
      <c r="B5303" t="s">
        <v>4380</v>
      </c>
      <c r="C5303" t="s">
        <v>4381</v>
      </c>
      <c r="D5303" t="s">
        <v>19</v>
      </c>
      <c r="E5303" t="s">
        <v>20</v>
      </c>
      <c r="F5303" t="str">
        <f>"43613-1043"</f>
        <v>43613-1043</v>
      </c>
      <c r="G5303" t="str">
        <f>"716165"</f>
        <v>716165</v>
      </c>
      <c r="H5303" s="2">
        <f>20</f>
        <v>20</v>
      </c>
      <c r="I5303" t="s">
        <v>27</v>
      </c>
      <c r="J5303" t="s">
        <v>34</v>
      </c>
      <c r="K5303" t="str">
        <f>"121902"</f>
        <v>121902</v>
      </c>
    </row>
    <row r="5304" spans="1:11" x14ac:dyDescent="0.25">
      <c r="A5304">
        <v>2024</v>
      </c>
      <c r="B5304" t="s">
        <v>4388</v>
      </c>
      <c r="C5304" t="s">
        <v>4389</v>
      </c>
      <c r="D5304" t="s">
        <v>4390</v>
      </c>
      <c r="E5304" t="s">
        <v>14</v>
      </c>
      <c r="F5304" t="str">
        <f>"48131"</f>
        <v>48131</v>
      </c>
      <c r="G5304" t="str">
        <f>"716619"</f>
        <v>716619</v>
      </c>
      <c r="H5304" s="2">
        <f>4.22</f>
        <v>4.22</v>
      </c>
      <c r="I5304" t="s">
        <v>27</v>
      </c>
      <c r="J5304" t="s">
        <v>34</v>
      </c>
      <c r="K5304" t="str">
        <f>"33012846"</f>
        <v>33012846</v>
      </c>
    </row>
    <row r="5305" spans="1:11" x14ac:dyDescent="0.25">
      <c r="A5305">
        <v>2024</v>
      </c>
      <c r="B5305" t="s">
        <v>4388</v>
      </c>
      <c r="C5305" t="s">
        <v>4389</v>
      </c>
      <c r="D5305" t="s">
        <v>4390</v>
      </c>
      <c r="E5305" t="s">
        <v>14</v>
      </c>
      <c r="F5305" t="str">
        <f>"48131"</f>
        <v>48131</v>
      </c>
      <c r="G5305" t="str">
        <f>"716619"</f>
        <v>716619</v>
      </c>
      <c r="H5305" s="2">
        <f>2.62</f>
        <v>2.62</v>
      </c>
      <c r="I5305" t="s">
        <v>27</v>
      </c>
      <c r="J5305" t="s">
        <v>34</v>
      </c>
      <c r="K5305" t="str">
        <f>"33012847"</f>
        <v>33012847</v>
      </c>
    </row>
    <row r="5306" spans="1:11" x14ac:dyDescent="0.25">
      <c r="A5306">
        <v>2024</v>
      </c>
      <c r="B5306" t="s">
        <v>4398</v>
      </c>
      <c r="C5306" t="s">
        <v>4401</v>
      </c>
      <c r="D5306" t="s">
        <v>536</v>
      </c>
      <c r="E5306" t="s">
        <v>14</v>
      </c>
      <c r="F5306" t="str">
        <f>"48161"</f>
        <v>48161</v>
      </c>
      <c r="G5306" t="str">
        <f>"716619"</f>
        <v>716619</v>
      </c>
      <c r="H5306" s="2">
        <f>5</f>
        <v>5</v>
      </c>
      <c r="I5306" t="s">
        <v>27</v>
      </c>
      <c r="J5306" t="s">
        <v>34</v>
      </c>
      <c r="K5306" t="str">
        <f>"11004477"</f>
        <v>11004477</v>
      </c>
    </row>
    <row r="5307" spans="1:11" x14ac:dyDescent="0.25">
      <c r="A5307">
        <v>2024</v>
      </c>
      <c r="B5307" t="s">
        <v>4404</v>
      </c>
      <c r="C5307" t="s">
        <v>4405</v>
      </c>
      <c r="D5307" t="s">
        <v>19</v>
      </c>
      <c r="E5307" t="s">
        <v>20</v>
      </c>
      <c r="F5307" t="str">
        <f>"43614-1252"</f>
        <v>43614-1252</v>
      </c>
      <c r="G5307" t="str">
        <f>"716165"</f>
        <v>716165</v>
      </c>
      <c r="H5307" s="2">
        <f>20</f>
        <v>20</v>
      </c>
      <c r="I5307" t="s">
        <v>27</v>
      </c>
      <c r="J5307" t="s">
        <v>34</v>
      </c>
      <c r="K5307" t="str">
        <f>"121134"</f>
        <v>121134</v>
      </c>
    </row>
    <row r="5308" spans="1:11" x14ac:dyDescent="0.25">
      <c r="A5308">
        <v>2024</v>
      </c>
      <c r="B5308" t="s">
        <v>4434</v>
      </c>
      <c r="C5308" t="s">
        <v>4435</v>
      </c>
      <c r="D5308" t="s">
        <v>105</v>
      </c>
      <c r="E5308" t="s">
        <v>20</v>
      </c>
      <c r="F5308" t="str">
        <f>"43528"</f>
        <v>43528</v>
      </c>
      <c r="G5308" t="str">
        <f>"Je10112024"</f>
        <v>Je10112024</v>
      </c>
      <c r="H5308" s="2">
        <f>45</f>
        <v>45</v>
      </c>
      <c r="I5308" t="s">
        <v>15</v>
      </c>
      <c r="J5308" t="s">
        <v>205</v>
      </c>
      <c r="K5308" t="str">
        <f>"60129232"</f>
        <v>60129232</v>
      </c>
    </row>
    <row r="5309" spans="1:11" x14ac:dyDescent="0.25">
      <c r="A5309">
        <v>2024</v>
      </c>
      <c r="B5309" t="s">
        <v>4473</v>
      </c>
      <c r="C5309" t="s">
        <v>1050</v>
      </c>
      <c r="D5309" t="s">
        <v>19</v>
      </c>
      <c r="E5309" t="s">
        <v>20</v>
      </c>
      <c r="F5309" t="str">
        <f>"43613"</f>
        <v>43613</v>
      </c>
      <c r="G5309" t="str">
        <f>"716619"</f>
        <v>716619</v>
      </c>
      <c r="H5309" s="2">
        <f>15</f>
        <v>15</v>
      </c>
      <c r="I5309" t="s">
        <v>27</v>
      </c>
      <c r="J5309" t="s">
        <v>34</v>
      </c>
      <c r="K5309" t="str">
        <f>"22025585"</f>
        <v>22025585</v>
      </c>
    </row>
    <row r="5310" spans="1:11" x14ac:dyDescent="0.25">
      <c r="A5310">
        <v>2024</v>
      </c>
      <c r="B5310" t="s">
        <v>4510</v>
      </c>
      <c r="C5310" t="s">
        <v>4511</v>
      </c>
      <c r="D5310" t="s">
        <v>125</v>
      </c>
      <c r="E5310" t="s">
        <v>20</v>
      </c>
      <c r="F5310" t="str">
        <f>"43537-8213"</f>
        <v>43537-8213</v>
      </c>
      <c r="G5310" t="str">
        <f>"716165"</f>
        <v>716165</v>
      </c>
      <c r="H5310" s="2">
        <f>10</f>
        <v>10</v>
      </c>
      <c r="I5310" t="s">
        <v>27</v>
      </c>
      <c r="J5310" t="s">
        <v>34</v>
      </c>
      <c r="K5310" t="str">
        <f>"122508"</f>
        <v>122508</v>
      </c>
    </row>
    <row r="5311" spans="1:11" x14ac:dyDescent="0.25">
      <c r="A5311">
        <v>2024</v>
      </c>
      <c r="B5311" t="s">
        <v>4514</v>
      </c>
      <c r="C5311" t="s">
        <v>4515</v>
      </c>
      <c r="D5311" t="s">
        <v>58</v>
      </c>
      <c r="E5311" t="s">
        <v>20</v>
      </c>
      <c r="F5311" t="str">
        <f>"43616-2919"</f>
        <v>43616-2919</v>
      </c>
      <c r="G5311" t="str">
        <f>"716165"</f>
        <v>716165</v>
      </c>
      <c r="H5311" s="2">
        <f>10</f>
        <v>10</v>
      </c>
      <c r="I5311" t="s">
        <v>27</v>
      </c>
      <c r="J5311" t="s">
        <v>34</v>
      </c>
      <c r="K5311" t="str">
        <f>"123004"</f>
        <v>123004</v>
      </c>
    </row>
    <row r="5312" spans="1:11" x14ac:dyDescent="0.25">
      <c r="A5312">
        <v>2024</v>
      </c>
      <c r="B5312" t="s">
        <v>4567</v>
      </c>
      <c r="C5312" t="s">
        <v>4568</v>
      </c>
      <c r="D5312" t="s">
        <v>19</v>
      </c>
      <c r="E5312" t="s">
        <v>20</v>
      </c>
      <c r="F5312" t="str">
        <f>"43617"</f>
        <v>43617</v>
      </c>
      <c r="G5312" t="str">
        <f>"716166"</f>
        <v>716166</v>
      </c>
      <c r="H5312" s="2">
        <f>12</f>
        <v>12</v>
      </c>
      <c r="I5312" t="s">
        <v>27</v>
      </c>
      <c r="J5312" t="s">
        <v>262</v>
      </c>
      <c r="K5312" t="str">
        <f>"42456"</f>
        <v>42456</v>
      </c>
    </row>
    <row r="5313" spans="1:11" x14ac:dyDescent="0.25">
      <c r="A5313">
        <v>2024</v>
      </c>
      <c r="B5313" t="s">
        <v>4572</v>
      </c>
      <c r="C5313" t="s">
        <v>4573</v>
      </c>
      <c r="D5313" t="s">
        <v>19</v>
      </c>
      <c r="E5313" t="s">
        <v>20</v>
      </c>
      <c r="F5313" t="str">
        <f>"43605-1607"</f>
        <v>43605-1607</v>
      </c>
      <c r="G5313" t="str">
        <f>"716165"</f>
        <v>716165</v>
      </c>
      <c r="H5313" s="2">
        <f>10</f>
        <v>10</v>
      </c>
      <c r="I5313" t="s">
        <v>27</v>
      </c>
      <c r="J5313" t="s">
        <v>34</v>
      </c>
      <c r="K5313" t="str">
        <f>"124969"</f>
        <v>124969</v>
      </c>
    </row>
    <row r="5314" spans="1:11" x14ac:dyDescent="0.25">
      <c r="A5314">
        <v>2024</v>
      </c>
      <c r="B5314" t="s">
        <v>4578</v>
      </c>
      <c r="C5314" t="s">
        <v>4579</v>
      </c>
      <c r="D5314" t="s">
        <v>19</v>
      </c>
      <c r="E5314" t="s">
        <v>20</v>
      </c>
      <c r="F5314" t="str">
        <f>"43605-1628"</f>
        <v>43605-1628</v>
      </c>
      <c r="G5314" t="str">
        <f>"716165"</f>
        <v>716165</v>
      </c>
      <c r="H5314" s="2">
        <f>10</f>
        <v>10</v>
      </c>
      <c r="I5314" t="s">
        <v>27</v>
      </c>
      <c r="J5314" t="s">
        <v>34</v>
      </c>
      <c r="K5314" t="str">
        <f>"123041"</f>
        <v>123041</v>
      </c>
    </row>
    <row r="5315" spans="1:11" x14ac:dyDescent="0.25">
      <c r="A5315">
        <v>2024</v>
      </c>
      <c r="B5315" t="s">
        <v>4610</v>
      </c>
      <c r="C5315" t="s">
        <v>4608</v>
      </c>
      <c r="D5315" t="s">
        <v>19</v>
      </c>
      <c r="E5315" t="s">
        <v>20</v>
      </c>
      <c r="F5315" t="str">
        <f>"43612"</f>
        <v>43612</v>
      </c>
      <c r="G5315" t="str">
        <f>"716619"</f>
        <v>716619</v>
      </c>
      <c r="H5315" s="2">
        <f>6.5</f>
        <v>6.5</v>
      </c>
      <c r="I5315" t="s">
        <v>27</v>
      </c>
      <c r="J5315" t="s">
        <v>34</v>
      </c>
      <c r="K5315" t="str">
        <f>"44010287"</f>
        <v>44010287</v>
      </c>
    </row>
    <row r="5316" spans="1:11" x14ac:dyDescent="0.25">
      <c r="A5316">
        <v>2024</v>
      </c>
      <c r="B5316" t="s">
        <v>4610</v>
      </c>
      <c r="C5316" t="s">
        <v>4608</v>
      </c>
      <c r="D5316" t="s">
        <v>19</v>
      </c>
      <c r="E5316" t="s">
        <v>20</v>
      </c>
      <c r="F5316" t="str">
        <f>"43612"</f>
        <v>43612</v>
      </c>
      <c r="G5316" t="str">
        <f>"716619"</f>
        <v>716619</v>
      </c>
      <c r="H5316" s="2">
        <f>20</f>
        <v>20</v>
      </c>
      <c r="I5316" t="s">
        <v>27</v>
      </c>
      <c r="J5316" t="s">
        <v>34</v>
      </c>
      <c r="K5316" t="str">
        <f>"44009995"</f>
        <v>44009995</v>
      </c>
    </row>
    <row r="5317" spans="1:11" x14ac:dyDescent="0.25">
      <c r="A5317">
        <v>2024</v>
      </c>
      <c r="B5317" t="s">
        <v>4636</v>
      </c>
      <c r="C5317" t="s">
        <v>4637</v>
      </c>
      <c r="D5317" t="s">
        <v>50</v>
      </c>
      <c r="E5317" t="s">
        <v>20</v>
      </c>
      <c r="F5317" t="str">
        <f>"43560"</f>
        <v>43560</v>
      </c>
      <c r="G5317" t="str">
        <f>"Je10112024"</f>
        <v>Je10112024</v>
      </c>
      <c r="H5317" s="2">
        <f>220</f>
        <v>220</v>
      </c>
      <c r="I5317" t="s">
        <v>15</v>
      </c>
      <c r="J5317" t="s">
        <v>205</v>
      </c>
      <c r="K5317" t="str">
        <f>"60127689"</f>
        <v>60127689</v>
      </c>
    </row>
    <row r="5318" spans="1:11" x14ac:dyDescent="0.25">
      <c r="A5318">
        <v>2024</v>
      </c>
      <c r="B5318" t="s">
        <v>4636</v>
      </c>
      <c r="C5318" t="s">
        <v>4637</v>
      </c>
      <c r="D5318" t="s">
        <v>50</v>
      </c>
      <c r="E5318" t="s">
        <v>20</v>
      </c>
      <c r="F5318" t="str">
        <f>"43560"</f>
        <v>43560</v>
      </c>
      <c r="G5318" t="str">
        <f>"Je12122024"</f>
        <v>Je12122024</v>
      </c>
      <c r="H5318" s="2">
        <f>203</f>
        <v>203</v>
      </c>
      <c r="I5318" t="s">
        <v>15</v>
      </c>
      <c r="J5318" t="s">
        <v>1326</v>
      </c>
      <c r="K5318" t="str">
        <f>"60133445"</f>
        <v>60133445</v>
      </c>
    </row>
    <row r="5319" spans="1:11" x14ac:dyDescent="0.25">
      <c r="A5319">
        <v>2024</v>
      </c>
      <c r="B5319" t="s">
        <v>4636</v>
      </c>
      <c r="C5319" t="s">
        <v>4637</v>
      </c>
      <c r="D5319" t="s">
        <v>50</v>
      </c>
      <c r="E5319" t="s">
        <v>20</v>
      </c>
      <c r="F5319" t="str">
        <f>"43560"</f>
        <v>43560</v>
      </c>
      <c r="G5319" t="str">
        <f>"Je12122024"</f>
        <v>Je12122024</v>
      </c>
      <c r="H5319" s="2">
        <f>203</f>
        <v>203</v>
      </c>
      <c r="I5319" t="s">
        <v>15</v>
      </c>
      <c r="J5319" t="s">
        <v>1326</v>
      </c>
      <c r="K5319" t="str">
        <f>"60137100"</f>
        <v>60137100</v>
      </c>
    </row>
    <row r="5320" spans="1:11" x14ac:dyDescent="0.25">
      <c r="A5320">
        <v>2024</v>
      </c>
      <c r="B5320" t="s">
        <v>4652</v>
      </c>
      <c r="C5320" t="s">
        <v>4653</v>
      </c>
      <c r="D5320" t="s">
        <v>19</v>
      </c>
      <c r="E5320" t="s">
        <v>20</v>
      </c>
      <c r="F5320" t="str">
        <f>"43606"</f>
        <v>43606</v>
      </c>
      <c r="G5320" t="str">
        <f>"Je03262024"</f>
        <v>Je03262024</v>
      </c>
      <c r="H5320" s="2">
        <f>234.85</f>
        <v>234.85</v>
      </c>
      <c r="I5320" t="s">
        <v>15</v>
      </c>
      <c r="J5320" t="s">
        <v>21</v>
      </c>
      <c r="K5320" t="str">
        <f>"60108732"</f>
        <v>60108732</v>
      </c>
    </row>
    <row r="5321" spans="1:11" x14ac:dyDescent="0.25">
      <c r="A5321">
        <v>2024</v>
      </c>
      <c r="B5321" t="s">
        <v>4654</v>
      </c>
      <c r="C5321" t="s">
        <v>4655</v>
      </c>
      <c r="D5321" t="s">
        <v>19</v>
      </c>
      <c r="E5321" t="s">
        <v>20</v>
      </c>
      <c r="F5321" t="str">
        <f>"43612-4218"</f>
        <v>43612-4218</v>
      </c>
      <c r="G5321" t="str">
        <f>"716165"</f>
        <v>716165</v>
      </c>
      <c r="H5321" s="2">
        <f>10</f>
        <v>10</v>
      </c>
      <c r="I5321" t="s">
        <v>27</v>
      </c>
      <c r="J5321" t="s">
        <v>34</v>
      </c>
      <c r="K5321" t="str">
        <f>"123114"</f>
        <v>123114</v>
      </c>
    </row>
    <row r="5322" spans="1:11" x14ac:dyDescent="0.25">
      <c r="A5322">
        <v>2024</v>
      </c>
      <c r="B5322" t="s">
        <v>4658</v>
      </c>
      <c r="C5322" t="s">
        <v>4659</v>
      </c>
      <c r="D5322" t="s">
        <v>125</v>
      </c>
      <c r="E5322" t="s">
        <v>20</v>
      </c>
      <c r="F5322" t="str">
        <f>"43537-3143"</f>
        <v>43537-3143</v>
      </c>
      <c r="G5322" t="str">
        <f>"716165"</f>
        <v>716165</v>
      </c>
      <c r="H5322" s="2">
        <f>10</f>
        <v>10</v>
      </c>
      <c r="I5322" t="s">
        <v>27</v>
      </c>
      <c r="J5322" t="s">
        <v>34</v>
      </c>
      <c r="K5322" t="str">
        <f>"124723"</f>
        <v>124723</v>
      </c>
    </row>
    <row r="5323" spans="1:11" x14ac:dyDescent="0.25">
      <c r="A5323">
        <v>2024</v>
      </c>
      <c r="B5323" t="s">
        <v>4677</v>
      </c>
      <c r="C5323" t="s">
        <v>4678</v>
      </c>
      <c r="D5323" t="s">
        <v>19</v>
      </c>
      <c r="E5323" t="s">
        <v>20</v>
      </c>
      <c r="F5323" t="str">
        <f>"43612"</f>
        <v>43612</v>
      </c>
      <c r="G5323" t="str">
        <f>"716165"</f>
        <v>716165</v>
      </c>
      <c r="H5323" s="2">
        <f>30</f>
        <v>30</v>
      </c>
      <c r="I5323" t="s">
        <v>27</v>
      </c>
      <c r="J5323" t="s">
        <v>34</v>
      </c>
      <c r="K5323" t="str">
        <f>"122635"</f>
        <v>122635</v>
      </c>
    </row>
    <row r="5324" spans="1:11" x14ac:dyDescent="0.25">
      <c r="A5324">
        <v>2024</v>
      </c>
      <c r="B5324" t="s">
        <v>4683</v>
      </c>
      <c r="C5324" t="s">
        <v>4684</v>
      </c>
      <c r="D5324" t="s">
        <v>19</v>
      </c>
      <c r="E5324" t="s">
        <v>20</v>
      </c>
      <c r="F5324" t="str">
        <f>"43615"</f>
        <v>43615</v>
      </c>
      <c r="G5324" t="str">
        <f>"Je12122024"</f>
        <v>Je12122024</v>
      </c>
      <c r="H5324" s="2">
        <f>20</f>
        <v>20</v>
      </c>
      <c r="I5324" t="s">
        <v>15</v>
      </c>
      <c r="J5324" t="s">
        <v>1326</v>
      </c>
      <c r="K5324" t="str">
        <f>"60137107"</f>
        <v>60137107</v>
      </c>
    </row>
    <row r="5325" spans="1:11" x14ac:dyDescent="0.25">
      <c r="A5325">
        <v>2024</v>
      </c>
      <c r="B5325" t="s">
        <v>4689</v>
      </c>
      <c r="C5325" t="s">
        <v>4690</v>
      </c>
      <c r="D5325" t="s">
        <v>19</v>
      </c>
      <c r="E5325" t="s">
        <v>20</v>
      </c>
      <c r="F5325" t="str">
        <f>"43623-2062"</f>
        <v>43623-2062</v>
      </c>
      <c r="G5325" t="str">
        <f t="shared" ref="G5325:G5332" si="183">"716165"</f>
        <v>716165</v>
      </c>
      <c r="H5325" s="2">
        <f>10</f>
        <v>10</v>
      </c>
      <c r="I5325" t="s">
        <v>27</v>
      </c>
      <c r="J5325" t="s">
        <v>34</v>
      </c>
      <c r="K5325" t="str">
        <f>"123488"</f>
        <v>123488</v>
      </c>
    </row>
    <row r="5326" spans="1:11" x14ac:dyDescent="0.25">
      <c r="A5326">
        <v>2024</v>
      </c>
      <c r="B5326" t="s">
        <v>4693</v>
      </c>
      <c r="C5326" t="s">
        <v>4694</v>
      </c>
      <c r="D5326" t="s">
        <v>19</v>
      </c>
      <c r="E5326" t="s">
        <v>20</v>
      </c>
      <c r="F5326" t="str">
        <f>"43614-2616"</f>
        <v>43614-2616</v>
      </c>
      <c r="G5326" t="str">
        <f t="shared" si="183"/>
        <v>716165</v>
      </c>
      <c r="H5326" s="2">
        <f>10</f>
        <v>10</v>
      </c>
      <c r="I5326" t="s">
        <v>27</v>
      </c>
      <c r="J5326" t="s">
        <v>34</v>
      </c>
      <c r="K5326" t="str">
        <f>"121378"</f>
        <v>121378</v>
      </c>
    </row>
    <row r="5327" spans="1:11" x14ac:dyDescent="0.25">
      <c r="A5327">
        <v>2024</v>
      </c>
      <c r="B5327" t="s">
        <v>4701</v>
      </c>
      <c r="C5327" t="s">
        <v>4702</v>
      </c>
      <c r="D5327" t="s">
        <v>64</v>
      </c>
      <c r="E5327" t="s">
        <v>20</v>
      </c>
      <c r="F5327" t="str">
        <f>"43566"</f>
        <v>43566</v>
      </c>
      <c r="G5327" t="str">
        <f t="shared" si="183"/>
        <v>716165</v>
      </c>
      <c r="H5327" s="2">
        <f>10</f>
        <v>10</v>
      </c>
      <c r="I5327" t="s">
        <v>27</v>
      </c>
      <c r="J5327" t="s">
        <v>34</v>
      </c>
      <c r="K5327" t="str">
        <f>"123971"</f>
        <v>123971</v>
      </c>
    </row>
    <row r="5328" spans="1:11" x14ac:dyDescent="0.25">
      <c r="A5328">
        <v>2024</v>
      </c>
      <c r="B5328" t="s">
        <v>4703</v>
      </c>
      <c r="C5328" t="s">
        <v>4704</v>
      </c>
      <c r="D5328" t="s">
        <v>125</v>
      </c>
      <c r="E5328" t="s">
        <v>20</v>
      </c>
      <c r="F5328" t="str">
        <f>"43537-8940"</f>
        <v>43537-8940</v>
      </c>
      <c r="G5328" t="str">
        <f t="shared" si="183"/>
        <v>716165</v>
      </c>
      <c r="H5328" s="2">
        <f>10</f>
        <v>10</v>
      </c>
      <c r="I5328" t="s">
        <v>27</v>
      </c>
      <c r="J5328" t="s">
        <v>34</v>
      </c>
      <c r="K5328" t="str">
        <f>"125122"</f>
        <v>125122</v>
      </c>
    </row>
    <row r="5329" spans="1:11" x14ac:dyDescent="0.25">
      <c r="A5329">
        <v>2024</v>
      </c>
      <c r="B5329" t="s">
        <v>4730</v>
      </c>
      <c r="C5329" t="s">
        <v>4731</v>
      </c>
      <c r="D5329" t="s">
        <v>19</v>
      </c>
      <c r="E5329" t="s">
        <v>20</v>
      </c>
      <c r="F5329" t="str">
        <f>"43608-1607"</f>
        <v>43608-1607</v>
      </c>
      <c r="G5329" t="str">
        <f t="shared" si="183"/>
        <v>716165</v>
      </c>
      <c r="H5329" s="2">
        <f>10</f>
        <v>10</v>
      </c>
      <c r="I5329" t="s">
        <v>27</v>
      </c>
      <c r="J5329" t="s">
        <v>34</v>
      </c>
      <c r="K5329" t="str">
        <f>"123242"</f>
        <v>123242</v>
      </c>
    </row>
    <row r="5330" spans="1:11" x14ac:dyDescent="0.25">
      <c r="A5330">
        <v>2024</v>
      </c>
      <c r="B5330" t="s">
        <v>4758</v>
      </c>
      <c r="C5330" t="s">
        <v>4759</v>
      </c>
      <c r="D5330" t="s">
        <v>50</v>
      </c>
      <c r="E5330" t="s">
        <v>20</v>
      </c>
      <c r="F5330" t="str">
        <f>"43560-3602"</f>
        <v>43560-3602</v>
      </c>
      <c r="G5330" t="str">
        <f t="shared" si="183"/>
        <v>716165</v>
      </c>
      <c r="H5330" s="2">
        <f>30</f>
        <v>30</v>
      </c>
      <c r="I5330" t="s">
        <v>27</v>
      </c>
      <c r="J5330" t="s">
        <v>34</v>
      </c>
      <c r="K5330" t="str">
        <f>"122028"</f>
        <v>122028</v>
      </c>
    </row>
    <row r="5331" spans="1:11" x14ac:dyDescent="0.25">
      <c r="A5331">
        <v>2024</v>
      </c>
      <c r="B5331" t="s">
        <v>4767</v>
      </c>
      <c r="C5331" t="s">
        <v>4768</v>
      </c>
      <c r="D5331" t="s">
        <v>19</v>
      </c>
      <c r="E5331" t="s">
        <v>20</v>
      </c>
      <c r="F5331" t="str">
        <f>"43614-3734"</f>
        <v>43614-3734</v>
      </c>
      <c r="G5331" t="str">
        <f t="shared" si="183"/>
        <v>716165</v>
      </c>
      <c r="H5331" s="2">
        <f>10</f>
        <v>10</v>
      </c>
      <c r="I5331" t="s">
        <v>27</v>
      </c>
      <c r="J5331" t="s">
        <v>34</v>
      </c>
      <c r="K5331" t="str">
        <f>"122853"</f>
        <v>122853</v>
      </c>
    </row>
    <row r="5332" spans="1:11" x14ac:dyDescent="0.25">
      <c r="A5332">
        <v>2024</v>
      </c>
      <c r="B5332" t="s">
        <v>4802</v>
      </c>
      <c r="C5332" t="s">
        <v>4803</v>
      </c>
      <c r="D5332" t="s">
        <v>50</v>
      </c>
      <c r="E5332" t="s">
        <v>20</v>
      </c>
      <c r="F5332" t="str">
        <f>"43560-2932"</f>
        <v>43560-2932</v>
      </c>
      <c r="G5332" t="str">
        <f t="shared" si="183"/>
        <v>716165</v>
      </c>
      <c r="H5332" s="2">
        <f>10</f>
        <v>10</v>
      </c>
      <c r="I5332" t="s">
        <v>27</v>
      </c>
      <c r="J5332" t="s">
        <v>34</v>
      </c>
      <c r="K5332" t="str">
        <f>"124224"</f>
        <v>124224</v>
      </c>
    </row>
    <row r="5333" spans="1:11" x14ac:dyDescent="0.25">
      <c r="A5333">
        <v>2024</v>
      </c>
      <c r="B5333" t="s">
        <v>4804</v>
      </c>
      <c r="C5333" t="s">
        <v>4805</v>
      </c>
      <c r="D5333" t="s">
        <v>50</v>
      </c>
      <c r="E5333" t="s">
        <v>20</v>
      </c>
      <c r="F5333" t="str">
        <f>"43560"</f>
        <v>43560</v>
      </c>
      <c r="G5333" t="str">
        <f>"718470"</f>
        <v>718470</v>
      </c>
      <c r="H5333" s="2">
        <f>4.06</f>
        <v>4.0599999999999996</v>
      </c>
      <c r="I5333" t="s">
        <v>27</v>
      </c>
      <c r="J5333" t="s">
        <v>34</v>
      </c>
      <c r="K5333" t="str">
        <f>"334551"</f>
        <v>334551</v>
      </c>
    </row>
    <row r="5334" spans="1:11" x14ac:dyDescent="0.25">
      <c r="A5334">
        <v>2024</v>
      </c>
      <c r="B5334" t="s">
        <v>4810</v>
      </c>
      <c r="C5334" t="s">
        <v>4811</v>
      </c>
      <c r="D5334" t="s">
        <v>19</v>
      </c>
      <c r="E5334" t="s">
        <v>20</v>
      </c>
      <c r="F5334" t="str">
        <f>"43612"</f>
        <v>43612</v>
      </c>
      <c r="G5334" t="str">
        <f>"716619"</f>
        <v>716619</v>
      </c>
      <c r="H5334" s="2">
        <f>3</f>
        <v>3</v>
      </c>
      <c r="I5334" t="s">
        <v>27</v>
      </c>
      <c r="J5334" t="s">
        <v>34</v>
      </c>
      <c r="K5334" t="str">
        <f>"11004614"</f>
        <v>11004614</v>
      </c>
    </row>
    <row r="5335" spans="1:11" x14ac:dyDescent="0.25">
      <c r="A5335">
        <v>2024</v>
      </c>
      <c r="B5335" t="s">
        <v>4836</v>
      </c>
      <c r="C5335" t="s">
        <v>4837</v>
      </c>
      <c r="D5335" t="s">
        <v>19</v>
      </c>
      <c r="E5335" t="s">
        <v>20</v>
      </c>
      <c r="F5335" t="str">
        <f>"43605-1427"</f>
        <v>43605-1427</v>
      </c>
      <c r="G5335" t="str">
        <f>"716165"</f>
        <v>716165</v>
      </c>
      <c r="H5335" s="2">
        <f>20</f>
        <v>20</v>
      </c>
      <c r="I5335" t="s">
        <v>27</v>
      </c>
      <c r="J5335" t="s">
        <v>34</v>
      </c>
      <c r="K5335" t="str">
        <f>"122854"</f>
        <v>122854</v>
      </c>
    </row>
    <row r="5336" spans="1:11" x14ac:dyDescent="0.25">
      <c r="A5336">
        <v>2024</v>
      </c>
      <c r="B5336" t="s">
        <v>4842</v>
      </c>
      <c r="C5336" t="s">
        <v>4843</v>
      </c>
      <c r="D5336" t="s">
        <v>899</v>
      </c>
      <c r="E5336" t="s">
        <v>20</v>
      </c>
      <c r="F5336" t="str">
        <f>"43412"</f>
        <v>43412</v>
      </c>
      <c r="G5336" t="str">
        <f>"716166"</f>
        <v>716166</v>
      </c>
      <c r="H5336" s="2">
        <f>10</f>
        <v>10</v>
      </c>
      <c r="I5336" t="s">
        <v>27</v>
      </c>
      <c r="J5336" t="s">
        <v>262</v>
      </c>
      <c r="K5336" t="str">
        <f>"41683"</f>
        <v>41683</v>
      </c>
    </row>
    <row r="5337" spans="1:11" x14ac:dyDescent="0.25">
      <c r="A5337">
        <v>2024</v>
      </c>
      <c r="B5337" t="s">
        <v>4850</v>
      </c>
      <c r="C5337" t="s">
        <v>4851</v>
      </c>
      <c r="D5337" t="s">
        <v>19</v>
      </c>
      <c r="E5337" t="s">
        <v>20</v>
      </c>
      <c r="F5337" t="str">
        <f>"43608-2151"</f>
        <v>43608-2151</v>
      </c>
      <c r="G5337" t="str">
        <f t="shared" ref="G5337:G5342" si="184">"716165"</f>
        <v>716165</v>
      </c>
      <c r="H5337" s="2">
        <f>10</f>
        <v>10</v>
      </c>
      <c r="I5337" t="s">
        <v>27</v>
      </c>
      <c r="J5337" t="s">
        <v>34</v>
      </c>
      <c r="K5337" t="str">
        <f>"124930"</f>
        <v>124930</v>
      </c>
    </row>
    <row r="5338" spans="1:11" x14ac:dyDescent="0.25">
      <c r="A5338">
        <v>2024</v>
      </c>
      <c r="B5338" t="s">
        <v>4872</v>
      </c>
      <c r="C5338" t="s">
        <v>4873</v>
      </c>
      <c r="D5338" t="s">
        <v>19</v>
      </c>
      <c r="E5338" t="s">
        <v>20</v>
      </c>
      <c r="F5338" t="str">
        <f>"43623-2312"</f>
        <v>43623-2312</v>
      </c>
      <c r="G5338" t="str">
        <f t="shared" si="184"/>
        <v>716165</v>
      </c>
      <c r="H5338" s="2">
        <f>10</f>
        <v>10</v>
      </c>
      <c r="I5338" t="s">
        <v>27</v>
      </c>
      <c r="J5338" t="s">
        <v>34</v>
      </c>
      <c r="K5338" t="str">
        <f>"121863"</f>
        <v>121863</v>
      </c>
    </row>
    <row r="5339" spans="1:11" x14ac:dyDescent="0.25">
      <c r="A5339">
        <v>2024</v>
      </c>
      <c r="B5339" t="s">
        <v>4874</v>
      </c>
      <c r="C5339" t="s">
        <v>4875</v>
      </c>
      <c r="D5339" t="s">
        <v>19</v>
      </c>
      <c r="E5339" t="s">
        <v>20</v>
      </c>
      <c r="F5339" t="str">
        <f>"43606-2627"</f>
        <v>43606-2627</v>
      </c>
      <c r="G5339" t="str">
        <f t="shared" si="184"/>
        <v>716165</v>
      </c>
      <c r="H5339" s="2">
        <f>10</f>
        <v>10</v>
      </c>
      <c r="I5339" t="s">
        <v>27</v>
      </c>
      <c r="J5339" t="s">
        <v>34</v>
      </c>
      <c r="K5339" t="str">
        <f>"124800"</f>
        <v>124800</v>
      </c>
    </row>
    <row r="5340" spans="1:11" x14ac:dyDescent="0.25">
      <c r="A5340">
        <v>2024</v>
      </c>
      <c r="B5340" t="s">
        <v>4880</v>
      </c>
      <c r="C5340" t="s">
        <v>4881</v>
      </c>
      <c r="D5340" t="s">
        <v>19</v>
      </c>
      <c r="E5340" t="s">
        <v>20</v>
      </c>
      <c r="F5340" t="str">
        <f>"43610-1191"</f>
        <v>43610-1191</v>
      </c>
      <c r="G5340" t="str">
        <f t="shared" si="184"/>
        <v>716165</v>
      </c>
      <c r="H5340" s="2">
        <f>20</f>
        <v>20</v>
      </c>
      <c r="I5340" t="s">
        <v>27</v>
      </c>
      <c r="J5340" t="s">
        <v>34</v>
      </c>
      <c r="K5340" t="str">
        <f>"121517"</f>
        <v>121517</v>
      </c>
    </row>
    <row r="5341" spans="1:11" x14ac:dyDescent="0.25">
      <c r="A5341">
        <v>2024</v>
      </c>
      <c r="B5341" t="s">
        <v>4882</v>
      </c>
      <c r="C5341" t="s">
        <v>4883</v>
      </c>
      <c r="D5341" t="s">
        <v>19</v>
      </c>
      <c r="E5341" t="s">
        <v>20</v>
      </c>
      <c r="F5341" t="str">
        <f>"43623-1336"</f>
        <v>43623-1336</v>
      </c>
      <c r="G5341" t="str">
        <f t="shared" si="184"/>
        <v>716165</v>
      </c>
      <c r="H5341" s="2">
        <f>10</f>
        <v>10</v>
      </c>
      <c r="I5341" t="s">
        <v>27</v>
      </c>
      <c r="J5341" t="s">
        <v>34</v>
      </c>
      <c r="K5341" t="str">
        <f>"122534"</f>
        <v>122534</v>
      </c>
    </row>
    <row r="5342" spans="1:11" x14ac:dyDescent="0.25">
      <c r="A5342">
        <v>2024</v>
      </c>
      <c r="B5342" t="s">
        <v>4933</v>
      </c>
      <c r="C5342" t="s">
        <v>4934</v>
      </c>
      <c r="D5342" t="s">
        <v>19</v>
      </c>
      <c r="E5342" t="s">
        <v>20</v>
      </c>
      <c r="F5342" t="str">
        <f>"43613-2209"</f>
        <v>43613-2209</v>
      </c>
      <c r="G5342" t="str">
        <f t="shared" si="184"/>
        <v>716165</v>
      </c>
      <c r="H5342" s="2">
        <f>30</f>
        <v>30</v>
      </c>
      <c r="I5342" t="s">
        <v>27</v>
      </c>
      <c r="J5342" t="s">
        <v>34</v>
      </c>
      <c r="K5342" t="str">
        <f>"122927"</f>
        <v>122927</v>
      </c>
    </row>
    <row r="5343" spans="1:11" x14ac:dyDescent="0.25">
      <c r="A5343">
        <v>2024</v>
      </c>
      <c r="B5343" t="s">
        <v>4948</v>
      </c>
      <c r="C5343" t="s">
        <v>4949</v>
      </c>
      <c r="D5343" t="s">
        <v>19</v>
      </c>
      <c r="E5343" t="s">
        <v>20</v>
      </c>
      <c r="F5343" t="str">
        <f>"43606"</f>
        <v>43606</v>
      </c>
      <c r="G5343" t="str">
        <f>"Je03262024"</f>
        <v>Je03262024</v>
      </c>
      <c r="H5343" s="2">
        <f>72.47</f>
        <v>72.47</v>
      </c>
      <c r="I5343" t="s">
        <v>15</v>
      </c>
      <c r="J5343" t="s">
        <v>21</v>
      </c>
      <c r="K5343" t="str">
        <f>"60114414"</f>
        <v>60114414</v>
      </c>
    </row>
    <row r="5344" spans="1:11" x14ac:dyDescent="0.25">
      <c r="A5344">
        <v>2024</v>
      </c>
      <c r="B5344" t="s">
        <v>4950</v>
      </c>
      <c r="C5344" t="s">
        <v>4951</v>
      </c>
      <c r="D5344" t="s">
        <v>19</v>
      </c>
      <c r="E5344" t="s">
        <v>20</v>
      </c>
      <c r="F5344" t="str">
        <f>"43605"</f>
        <v>43605</v>
      </c>
      <c r="G5344" t="str">
        <f>"Je12122024"</f>
        <v>Je12122024</v>
      </c>
      <c r="H5344" s="2">
        <f>203</f>
        <v>203</v>
      </c>
      <c r="I5344" t="s">
        <v>15</v>
      </c>
      <c r="J5344" t="s">
        <v>1326</v>
      </c>
      <c r="K5344" t="str">
        <f>"60137144"</f>
        <v>60137144</v>
      </c>
    </row>
    <row r="5345" spans="1:11" x14ac:dyDescent="0.25">
      <c r="A5345">
        <v>2024</v>
      </c>
      <c r="B5345" t="s">
        <v>4980</v>
      </c>
      <c r="C5345" t="s">
        <v>4981</v>
      </c>
      <c r="D5345" t="s">
        <v>4981</v>
      </c>
      <c r="E5345" t="s">
        <v>4982</v>
      </c>
      <c r="F5345" t="str">
        <f>"00000"</f>
        <v>00000</v>
      </c>
      <c r="G5345" t="str">
        <f>"719211"</f>
        <v>719211</v>
      </c>
      <c r="H5345" s="2">
        <f>270</f>
        <v>270</v>
      </c>
      <c r="I5345" t="s">
        <v>27</v>
      </c>
      <c r="J5345" t="s">
        <v>200</v>
      </c>
      <c r="K5345" t="str">
        <f>"N/A"</f>
        <v>N/A</v>
      </c>
    </row>
    <row r="5346" spans="1:11" x14ac:dyDescent="0.25">
      <c r="A5346">
        <v>2024</v>
      </c>
      <c r="B5346" t="s">
        <v>5014</v>
      </c>
      <c r="C5346" t="s">
        <v>5015</v>
      </c>
      <c r="D5346" t="s">
        <v>19</v>
      </c>
      <c r="E5346" t="s">
        <v>20</v>
      </c>
      <c r="F5346" t="str">
        <f>"43605-2014"</f>
        <v>43605-2014</v>
      </c>
      <c r="G5346" t="str">
        <f>"716165"</f>
        <v>716165</v>
      </c>
      <c r="H5346" s="2">
        <f>10</f>
        <v>10</v>
      </c>
      <c r="I5346" t="s">
        <v>27</v>
      </c>
      <c r="J5346" t="s">
        <v>34</v>
      </c>
      <c r="K5346" t="str">
        <f>"125093"</f>
        <v>125093</v>
      </c>
    </row>
    <row r="5347" spans="1:11" x14ac:dyDescent="0.25">
      <c r="A5347">
        <v>2024</v>
      </c>
      <c r="B5347" t="s">
        <v>5022</v>
      </c>
      <c r="C5347" t="s">
        <v>5023</v>
      </c>
      <c r="D5347" t="s">
        <v>5024</v>
      </c>
      <c r="E5347" t="s">
        <v>1341</v>
      </c>
      <c r="F5347" t="str">
        <f>"75019"</f>
        <v>75019</v>
      </c>
      <c r="G5347" t="str">
        <f>"Je12122024"</f>
        <v>Je12122024</v>
      </c>
      <c r="H5347" s="2">
        <f>476.8</f>
        <v>476.8</v>
      </c>
      <c r="I5347" t="s">
        <v>15</v>
      </c>
      <c r="J5347" t="s">
        <v>1326</v>
      </c>
      <c r="K5347" t="str">
        <f>"60134910"</f>
        <v>60134910</v>
      </c>
    </row>
    <row r="5348" spans="1:11" x14ac:dyDescent="0.25">
      <c r="A5348">
        <v>2024</v>
      </c>
      <c r="B5348" t="s">
        <v>5030</v>
      </c>
      <c r="C5348" t="s">
        <v>5031</v>
      </c>
      <c r="D5348" t="s">
        <v>50</v>
      </c>
      <c r="E5348" t="s">
        <v>20</v>
      </c>
      <c r="F5348" t="str">
        <f>"43560"</f>
        <v>43560</v>
      </c>
      <c r="G5348" t="str">
        <f>"Je10112024"</f>
        <v>Je10112024</v>
      </c>
      <c r="H5348" s="2">
        <f>20</f>
        <v>20</v>
      </c>
      <c r="I5348" t="s">
        <v>15</v>
      </c>
      <c r="J5348" t="s">
        <v>205</v>
      </c>
      <c r="K5348" t="str">
        <f>"60127760"</f>
        <v>60127760</v>
      </c>
    </row>
    <row r="5349" spans="1:11" x14ac:dyDescent="0.25">
      <c r="A5349">
        <v>2024</v>
      </c>
      <c r="B5349" t="s">
        <v>5048</v>
      </c>
      <c r="C5349" t="s">
        <v>5049</v>
      </c>
      <c r="D5349" t="s">
        <v>19</v>
      </c>
      <c r="E5349" t="s">
        <v>20</v>
      </c>
      <c r="F5349" t="str">
        <f>"43614"</f>
        <v>43614</v>
      </c>
      <c r="G5349" t="str">
        <f>"719211"</f>
        <v>719211</v>
      </c>
      <c r="H5349" s="2">
        <f>135</f>
        <v>135</v>
      </c>
      <c r="I5349" t="s">
        <v>27</v>
      </c>
      <c r="J5349" t="s">
        <v>200</v>
      </c>
      <c r="K5349" t="str">
        <f>"N/A"</f>
        <v>N/A</v>
      </c>
    </row>
    <row r="5350" spans="1:11" x14ac:dyDescent="0.25">
      <c r="A5350">
        <v>2024</v>
      </c>
      <c r="B5350" t="s">
        <v>5064</v>
      </c>
      <c r="C5350" t="s">
        <v>5065</v>
      </c>
      <c r="D5350" t="s">
        <v>19</v>
      </c>
      <c r="E5350" t="s">
        <v>20</v>
      </c>
      <c r="F5350" t="str">
        <f>"43613-2523"</f>
        <v>43613-2523</v>
      </c>
      <c r="G5350" t="str">
        <f>"716165"</f>
        <v>716165</v>
      </c>
      <c r="H5350" s="2">
        <f>10</f>
        <v>10</v>
      </c>
      <c r="I5350" t="s">
        <v>27</v>
      </c>
      <c r="J5350" t="s">
        <v>34</v>
      </c>
      <c r="K5350" t="str">
        <f>"124838"</f>
        <v>124838</v>
      </c>
    </row>
    <row r="5351" spans="1:11" x14ac:dyDescent="0.25">
      <c r="A5351">
        <v>2024</v>
      </c>
      <c r="B5351" t="s">
        <v>5068</v>
      </c>
      <c r="C5351" t="s">
        <v>5069</v>
      </c>
      <c r="D5351" t="s">
        <v>19</v>
      </c>
      <c r="E5351" t="s">
        <v>20</v>
      </c>
      <c r="F5351" t="str">
        <f>"43611-2758"</f>
        <v>43611-2758</v>
      </c>
      <c r="G5351" t="str">
        <f>"716165"</f>
        <v>716165</v>
      </c>
      <c r="H5351" s="2">
        <f>20</f>
        <v>20</v>
      </c>
      <c r="I5351" t="s">
        <v>27</v>
      </c>
      <c r="J5351" t="s">
        <v>34</v>
      </c>
      <c r="K5351" t="str">
        <f>"121674"</f>
        <v>121674</v>
      </c>
    </row>
    <row r="5352" spans="1:11" x14ac:dyDescent="0.25">
      <c r="A5352">
        <v>2024</v>
      </c>
      <c r="B5352" t="s">
        <v>5072</v>
      </c>
      <c r="C5352" t="s">
        <v>5073</v>
      </c>
      <c r="D5352" t="s">
        <v>125</v>
      </c>
      <c r="E5352" t="s">
        <v>20</v>
      </c>
      <c r="F5352" t="str">
        <f>"43537"</f>
        <v>43537</v>
      </c>
      <c r="G5352" t="str">
        <f>"Je12122024"</f>
        <v>Je12122024</v>
      </c>
      <c r="H5352" s="2">
        <f>89.24</f>
        <v>89.24</v>
      </c>
      <c r="I5352" t="s">
        <v>15</v>
      </c>
      <c r="J5352" t="s">
        <v>1326</v>
      </c>
      <c r="K5352" t="str">
        <f>"60136466"</f>
        <v>60136466</v>
      </c>
    </row>
    <row r="5353" spans="1:11" x14ac:dyDescent="0.25">
      <c r="A5353">
        <v>2024</v>
      </c>
      <c r="B5353" t="s">
        <v>5082</v>
      </c>
      <c r="C5353" t="s">
        <v>5083</v>
      </c>
      <c r="D5353" t="s">
        <v>622</v>
      </c>
      <c r="E5353" t="s">
        <v>623</v>
      </c>
      <c r="F5353" t="str">
        <f>"20005-4855"</f>
        <v>20005-4855</v>
      </c>
      <c r="G5353" t="str">
        <f>"Je12122024"</f>
        <v>Je12122024</v>
      </c>
      <c r="H5353" s="2">
        <f>1060</f>
        <v>1060</v>
      </c>
      <c r="I5353" t="s">
        <v>15</v>
      </c>
      <c r="J5353" t="s">
        <v>1326</v>
      </c>
      <c r="K5353" t="str">
        <f>"60137888"</f>
        <v>60137888</v>
      </c>
    </row>
    <row r="5354" spans="1:11" x14ac:dyDescent="0.25">
      <c r="A5354">
        <v>2024</v>
      </c>
      <c r="B5354" t="s">
        <v>5095</v>
      </c>
      <c r="C5354" t="s">
        <v>5096</v>
      </c>
      <c r="D5354" t="s">
        <v>19</v>
      </c>
      <c r="E5354" t="s">
        <v>20</v>
      </c>
      <c r="F5354" t="str">
        <f>"43608-2822"</f>
        <v>43608-2822</v>
      </c>
      <c r="G5354" t="str">
        <f>"716165"</f>
        <v>716165</v>
      </c>
      <c r="H5354" s="2">
        <f>20</f>
        <v>20</v>
      </c>
      <c r="I5354" t="s">
        <v>27</v>
      </c>
      <c r="J5354" t="s">
        <v>34</v>
      </c>
      <c r="K5354" t="str">
        <f>"123620"</f>
        <v>123620</v>
      </c>
    </row>
    <row r="5355" spans="1:11" x14ac:dyDescent="0.25">
      <c r="A5355">
        <v>2024</v>
      </c>
      <c r="B5355" t="s">
        <v>5111</v>
      </c>
      <c r="C5355" t="s">
        <v>5112</v>
      </c>
      <c r="D5355" t="s">
        <v>19</v>
      </c>
      <c r="E5355" t="s">
        <v>20</v>
      </c>
      <c r="F5355" t="str">
        <f>"43615-2721"</f>
        <v>43615-2721</v>
      </c>
      <c r="G5355" t="str">
        <f>"716165"</f>
        <v>716165</v>
      </c>
      <c r="H5355" s="2">
        <f>20</f>
        <v>20</v>
      </c>
      <c r="I5355" t="s">
        <v>27</v>
      </c>
      <c r="J5355" t="s">
        <v>34</v>
      </c>
      <c r="K5355" t="str">
        <f>"123574"</f>
        <v>123574</v>
      </c>
    </row>
    <row r="5356" spans="1:11" x14ac:dyDescent="0.25">
      <c r="A5356">
        <v>2024</v>
      </c>
      <c r="B5356" t="s">
        <v>5120</v>
      </c>
      <c r="C5356" t="s">
        <v>5121</v>
      </c>
      <c r="D5356" t="s">
        <v>19</v>
      </c>
      <c r="E5356" t="s">
        <v>20</v>
      </c>
      <c r="F5356" t="str">
        <f>"43604"</f>
        <v>43604</v>
      </c>
      <c r="G5356" t="str">
        <f>"716166"</f>
        <v>716166</v>
      </c>
      <c r="H5356" s="2">
        <f>20</f>
        <v>20</v>
      </c>
      <c r="I5356" t="s">
        <v>27</v>
      </c>
      <c r="J5356" t="s">
        <v>262</v>
      </c>
      <c r="K5356" t="str">
        <f>"43494"</f>
        <v>43494</v>
      </c>
    </row>
    <row r="5357" spans="1:11" x14ac:dyDescent="0.25">
      <c r="A5357">
        <v>2024</v>
      </c>
      <c r="B5357" t="s">
        <v>5128</v>
      </c>
      <c r="C5357" t="s">
        <v>4310</v>
      </c>
      <c r="D5357" t="s">
        <v>19</v>
      </c>
      <c r="E5357" t="s">
        <v>20</v>
      </c>
      <c r="F5357" t="str">
        <f>"43617"</f>
        <v>43617</v>
      </c>
      <c r="G5357" t="str">
        <f>"716166"</f>
        <v>716166</v>
      </c>
      <c r="H5357" s="2">
        <f>20</f>
        <v>20</v>
      </c>
      <c r="I5357" t="s">
        <v>27</v>
      </c>
      <c r="J5357" t="s">
        <v>262</v>
      </c>
      <c r="K5357" t="str">
        <f>"41604"</f>
        <v>41604</v>
      </c>
    </row>
    <row r="5358" spans="1:11" x14ac:dyDescent="0.25">
      <c r="A5358">
        <v>2024</v>
      </c>
      <c r="B5358" t="s">
        <v>5133</v>
      </c>
      <c r="C5358" t="s">
        <v>5134</v>
      </c>
      <c r="D5358" t="s">
        <v>19</v>
      </c>
      <c r="E5358" t="s">
        <v>20</v>
      </c>
      <c r="F5358" t="str">
        <f>"43623-3902"</f>
        <v>43623-3902</v>
      </c>
      <c r="G5358" t="str">
        <f t="shared" ref="G5358:G5371" si="185">"716165"</f>
        <v>716165</v>
      </c>
      <c r="H5358" s="2">
        <f>10</f>
        <v>10</v>
      </c>
      <c r="I5358" t="s">
        <v>27</v>
      </c>
      <c r="J5358" t="s">
        <v>34</v>
      </c>
      <c r="K5358" t="str">
        <f>"125081"</f>
        <v>125081</v>
      </c>
    </row>
    <row r="5359" spans="1:11" x14ac:dyDescent="0.25">
      <c r="A5359">
        <v>2024</v>
      </c>
      <c r="B5359" t="s">
        <v>5139</v>
      </c>
      <c r="C5359" t="s">
        <v>5140</v>
      </c>
      <c r="D5359" t="s">
        <v>19</v>
      </c>
      <c r="E5359" t="s">
        <v>20</v>
      </c>
      <c r="F5359" t="str">
        <f>"43611-1909"</f>
        <v>43611-1909</v>
      </c>
      <c r="G5359" t="str">
        <f t="shared" si="185"/>
        <v>716165</v>
      </c>
      <c r="H5359" s="2">
        <f>10</f>
        <v>10</v>
      </c>
      <c r="I5359" t="s">
        <v>27</v>
      </c>
      <c r="J5359" t="s">
        <v>34</v>
      </c>
      <c r="K5359" t="str">
        <f>"123547"</f>
        <v>123547</v>
      </c>
    </row>
    <row r="5360" spans="1:11" x14ac:dyDescent="0.25">
      <c r="A5360">
        <v>2024</v>
      </c>
      <c r="B5360" t="s">
        <v>5141</v>
      </c>
      <c r="C5360" t="s">
        <v>5142</v>
      </c>
      <c r="D5360" t="s">
        <v>19</v>
      </c>
      <c r="E5360" t="s">
        <v>20</v>
      </c>
      <c r="F5360" t="str">
        <f>"43617-1248"</f>
        <v>43617-1248</v>
      </c>
      <c r="G5360" t="str">
        <f t="shared" si="185"/>
        <v>716165</v>
      </c>
      <c r="H5360" s="2">
        <f>10</f>
        <v>10</v>
      </c>
      <c r="I5360" t="s">
        <v>27</v>
      </c>
      <c r="J5360" t="s">
        <v>34</v>
      </c>
      <c r="K5360" t="str">
        <f>"122784"</f>
        <v>122784</v>
      </c>
    </row>
    <row r="5361" spans="1:11" x14ac:dyDescent="0.25">
      <c r="A5361">
        <v>2024</v>
      </c>
      <c r="B5361" t="s">
        <v>5145</v>
      </c>
      <c r="C5361" t="s">
        <v>5146</v>
      </c>
      <c r="D5361" t="s">
        <v>19</v>
      </c>
      <c r="E5361" t="s">
        <v>20</v>
      </c>
      <c r="F5361" t="str">
        <f>"43611"</f>
        <v>43611</v>
      </c>
      <c r="G5361" t="str">
        <f t="shared" si="185"/>
        <v>716165</v>
      </c>
      <c r="H5361" s="2">
        <f>40</f>
        <v>40</v>
      </c>
      <c r="I5361" t="s">
        <v>27</v>
      </c>
      <c r="J5361" t="s">
        <v>34</v>
      </c>
      <c r="K5361" t="str">
        <f>"122535"</f>
        <v>122535</v>
      </c>
    </row>
    <row r="5362" spans="1:11" x14ac:dyDescent="0.25">
      <c r="A5362">
        <v>2024</v>
      </c>
      <c r="B5362" t="s">
        <v>5145</v>
      </c>
      <c r="C5362" t="s">
        <v>5146</v>
      </c>
      <c r="D5362" t="s">
        <v>19</v>
      </c>
      <c r="E5362" t="s">
        <v>20</v>
      </c>
      <c r="F5362" t="str">
        <f>"43611"</f>
        <v>43611</v>
      </c>
      <c r="G5362" t="str">
        <f t="shared" si="185"/>
        <v>716165</v>
      </c>
      <c r="H5362" s="2">
        <f>40</f>
        <v>40</v>
      </c>
      <c r="I5362" t="s">
        <v>27</v>
      </c>
      <c r="J5362" t="s">
        <v>34</v>
      </c>
      <c r="K5362" t="str">
        <f>"122417"</f>
        <v>122417</v>
      </c>
    </row>
    <row r="5363" spans="1:11" x14ac:dyDescent="0.25">
      <c r="A5363">
        <v>2024</v>
      </c>
      <c r="B5363" t="s">
        <v>5147</v>
      </c>
      <c r="C5363" t="s">
        <v>5148</v>
      </c>
      <c r="D5363" t="s">
        <v>19</v>
      </c>
      <c r="E5363" t="s">
        <v>20</v>
      </c>
      <c r="F5363" t="str">
        <f>"43614-2627"</f>
        <v>43614-2627</v>
      </c>
      <c r="G5363" t="str">
        <f t="shared" si="185"/>
        <v>716165</v>
      </c>
      <c r="H5363" s="2">
        <f>10</f>
        <v>10</v>
      </c>
      <c r="I5363" t="s">
        <v>27</v>
      </c>
      <c r="J5363" t="s">
        <v>34</v>
      </c>
      <c r="K5363" t="str">
        <f>"124509"</f>
        <v>124509</v>
      </c>
    </row>
    <row r="5364" spans="1:11" x14ac:dyDescent="0.25">
      <c r="A5364">
        <v>2024</v>
      </c>
      <c r="B5364" t="s">
        <v>5163</v>
      </c>
      <c r="C5364" t="s">
        <v>5164</v>
      </c>
      <c r="D5364" t="s">
        <v>323</v>
      </c>
      <c r="E5364" t="s">
        <v>20</v>
      </c>
      <c r="F5364" t="str">
        <f>"43571-9362"</f>
        <v>43571-9362</v>
      </c>
      <c r="G5364" t="str">
        <f t="shared" si="185"/>
        <v>716165</v>
      </c>
      <c r="H5364" s="2">
        <f>20</f>
        <v>20</v>
      </c>
      <c r="I5364" t="s">
        <v>27</v>
      </c>
      <c r="J5364" t="s">
        <v>34</v>
      </c>
      <c r="K5364" t="str">
        <f>"123655"</f>
        <v>123655</v>
      </c>
    </row>
    <row r="5365" spans="1:11" x14ac:dyDescent="0.25">
      <c r="A5365">
        <v>2024</v>
      </c>
      <c r="B5365" t="s">
        <v>5165</v>
      </c>
      <c r="C5365" t="s">
        <v>5166</v>
      </c>
      <c r="D5365" t="s">
        <v>125</v>
      </c>
      <c r="E5365" t="s">
        <v>20</v>
      </c>
      <c r="F5365" t="str">
        <f>"43537-9497"</f>
        <v>43537-9497</v>
      </c>
      <c r="G5365" t="str">
        <f t="shared" si="185"/>
        <v>716165</v>
      </c>
      <c r="H5365" s="2">
        <f>10</f>
        <v>10</v>
      </c>
      <c r="I5365" t="s">
        <v>27</v>
      </c>
      <c r="J5365" t="s">
        <v>34</v>
      </c>
      <c r="K5365" t="str">
        <f>"124987"</f>
        <v>124987</v>
      </c>
    </row>
    <row r="5366" spans="1:11" x14ac:dyDescent="0.25">
      <c r="A5366">
        <v>2024</v>
      </c>
      <c r="B5366" t="s">
        <v>5171</v>
      </c>
      <c r="C5366" t="s">
        <v>5172</v>
      </c>
      <c r="D5366" t="s">
        <v>164</v>
      </c>
      <c r="E5366" t="s">
        <v>20</v>
      </c>
      <c r="F5366" t="str">
        <f>"43558-8709"</f>
        <v>43558-8709</v>
      </c>
      <c r="G5366" t="str">
        <f t="shared" si="185"/>
        <v>716165</v>
      </c>
      <c r="H5366" s="2">
        <f>10</f>
        <v>10</v>
      </c>
      <c r="I5366" t="s">
        <v>27</v>
      </c>
      <c r="J5366" t="s">
        <v>34</v>
      </c>
      <c r="K5366" t="str">
        <f>"125019"</f>
        <v>125019</v>
      </c>
    </row>
    <row r="5367" spans="1:11" x14ac:dyDescent="0.25">
      <c r="A5367">
        <v>2024</v>
      </c>
      <c r="B5367" t="s">
        <v>5185</v>
      </c>
      <c r="C5367" t="s">
        <v>5186</v>
      </c>
      <c r="D5367" t="s">
        <v>58</v>
      </c>
      <c r="E5367" t="s">
        <v>20</v>
      </c>
      <c r="F5367" t="str">
        <f>"43616-3021"</f>
        <v>43616-3021</v>
      </c>
      <c r="G5367" t="str">
        <f t="shared" si="185"/>
        <v>716165</v>
      </c>
      <c r="H5367" s="2">
        <f>20</f>
        <v>20</v>
      </c>
      <c r="I5367" t="s">
        <v>27</v>
      </c>
      <c r="J5367" t="s">
        <v>34</v>
      </c>
      <c r="K5367" t="str">
        <f>"123160"</f>
        <v>123160</v>
      </c>
    </row>
    <row r="5368" spans="1:11" x14ac:dyDescent="0.25">
      <c r="A5368">
        <v>2024</v>
      </c>
      <c r="B5368" t="s">
        <v>5211</v>
      </c>
      <c r="C5368" t="s">
        <v>5212</v>
      </c>
      <c r="D5368" t="s">
        <v>19</v>
      </c>
      <c r="E5368" t="s">
        <v>20</v>
      </c>
      <c r="F5368" t="str">
        <f>"43615-6542"</f>
        <v>43615-6542</v>
      </c>
      <c r="G5368" t="str">
        <f t="shared" si="185"/>
        <v>716165</v>
      </c>
      <c r="H5368" s="2">
        <f>30</f>
        <v>30</v>
      </c>
      <c r="I5368" t="s">
        <v>27</v>
      </c>
      <c r="J5368" t="s">
        <v>34</v>
      </c>
      <c r="K5368" t="str">
        <f>"121744"</f>
        <v>121744</v>
      </c>
    </row>
    <row r="5369" spans="1:11" x14ac:dyDescent="0.25">
      <c r="A5369">
        <v>2024</v>
      </c>
      <c r="B5369" t="s">
        <v>5213</v>
      </c>
      <c r="C5369" t="s">
        <v>5214</v>
      </c>
      <c r="D5369" t="s">
        <v>19</v>
      </c>
      <c r="E5369" t="s">
        <v>20</v>
      </c>
      <c r="F5369" t="str">
        <f>"43612-1537"</f>
        <v>43612-1537</v>
      </c>
      <c r="G5369" t="str">
        <f t="shared" si="185"/>
        <v>716165</v>
      </c>
      <c r="H5369" s="2">
        <f>20</f>
        <v>20</v>
      </c>
      <c r="I5369" t="s">
        <v>27</v>
      </c>
      <c r="J5369" t="s">
        <v>34</v>
      </c>
      <c r="K5369" t="str">
        <f>"122581"</f>
        <v>122581</v>
      </c>
    </row>
    <row r="5370" spans="1:11" x14ac:dyDescent="0.25">
      <c r="A5370">
        <v>2024</v>
      </c>
      <c r="B5370" t="s">
        <v>5215</v>
      </c>
      <c r="C5370" t="s">
        <v>5216</v>
      </c>
      <c r="D5370" t="s">
        <v>19</v>
      </c>
      <c r="E5370" t="s">
        <v>20</v>
      </c>
      <c r="F5370" t="str">
        <f>"43613-1642"</f>
        <v>43613-1642</v>
      </c>
      <c r="G5370" t="str">
        <f t="shared" si="185"/>
        <v>716165</v>
      </c>
      <c r="H5370" s="2">
        <f>10</f>
        <v>10</v>
      </c>
      <c r="I5370" t="s">
        <v>27</v>
      </c>
      <c r="J5370" t="s">
        <v>34</v>
      </c>
      <c r="K5370" t="str">
        <f>"121095"</f>
        <v>121095</v>
      </c>
    </row>
    <row r="5371" spans="1:11" x14ac:dyDescent="0.25">
      <c r="A5371">
        <v>2024</v>
      </c>
      <c r="B5371" t="s">
        <v>5219</v>
      </c>
      <c r="C5371" t="s">
        <v>5220</v>
      </c>
      <c r="D5371" t="s">
        <v>19</v>
      </c>
      <c r="E5371" t="s">
        <v>20</v>
      </c>
      <c r="F5371" t="str">
        <f>"43606-4009"</f>
        <v>43606-4009</v>
      </c>
      <c r="G5371" t="str">
        <f t="shared" si="185"/>
        <v>716165</v>
      </c>
      <c r="H5371" s="2">
        <f>10</f>
        <v>10</v>
      </c>
      <c r="I5371" t="s">
        <v>27</v>
      </c>
      <c r="J5371" t="s">
        <v>34</v>
      </c>
      <c r="K5371" t="str">
        <f>"121906"</f>
        <v>121906</v>
      </c>
    </row>
    <row r="5372" spans="1:11" x14ac:dyDescent="0.25">
      <c r="A5372">
        <v>2024</v>
      </c>
      <c r="B5372" t="s">
        <v>5229</v>
      </c>
      <c r="C5372" t="s">
        <v>5230</v>
      </c>
      <c r="D5372" t="s">
        <v>5231</v>
      </c>
      <c r="E5372" t="s">
        <v>20</v>
      </c>
      <c r="F5372" t="str">
        <f>"44145"</f>
        <v>44145</v>
      </c>
      <c r="G5372" t="str">
        <f>"701123"</f>
        <v>701123</v>
      </c>
      <c r="H5372" s="2">
        <f>20</f>
        <v>20</v>
      </c>
      <c r="I5372" t="s">
        <v>148</v>
      </c>
      <c r="J5372" t="s">
        <v>5232</v>
      </c>
      <c r="K5372" t="str">
        <f>"26769"</f>
        <v>26769</v>
      </c>
    </row>
    <row r="5373" spans="1:11" x14ac:dyDescent="0.25">
      <c r="A5373">
        <v>2024</v>
      </c>
      <c r="B5373" t="s">
        <v>5237</v>
      </c>
      <c r="C5373" t="s">
        <v>5238</v>
      </c>
      <c r="D5373" t="s">
        <v>19</v>
      </c>
      <c r="E5373" t="s">
        <v>20</v>
      </c>
      <c r="F5373" t="str">
        <f>"43617-1026"</f>
        <v>43617-1026</v>
      </c>
      <c r="G5373" t="str">
        <f t="shared" ref="G5373:G5380" si="186">"716165"</f>
        <v>716165</v>
      </c>
      <c r="H5373" s="2">
        <f>20</f>
        <v>20</v>
      </c>
      <c r="I5373" t="s">
        <v>27</v>
      </c>
      <c r="J5373" t="s">
        <v>34</v>
      </c>
      <c r="K5373" t="str">
        <f>"123816"</f>
        <v>123816</v>
      </c>
    </row>
    <row r="5374" spans="1:11" x14ac:dyDescent="0.25">
      <c r="A5374">
        <v>2024</v>
      </c>
      <c r="B5374" t="s">
        <v>5245</v>
      </c>
      <c r="C5374" t="s">
        <v>5246</v>
      </c>
      <c r="D5374" t="s">
        <v>19</v>
      </c>
      <c r="E5374" t="s">
        <v>20</v>
      </c>
      <c r="F5374" t="str">
        <f>"43611-2009"</f>
        <v>43611-2009</v>
      </c>
      <c r="G5374" t="str">
        <f t="shared" si="186"/>
        <v>716165</v>
      </c>
      <c r="H5374" s="2">
        <f>10</f>
        <v>10</v>
      </c>
      <c r="I5374" t="s">
        <v>27</v>
      </c>
      <c r="J5374" t="s">
        <v>34</v>
      </c>
      <c r="K5374" t="str">
        <f>"124740"</f>
        <v>124740</v>
      </c>
    </row>
    <row r="5375" spans="1:11" x14ac:dyDescent="0.25">
      <c r="A5375">
        <v>2024</v>
      </c>
      <c r="B5375" t="s">
        <v>5251</v>
      </c>
      <c r="C5375" t="s">
        <v>5252</v>
      </c>
      <c r="D5375" t="s">
        <v>64</v>
      </c>
      <c r="E5375" t="s">
        <v>20</v>
      </c>
      <c r="F5375" t="str">
        <f>"43566-1605"</f>
        <v>43566-1605</v>
      </c>
      <c r="G5375" t="str">
        <f t="shared" si="186"/>
        <v>716165</v>
      </c>
      <c r="H5375" s="2">
        <f>20</f>
        <v>20</v>
      </c>
      <c r="I5375" t="s">
        <v>27</v>
      </c>
      <c r="J5375" t="s">
        <v>34</v>
      </c>
      <c r="K5375" t="str">
        <f>"124039"</f>
        <v>124039</v>
      </c>
    </row>
    <row r="5376" spans="1:11" x14ac:dyDescent="0.25">
      <c r="A5376">
        <v>2024</v>
      </c>
      <c r="B5376" t="s">
        <v>5253</v>
      </c>
      <c r="C5376" t="s">
        <v>5254</v>
      </c>
      <c r="D5376" t="s">
        <v>50</v>
      </c>
      <c r="E5376" t="s">
        <v>20</v>
      </c>
      <c r="F5376" t="str">
        <f>"43560-9761"</f>
        <v>43560-9761</v>
      </c>
      <c r="G5376" t="str">
        <f t="shared" si="186"/>
        <v>716165</v>
      </c>
      <c r="H5376" s="2">
        <f>20</f>
        <v>20</v>
      </c>
      <c r="I5376" t="s">
        <v>27</v>
      </c>
      <c r="J5376" t="s">
        <v>34</v>
      </c>
      <c r="K5376" t="str">
        <f>"122510"</f>
        <v>122510</v>
      </c>
    </row>
    <row r="5377" spans="1:11" x14ac:dyDescent="0.25">
      <c r="A5377">
        <v>2024</v>
      </c>
      <c r="B5377" t="s">
        <v>5255</v>
      </c>
      <c r="C5377" t="s">
        <v>5256</v>
      </c>
      <c r="D5377" t="s">
        <v>19</v>
      </c>
      <c r="E5377" t="s">
        <v>20</v>
      </c>
      <c r="F5377" t="str">
        <f>"43615-1170"</f>
        <v>43615-1170</v>
      </c>
      <c r="G5377" t="str">
        <f t="shared" si="186"/>
        <v>716165</v>
      </c>
      <c r="H5377" s="2">
        <f>30</f>
        <v>30</v>
      </c>
      <c r="I5377" t="s">
        <v>27</v>
      </c>
      <c r="J5377" t="s">
        <v>34</v>
      </c>
      <c r="K5377" t="str">
        <f>"124034"</f>
        <v>124034</v>
      </c>
    </row>
    <row r="5378" spans="1:11" x14ac:dyDescent="0.25">
      <c r="A5378">
        <v>2024</v>
      </c>
      <c r="B5378" t="s">
        <v>5257</v>
      </c>
      <c r="C5378" t="s">
        <v>5258</v>
      </c>
      <c r="D5378" t="s">
        <v>50</v>
      </c>
      <c r="E5378" t="s">
        <v>20</v>
      </c>
      <c r="F5378" t="str">
        <f>"43560-3200"</f>
        <v>43560-3200</v>
      </c>
      <c r="G5378" t="str">
        <f t="shared" si="186"/>
        <v>716165</v>
      </c>
      <c r="H5378" s="2">
        <f>10</f>
        <v>10</v>
      </c>
      <c r="I5378" t="s">
        <v>27</v>
      </c>
      <c r="J5378" t="s">
        <v>34</v>
      </c>
      <c r="K5378" t="str">
        <f>"124753"</f>
        <v>124753</v>
      </c>
    </row>
    <row r="5379" spans="1:11" x14ac:dyDescent="0.25">
      <c r="A5379">
        <v>2024</v>
      </c>
      <c r="B5379" t="s">
        <v>5261</v>
      </c>
      <c r="C5379" t="s">
        <v>5262</v>
      </c>
      <c r="D5379" t="s">
        <v>125</v>
      </c>
      <c r="E5379" t="s">
        <v>20</v>
      </c>
      <c r="F5379" t="str">
        <f>"43537-3049"</f>
        <v>43537-3049</v>
      </c>
      <c r="G5379" t="str">
        <f t="shared" si="186"/>
        <v>716165</v>
      </c>
      <c r="H5379" s="2">
        <f>40</f>
        <v>40</v>
      </c>
      <c r="I5379" t="s">
        <v>27</v>
      </c>
      <c r="J5379" t="s">
        <v>34</v>
      </c>
      <c r="K5379" t="str">
        <f>"124149"</f>
        <v>124149</v>
      </c>
    </row>
    <row r="5380" spans="1:11" x14ac:dyDescent="0.25">
      <c r="A5380">
        <v>2024</v>
      </c>
      <c r="B5380" t="s">
        <v>5263</v>
      </c>
      <c r="C5380" t="s">
        <v>5264</v>
      </c>
      <c r="D5380" t="s">
        <v>125</v>
      </c>
      <c r="E5380" t="s">
        <v>20</v>
      </c>
      <c r="F5380" t="str">
        <f>"43537-2919"</f>
        <v>43537-2919</v>
      </c>
      <c r="G5380" t="str">
        <f t="shared" si="186"/>
        <v>716165</v>
      </c>
      <c r="H5380" s="2">
        <f>10</f>
        <v>10</v>
      </c>
      <c r="I5380" t="s">
        <v>27</v>
      </c>
      <c r="J5380" t="s">
        <v>34</v>
      </c>
      <c r="K5380" t="str">
        <f>"124988"</f>
        <v>124988</v>
      </c>
    </row>
    <row r="5381" spans="1:11" x14ac:dyDescent="0.25">
      <c r="A5381">
        <v>2024</v>
      </c>
      <c r="B5381" t="s">
        <v>5269</v>
      </c>
      <c r="C5381" t="s">
        <v>5270</v>
      </c>
      <c r="D5381" t="s">
        <v>5271</v>
      </c>
      <c r="E5381" t="s">
        <v>216</v>
      </c>
      <c r="F5381" t="str">
        <f>"46806"</f>
        <v>46806</v>
      </c>
      <c r="G5381" t="str">
        <f>"718470"</f>
        <v>718470</v>
      </c>
      <c r="H5381" s="2">
        <f>31.03</f>
        <v>31.03</v>
      </c>
      <c r="I5381" t="s">
        <v>27</v>
      </c>
      <c r="J5381" t="s">
        <v>34</v>
      </c>
      <c r="K5381" t="str">
        <f>"334479"</f>
        <v>334479</v>
      </c>
    </row>
    <row r="5382" spans="1:11" x14ac:dyDescent="0.25">
      <c r="A5382">
        <v>2024</v>
      </c>
      <c r="B5382" t="s">
        <v>5272</v>
      </c>
      <c r="C5382" t="s">
        <v>5273</v>
      </c>
      <c r="D5382" t="s">
        <v>19</v>
      </c>
      <c r="E5382" t="s">
        <v>20</v>
      </c>
      <c r="F5382" t="str">
        <f>"43606-3156"</f>
        <v>43606-3156</v>
      </c>
      <c r="G5382" t="str">
        <f>"716165"</f>
        <v>716165</v>
      </c>
      <c r="H5382" s="2">
        <f>20</f>
        <v>20</v>
      </c>
      <c r="I5382" t="s">
        <v>27</v>
      </c>
      <c r="J5382" t="s">
        <v>34</v>
      </c>
      <c r="K5382" t="str">
        <f>"123598"</f>
        <v>123598</v>
      </c>
    </row>
    <row r="5383" spans="1:11" x14ac:dyDescent="0.25">
      <c r="A5383">
        <v>2024</v>
      </c>
      <c r="B5383" t="s">
        <v>5283</v>
      </c>
      <c r="C5383" t="s">
        <v>5284</v>
      </c>
      <c r="D5383" t="s">
        <v>19</v>
      </c>
      <c r="E5383" t="s">
        <v>20</v>
      </c>
      <c r="F5383" t="str">
        <f>"43614-4329"</f>
        <v>43614-4329</v>
      </c>
      <c r="G5383" t="str">
        <f>"716165"</f>
        <v>716165</v>
      </c>
      <c r="H5383" s="2">
        <f>10</f>
        <v>10</v>
      </c>
      <c r="I5383" t="s">
        <v>27</v>
      </c>
      <c r="J5383" t="s">
        <v>34</v>
      </c>
      <c r="K5383" t="str">
        <f>"124957"</f>
        <v>124957</v>
      </c>
    </row>
    <row r="5384" spans="1:11" x14ac:dyDescent="0.25">
      <c r="A5384">
        <v>2024</v>
      </c>
      <c r="B5384" t="s">
        <v>5298</v>
      </c>
      <c r="C5384" t="s">
        <v>5299</v>
      </c>
      <c r="D5384" t="s">
        <v>19</v>
      </c>
      <c r="E5384" t="s">
        <v>20</v>
      </c>
      <c r="F5384" t="str">
        <f>"43613-2860"</f>
        <v>43613-2860</v>
      </c>
      <c r="G5384" t="str">
        <f>"716165"</f>
        <v>716165</v>
      </c>
      <c r="H5384" s="2">
        <f>10</f>
        <v>10</v>
      </c>
      <c r="I5384" t="s">
        <v>27</v>
      </c>
      <c r="J5384" t="s">
        <v>34</v>
      </c>
      <c r="K5384" t="str">
        <f>"121479"</f>
        <v>121479</v>
      </c>
    </row>
    <row r="5385" spans="1:11" x14ac:dyDescent="0.25">
      <c r="A5385">
        <v>2024</v>
      </c>
      <c r="B5385" t="s">
        <v>5300</v>
      </c>
      <c r="C5385" t="s">
        <v>5301</v>
      </c>
      <c r="D5385" t="s">
        <v>19</v>
      </c>
      <c r="E5385" t="s">
        <v>20</v>
      </c>
      <c r="F5385" t="str">
        <f>"43610"</f>
        <v>43610</v>
      </c>
      <c r="G5385" t="str">
        <f>"719211"</f>
        <v>719211</v>
      </c>
      <c r="H5385" s="2">
        <f>225</f>
        <v>225</v>
      </c>
      <c r="I5385" t="s">
        <v>27</v>
      </c>
      <c r="J5385" t="s">
        <v>200</v>
      </c>
      <c r="K5385" t="str">
        <f>"N/A"</f>
        <v>N/A</v>
      </c>
    </row>
    <row r="5386" spans="1:11" x14ac:dyDescent="0.25">
      <c r="A5386">
        <v>2024</v>
      </c>
      <c r="B5386" t="s">
        <v>5302</v>
      </c>
      <c r="C5386" t="s">
        <v>5303</v>
      </c>
      <c r="D5386" t="s">
        <v>19</v>
      </c>
      <c r="E5386" t="s">
        <v>20</v>
      </c>
      <c r="F5386" t="str">
        <f>"43606-2515"</f>
        <v>43606-2515</v>
      </c>
      <c r="G5386" t="str">
        <f t="shared" ref="G5386:G5391" si="187">"716165"</f>
        <v>716165</v>
      </c>
      <c r="H5386" s="2">
        <f>10</f>
        <v>10</v>
      </c>
      <c r="I5386" t="s">
        <v>27</v>
      </c>
      <c r="J5386" t="s">
        <v>34</v>
      </c>
      <c r="K5386" t="str">
        <f>"121804"</f>
        <v>121804</v>
      </c>
    </row>
    <row r="5387" spans="1:11" x14ac:dyDescent="0.25">
      <c r="A5387">
        <v>2024</v>
      </c>
      <c r="B5387" t="s">
        <v>5312</v>
      </c>
      <c r="C5387" t="s">
        <v>5313</v>
      </c>
      <c r="D5387" t="s">
        <v>19</v>
      </c>
      <c r="E5387" t="s">
        <v>20</v>
      </c>
      <c r="F5387" t="str">
        <f>"43623-1220"</f>
        <v>43623-1220</v>
      </c>
      <c r="G5387" t="str">
        <f t="shared" si="187"/>
        <v>716165</v>
      </c>
      <c r="H5387" s="2">
        <f>20</f>
        <v>20</v>
      </c>
      <c r="I5387" t="s">
        <v>27</v>
      </c>
      <c r="J5387" t="s">
        <v>34</v>
      </c>
      <c r="K5387" t="str">
        <f>"121780"</f>
        <v>121780</v>
      </c>
    </row>
    <row r="5388" spans="1:11" x14ac:dyDescent="0.25">
      <c r="A5388">
        <v>2024</v>
      </c>
      <c r="B5388" t="s">
        <v>5317</v>
      </c>
      <c r="C5388" t="s">
        <v>5318</v>
      </c>
      <c r="D5388" t="s">
        <v>19</v>
      </c>
      <c r="E5388" t="s">
        <v>20</v>
      </c>
      <c r="F5388" t="str">
        <f>"43615-1605"</f>
        <v>43615-1605</v>
      </c>
      <c r="G5388" t="str">
        <f t="shared" si="187"/>
        <v>716165</v>
      </c>
      <c r="H5388" s="2">
        <f>10</f>
        <v>10</v>
      </c>
      <c r="I5388" t="s">
        <v>27</v>
      </c>
      <c r="J5388" t="s">
        <v>34</v>
      </c>
      <c r="K5388" t="str">
        <f>"124675"</f>
        <v>124675</v>
      </c>
    </row>
    <row r="5389" spans="1:11" x14ac:dyDescent="0.25">
      <c r="A5389">
        <v>2024</v>
      </c>
      <c r="B5389" t="s">
        <v>5327</v>
      </c>
      <c r="C5389" t="s">
        <v>1538</v>
      </c>
      <c r="D5389" t="s">
        <v>19</v>
      </c>
      <c r="E5389" t="s">
        <v>20</v>
      </c>
      <c r="F5389" t="str">
        <f>"43615-5748"</f>
        <v>43615-5748</v>
      </c>
      <c r="G5389" t="str">
        <f t="shared" si="187"/>
        <v>716165</v>
      </c>
      <c r="H5389" s="2">
        <f>20</f>
        <v>20</v>
      </c>
      <c r="I5389" t="s">
        <v>27</v>
      </c>
      <c r="J5389" t="s">
        <v>34</v>
      </c>
      <c r="K5389" t="str">
        <f>"122786"</f>
        <v>122786</v>
      </c>
    </row>
    <row r="5390" spans="1:11" x14ac:dyDescent="0.25">
      <c r="A5390">
        <v>2024</v>
      </c>
      <c r="B5390" t="s">
        <v>5337</v>
      </c>
      <c r="C5390" t="s">
        <v>5338</v>
      </c>
      <c r="D5390" t="s">
        <v>19</v>
      </c>
      <c r="E5390" t="s">
        <v>20</v>
      </c>
      <c r="F5390" t="str">
        <f>"43623-1621"</f>
        <v>43623-1621</v>
      </c>
      <c r="G5390" t="str">
        <f t="shared" si="187"/>
        <v>716165</v>
      </c>
      <c r="H5390" s="2">
        <f>20</f>
        <v>20</v>
      </c>
      <c r="I5390" t="s">
        <v>27</v>
      </c>
      <c r="J5390" t="s">
        <v>34</v>
      </c>
      <c r="K5390" t="str">
        <f>"124778"</f>
        <v>124778</v>
      </c>
    </row>
    <row r="5391" spans="1:11" x14ac:dyDescent="0.25">
      <c r="A5391">
        <v>2024</v>
      </c>
      <c r="B5391" t="s">
        <v>5349</v>
      </c>
      <c r="C5391" t="s">
        <v>5350</v>
      </c>
      <c r="D5391" t="s">
        <v>50</v>
      </c>
      <c r="E5391" t="s">
        <v>20</v>
      </c>
      <c r="F5391" t="str">
        <f>"43560-9920"</f>
        <v>43560-9920</v>
      </c>
      <c r="G5391" t="str">
        <f t="shared" si="187"/>
        <v>716165</v>
      </c>
      <c r="H5391" s="2">
        <f>70</f>
        <v>70</v>
      </c>
      <c r="I5391" t="s">
        <v>27</v>
      </c>
      <c r="J5391" t="s">
        <v>34</v>
      </c>
      <c r="K5391" t="str">
        <f>"124015"</f>
        <v>124015</v>
      </c>
    </row>
    <row r="5392" spans="1:11" x14ac:dyDescent="0.25">
      <c r="A5392">
        <v>2024</v>
      </c>
      <c r="B5392" t="s">
        <v>5379</v>
      </c>
      <c r="C5392" t="s">
        <v>5380</v>
      </c>
      <c r="D5392" t="s">
        <v>2149</v>
      </c>
      <c r="E5392" t="s">
        <v>20</v>
      </c>
      <c r="F5392" t="str">
        <f>"43545-9557"</f>
        <v>43545-9557</v>
      </c>
      <c r="G5392" t="str">
        <f>"Je08072024"</f>
        <v>Je08072024</v>
      </c>
      <c r="H5392" s="2">
        <f>78.03</f>
        <v>78.03</v>
      </c>
      <c r="I5392" t="s">
        <v>15</v>
      </c>
      <c r="J5392" t="s">
        <v>1647</v>
      </c>
      <c r="K5392" t="str">
        <f>"60119203"</f>
        <v>60119203</v>
      </c>
    </row>
    <row r="5393" spans="1:11" x14ac:dyDescent="0.25">
      <c r="A5393">
        <v>2024</v>
      </c>
      <c r="B5393" t="s">
        <v>5403</v>
      </c>
      <c r="C5393" t="s">
        <v>5404</v>
      </c>
      <c r="D5393" t="s">
        <v>105</v>
      </c>
      <c r="E5393" t="s">
        <v>20</v>
      </c>
      <c r="F5393" t="str">
        <f>"43528-8486"</f>
        <v>43528-8486</v>
      </c>
      <c r="G5393" t="str">
        <f t="shared" ref="G5393:G5398" si="188">"716165"</f>
        <v>716165</v>
      </c>
      <c r="H5393" s="2">
        <f>20</f>
        <v>20</v>
      </c>
      <c r="I5393" t="s">
        <v>27</v>
      </c>
      <c r="J5393" t="s">
        <v>34</v>
      </c>
      <c r="K5393" t="str">
        <f>"122421"</f>
        <v>122421</v>
      </c>
    </row>
    <row r="5394" spans="1:11" x14ac:dyDescent="0.25">
      <c r="A5394">
        <v>2024</v>
      </c>
      <c r="B5394" t="s">
        <v>5431</v>
      </c>
      <c r="C5394" t="s">
        <v>5432</v>
      </c>
      <c r="D5394" t="s">
        <v>50</v>
      </c>
      <c r="E5394" t="s">
        <v>20</v>
      </c>
      <c r="F5394" t="str">
        <f>"43560-3093"</f>
        <v>43560-3093</v>
      </c>
      <c r="G5394" t="str">
        <f t="shared" si="188"/>
        <v>716165</v>
      </c>
      <c r="H5394" s="2">
        <f>10</f>
        <v>10</v>
      </c>
      <c r="I5394" t="s">
        <v>27</v>
      </c>
      <c r="J5394" t="s">
        <v>34</v>
      </c>
      <c r="K5394" t="str">
        <f>"122280"</f>
        <v>122280</v>
      </c>
    </row>
    <row r="5395" spans="1:11" x14ac:dyDescent="0.25">
      <c r="A5395">
        <v>2024</v>
      </c>
      <c r="B5395" t="s">
        <v>5437</v>
      </c>
      <c r="C5395" t="s">
        <v>5438</v>
      </c>
      <c r="D5395" t="s">
        <v>19</v>
      </c>
      <c r="E5395" t="s">
        <v>20</v>
      </c>
      <c r="F5395" t="str">
        <f>"43613-2728"</f>
        <v>43613-2728</v>
      </c>
      <c r="G5395" t="str">
        <f t="shared" si="188"/>
        <v>716165</v>
      </c>
      <c r="H5395" s="2">
        <f>40</f>
        <v>40</v>
      </c>
      <c r="I5395" t="s">
        <v>27</v>
      </c>
      <c r="J5395" t="s">
        <v>34</v>
      </c>
      <c r="K5395" t="str">
        <f>"123533"</f>
        <v>123533</v>
      </c>
    </row>
    <row r="5396" spans="1:11" x14ac:dyDescent="0.25">
      <c r="A5396">
        <v>2024</v>
      </c>
      <c r="B5396" t="s">
        <v>5446</v>
      </c>
      <c r="C5396" t="s">
        <v>5447</v>
      </c>
      <c r="D5396" t="s">
        <v>19</v>
      </c>
      <c r="E5396" t="s">
        <v>20</v>
      </c>
      <c r="F5396" t="str">
        <f>"43614-5213"</f>
        <v>43614-5213</v>
      </c>
      <c r="G5396" t="str">
        <f t="shared" si="188"/>
        <v>716165</v>
      </c>
      <c r="H5396" s="2">
        <f>20</f>
        <v>20</v>
      </c>
      <c r="I5396" t="s">
        <v>27</v>
      </c>
      <c r="J5396" t="s">
        <v>34</v>
      </c>
      <c r="K5396" t="str">
        <f>"123527"</f>
        <v>123527</v>
      </c>
    </row>
    <row r="5397" spans="1:11" x14ac:dyDescent="0.25">
      <c r="A5397">
        <v>2024</v>
      </c>
      <c r="B5397" t="s">
        <v>5452</v>
      </c>
      <c r="C5397" t="s">
        <v>5453</v>
      </c>
      <c r="D5397" t="s">
        <v>58</v>
      </c>
      <c r="E5397" t="s">
        <v>20</v>
      </c>
      <c r="F5397" t="str">
        <f>"43616-2229"</f>
        <v>43616-2229</v>
      </c>
      <c r="G5397" t="str">
        <f t="shared" si="188"/>
        <v>716165</v>
      </c>
      <c r="H5397" s="2">
        <f>10</f>
        <v>10</v>
      </c>
      <c r="I5397" t="s">
        <v>27</v>
      </c>
      <c r="J5397" t="s">
        <v>34</v>
      </c>
      <c r="K5397" t="str">
        <f>"121079"</f>
        <v>121079</v>
      </c>
    </row>
    <row r="5398" spans="1:11" x14ac:dyDescent="0.25">
      <c r="A5398">
        <v>2024</v>
      </c>
      <c r="B5398" t="s">
        <v>5460</v>
      </c>
      <c r="C5398" t="s">
        <v>5461</v>
      </c>
      <c r="D5398" t="s">
        <v>50</v>
      </c>
      <c r="E5398" t="s">
        <v>20</v>
      </c>
      <c r="F5398" t="str">
        <f>"43560-3846"</f>
        <v>43560-3846</v>
      </c>
      <c r="G5398" t="str">
        <f t="shared" si="188"/>
        <v>716165</v>
      </c>
      <c r="H5398" s="2">
        <f>20</f>
        <v>20</v>
      </c>
      <c r="I5398" t="s">
        <v>27</v>
      </c>
      <c r="J5398" t="s">
        <v>34</v>
      </c>
      <c r="K5398" t="str">
        <f>"121180"</f>
        <v>121180</v>
      </c>
    </row>
    <row r="5399" spans="1:11" x14ac:dyDescent="0.25">
      <c r="A5399">
        <v>2024</v>
      </c>
      <c r="B5399" t="s">
        <v>5462</v>
      </c>
      <c r="C5399" t="s">
        <v>1023</v>
      </c>
      <c r="D5399" t="s">
        <v>19</v>
      </c>
      <c r="E5399" t="s">
        <v>20</v>
      </c>
      <c r="F5399" t="str">
        <f>"43606"</f>
        <v>43606</v>
      </c>
      <c r="G5399" t="str">
        <f>"701130"</f>
        <v>701130</v>
      </c>
      <c r="H5399" s="2">
        <f>468.6</f>
        <v>468.6</v>
      </c>
      <c r="I5399" t="s">
        <v>148</v>
      </c>
      <c r="J5399" t="s">
        <v>1024</v>
      </c>
      <c r="K5399" t="str">
        <f>"26772"</f>
        <v>26772</v>
      </c>
    </row>
    <row r="5400" spans="1:11" x14ac:dyDescent="0.25">
      <c r="A5400">
        <v>2024</v>
      </c>
      <c r="B5400" t="s">
        <v>5468</v>
      </c>
      <c r="C5400" t="s">
        <v>5469</v>
      </c>
      <c r="D5400" t="s">
        <v>19</v>
      </c>
      <c r="E5400" t="s">
        <v>20</v>
      </c>
      <c r="F5400" t="str">
        <f>"43623-2206"</f>
        <v>43623-2206</v>
      </c>
      <c r="G5400" t="str">
        <f>"716165"</f>
        <v>716165</v>
      </c>
      <c r="H5400" s="2">
        <f>20</f>
        <v>20</v>
      </c>
      <c r="I5400" t="s">
        <v>27</v>
      </c>
      <c r="J5400" t="s">
        <v>34</v>
      </c>
      <c r="K5400" t="str">
        <f>"123832"</f>
        <v>123832</v>
      </c>
    </row>
    <row r="5401" spans="1:11" x14ac:dyDescent="0.25">
      <c r="A5401">
        <v>2024</v>
      </c>
      <c r="B5401" t="s">
        <v>5470</v>
      </c>
      <c r="C5401" t="s">
        <v>5471</v>
      </c>
      <c r="D5401" t="s">
        <v>19</v>
      </c>
      <c r="E5401" t="s">
        <v>20</v>
      </c>
      <c r="F5401" t="str">
        <f>"43615"</f>
        <v>43615</v>
      </c>
      <c r="G5401" t="str">
        <f>"735775"</f>
        <v>735775</v>
      </c>
      <c r="H5401" s="2">
        <f>839.3</f>
        <v>839.3</v>
      </c>
      <c r="I5401" t="s">
        <v>148</v>
      </c>
      <c r="J5401" t="s">
        <v>5472</v>
      </c>
      <c r="K5401" t="str">
        <f>"27352"</f>
        <v>27352</v>
      </c>
    </row>
    <row r="5402" spans="1:11" x14ac:dyDescent="0.25">
      <c r="A5402">
        <v>2024</v>
      </c>
      <c r="B5402" t="s">
        <v>5477</v>
      </c>
      <c r="C5402" t="s">
        <v>5478</v>
      </c>
      <c r="D5402" t="s">
        <v>19</v>
      </c>
      <c r="E5402" t="s">
        <v>20</v>
      </c>
      <c r="F5402" t="str">
        <f>"43613"</f>
        <v>43613</v>
      </c>
      <c r="G5402" t="str">
        <f>"716165"</f>
        <v>716165</v>
      </c>
      <c r="H5402" s="2">
        <f>100</f>
        <v>100</v>
      </c>
      <c r="I5402" t="s">
        <v>27</v>
      </c>
      <c r="J5402" t="s">
        <v>34</v>
      </c>
      <c r="K5402" t="str">
        <f>"122197"</f>
        <v>122197</v>
      </c>
    </row>
    <row r="5403" spans="1:11" x14ac:dyDescent="0.25">
      <c r="A5403">
        <v>2024</v>
      </c>
      <c r="B5403" t="s">
        <v>5482</v>
      </c>
      <c r="C5403" t="s">
        <v>5483</v>
      </c>
      <c r="D5403" t="s">
        <v>19</v>
      </c>
      <c r="E5403" t="s">
        <v>20</v>
      </c>
      <c r="F5403" t="str">
        <f>"43613-4422"</f>
        <v>43613-4422</v>
      </c>
      <c r="G5403" t="str">
        <f>"716165"</f>
        <v>716165</v>
      </c>
      <c r="H5403" s="2">
        <f>20</f>
        <v>20</v>
      </c>
      <c r="I5403" t="s">
        <v>27</v>
      </c>
      <c r="J5403" t="s">
        <v>34</v>
      </c>
      <c r="K5403" t="str">
        <f>"122889"</f>
        <v>122889</v>
      </c>
    </row>
    <row r="5404" spans="1:11" x14ac:dyDescent="0.25">
      <c r="A5404">
        <v>2024</v>
      </c>
      <c r="B5404" t="s">
        <v>5490</v>
      </c>
      <c r="C5404" t="s">
        <v>5491</v>
      </c>
      <c r="D5404" t="s">
        <v>19</v>
      </c>
      <c r="E5404" t="s">
        <v>20</v>
      </c>
      <c r="F5404" t="str">
        <f>"43609-3035"</f>
        <v>43609-3035</v>
      </c>
      <c r="G5404" t="str">
        <f>"716165"</f>
        <v>716165</v>
      </c>
      <c r="H5404" s="2">
        <f>80</f>
        <v>80</v>
      </c>
      <c r="I5404" t="s">
        <v>27</v>
      </c>
      <c r="J5404" t="s">
        <v>34</v>
      </c>
      <c r="K5404" t="str">
        <f>"123485"</f>
        <v>123485</v>
      </c>
    </row>
    <row r="5405" spans="1:11" x14ac:dyDescent="0.25">
      <c r="A5405">
        <v>2024</v>
      </c>
      <c r="B5405" t="s">
        <v>5507</v>
      </c>
      <c r="C5405" t="s">
        <v>5508</v>
      </c>
      <c r="D5405" t="s">
        <v>19</v>
      </c>
      <c r="E5405" t="s">
        <v>20</v>
      </c>
      <c r="F5405" t="str">
        <f>"43623-2050"</f>
        <v>43623-2050</v>
      </c>
      <c r="G5405" t="str">
        <f>"716165"</f>
        <v>716165</v>
      </c>
      <c r="H5405" s="2">
        <f>10</f>
        <v>10</v>
      </c>
      <c r="I5405" t="s">
        <v>27</v>
      </c>
      <c r="J5405" t="s">
        <v>34</v>
      </c>
      <c r="K5405" t="str">
        <f>"121908"</f>
        <v>121908</v>
      </c>
    </row>
    <row r="5406" spans="1:11" x14ac:dyDescent="0.25">
      <c r="A5406">
        <v>2024</v>
      </c>
      <c r="B5406" t="s">
        <v>5513</v>
      </c>
      <c r="C5406" t="s">
        <v>5514</v>
      </c>
      <c r="D5406" t="s">
        <v>19</v>
      </c>
      <c r="E5406" t="s">
        <v>20</v>
      </c>
      <c r="F5406" t="str">
        <f>"43613"</f>
        <v>43613</v>
      </c>
      <c r="G5406" t="str">
        <f>"718470"</f>
        <v>718470</v>
      </c>
      <c r="H5406" s="2">
        <f>48.95</f>
        <v>48.95</v>
      </c>
      <c r="I5406" t="s">
        <v>27</v>
      </c>
      <c r="J5406" t="s">
        <v>34</v>
      </c>
      <c r="K5406" t="str">
        <f>"334564"</f>
        <v>334564</v>
      </c>
    </row>
    <row r="5407" spans="1:11" x14ac:dyDescent="0.25">
      <c r="A5407">
        <v>2024</v>
      </c>
      <c r="B5407" t="s">
        <v>5519</v>
      </c>
      <c r="C5407" t="s">
        <v>5520</v>
      </c>
      <c r="D5407" t="s">
        <v>899</v>
      </c>
      <c r="E5407" t="s">
        <v>20</v>
      </c>
      <c r="F5407" t="str">
        <f>"43412-9485"</f>
        <v>43412-9485</v>
      </c>
      <c r="G5407" t="str">
        <f t="shared" ref="G5407:G5414" si="189">"716165"</f>
        <v>716165</v>
      </c>
      <c r="H5407" s="2">
        <f>10</f>
        <v>10</v>
      </c>
      <c r="I5407" t="s">
        <v>27</v>
      </c>
      <c r="J5407" t="s">
        <v>34</v>
      </c>
      <c r="K5407" t="str">
        <f>"124296"</f>
        <v>124296</v>
      </c>
    </row>
    <row r="5408" spans="1:11" x14ac:dyDescent="0.25">
      <c r="A5408">
        <v>2024</v>
      </c>
      <c r="B5408" t="s">
        <v>5531</v>
      </c>
      <c r="C5408" t="s">
        <v>5532</v>
      </c>
      <c r="D5408" t="s">
        <v>125</v>
      </c>
      <c r="E5408" t="s">
        <v>20</v>
      </c>
      <c r="F5408" t="str">
        <f>"43537-1186"</f>
        <v>43537-1186</v>
      </c>
      <c r="G5408" t="str">
        <f t="shared" si="189"/>
        <v>716165</v>
      </c>
      <c r="H5408" s="2">
        <f>20</f>
        <v>20</v>
      </c>
      <c r="I5408" t="s">
        <v>27</v>
      </c>
      <c r="J5408" t="s">
        <v>34</v>
      </c>
      <c r="K5408" t="str">
        <f>"122333"</f>
        <v>122333</v>
      </c>
    </row>
    <row r="5409" spans="1:11" x14ac:dyDescent="0.25">
      <c r="A5409">
        <v>2024</v>
      </c>
      <c r="B5409" t="s">
        <v>5535</v>
      </c>
      <c r="C5409" t="s">
        <v>5536</v>
      </c>
      <c r="D5409" t="s">
        <v>19</v>
      </c>
      <c r="E5409" t="s">
        <v>20</v>
      </c>
      <c r="F5409" t="str">
        <f>"43615-3517"</f>
        <v>43615-3517</v>
      </c>
      <c r="G5409" t="str">
        <f t="shared" si="189"/>
        <v>716165</v>
      </c>
      <c r="H5409" s="2">
        <f>20</f>
        <v>20</v>
      </c>
      <c r="I5409" t="s">
        <v>27</v>
      </c>
      <c r="J5409" t="s">
        <v>34</v>
      </c>
      <c r="K5409" t="str">
        <f>"123848"</f>
        <v>123848</v>
      </c>
    </row>
    <row r="5410" spans="1:11" x14ac:dyDescent="0.25">
      <c r="A5410">
        <v>2024</v>
      </c>
      <c r="B5410" t="s">
        <v>5539</v>
      </c>
      <c r="C5410" t="s">
        <v>5540</v>
      </c>
      <c r="D5410" t="s">
        <v>19</v>
      </c>
      <c r="E5410" t="s">
        <v>20</v>
      </c>
      <c r="F5410" t="str">
        <f>"43623-1066"</f>
        <v>43623-1066</v>
      </c>
      <c r="G5410" t="str">
        <f t="shared" si="189"/>
        <v>716165</v>
      </c>
      <c r="H5410" s="2">
        <f>20</f>
        <v>20</v>
      </c>
      <c r="I5410" t="s">
        <v>27</v>
      </c>
      <c r="J5410" t="s">
        <v>34</v>
      </c>
      <c r="K5410" t="str">
        <f>"123350"</f>
        <v>123350</v>
      </c>
    </row>
    <row r="5411" spans="1:11" x14ac:dyDescent="0.25">
      <c r="A5411">
        <v>2024</v>
      </c>
      <c r="B5411" t="s">
        <v>5559</v>
      </c>
      <c r="C5411" t="s">
        <v>5560</v>
      </c>
      <c r="D5411" t="s">
        <v>19</v>
      </c>
      <c r="E5411" t="s">
        <v>20</v>
      </c>
      <c r="F5411" t="str">
        <f>"43614-3518"</f>
        <v>43614-3518</v>
      </c>
      <c r="G5411" t="str">
        <f t="shared" si="189"/>
        <v>716165</v>
      </c>
      <c r="H5411" s="2">
        <f>10</f>
        <v>10</v>
      </c>
      <c r="I5411" t="s">
        <v>27</v>
      </c>
      <c r="J5411" t="s">
        <v>34</v>
      </c>
      <c r="K5411" t="str">
        <f>"123911"</f>
        <v>123911</v>
      </c>
    </row>
    <row r="5412" spans="1:11" x14ac:dyDescent="0.25">
      <c r="A5412">
        <v>2024</v>
      </c>
      <c r="B5412" t="s">
        <v>5569</v>
      </c>
      <c r="C5412" t="s">
        <v>5570</v>
      </c>
      <c r="D5412" t="s">
        <v>19</v>
      </c>
      <c r="E5412" t="s">
        <v>20</v>
      </c>
      <c r="F5412" t="str">
        <f>"43604-5386"</f>
        <v>43604-5386</v>
      </c>
      <c r="G5412" t="str">
        <f t="shared" si="189"/>
        <v>716165</v>
      </c>
      <c r="H5412" s="2">
        <f>20</f>
        <v>20</v>
      </c>
      <c r="I5412" t="s">
        <v>27</v>
      </c>
      <c r="J5412" t="s">
        <v>34</v>
      </c>
      <c r="K5412" t="str">
        <f>"122606"</f>
        <v>122606</v>
      </c>
    </row>
    <row r="5413" spans="1:11" x14ac:dyDescent="0.25">
      <c r="A5413">
        <v>2024</v>
      </c>
      <c r="B5413" t="s">
        <v>5573</v>
      </c>
      <c r="C5413" t="s">
        <v>5574</v>
      </c>
      <c r="D5413" t="s">
        <v>19</v>
      </c>
      <c r="E5413" t="s">
        <v>20</v>
      </c>
      <c r="F5413" t="str">
        <f>"43613-3714"</f>
        <v>43613-3714</v>
      </c>
      <c r="G5413" t="str">
        <f t="shared" si="189"/>
        <v>716165</v>
      </c>
      <c r="H5413" s="2">
        <f>10</f>
        <v>10</v>
      </c>
      <c r="I5413" t="s">
        <v>27</v>
      </c>
      <c r="J5413" t="s">
        <v>34</v>
      </c>
      <c r="K5413" t="str">
        <f>"125143"</f>
        <v>125143</v>
      </c>
    </row>
    <row r="5414" spans="1:11" x14ac:dyDescent="0.25">
      <c r="A5414">
        <v>2024</v>
      </c>
      <c r="B5414" t="s">
        <v>5585</v>
      </c>
      <c r="C5414" t="s">
        <v>5586</v>
      </c>
      <c r="D5414" t="s">
        <v>50</v>
      </c>
      <c r="E5414" t="s">
        <v>20</v>
      </c>
      <c r="F5414" t="str">
        <f>"43560-2101"</f>
        <v>43560-2101</v>
      </c>
      <c r="G5414" t="str">
        <f t="shared" si="189"/>
        <v>716165</v>
      </c>
      <c r="H5414" s="2">
        <f>20</f>
        <v>20</v>
      </c>
      <c r="I5414" t="s">
        <v>27</v>
      </c>
      <c r="J5414" t="s">
        <v>34</v>
      </c>
      <c r="K5414" t="str">
        <f>"122668"</f>
        <v>122668</v>
      </c>
    </row>
    <row r="5415" spans="1:11" x14ac:dyDescent="0.25">
      <c r="A5415">
        <v>2024</v>
      </c>
      <c r="B5415" t="s">
        <v>5587</v>
      </c>
      <c r="C5415" t="s">
        <v>5588</v>
      </c>
      <c r="D5415" t="s">
        <v>19</v>
      </c>
      <c r="E5415" t="s">
        <v>20</v>
      </c>
      <c r="F5415" t="str">
        <f>"43617"</f>
        <v>43617</v>
      </c>
      <c r="G5415" t="str">
        <f>"701123"</f>
        <v>701123</v>
      </c>
      <c r="H5415" s="2">
        <f>5</f>
        <v>5</v>
      </c>
      <c r="I5415" t="s">
        <v>148</v>
      </c>
      <c r="J5415" t="s">
        <v>5589</v>
      </c>
      <c r="K5415" t="str">
        <f>"26769"</f>
        <v>26769</v>
      </c>
    </row>
    <row r="5416" spans="1:11" x14ac:dyDescent="0.25">
      <c r="A5416">
        <v>2024</v>
      </c>
      <c r="B5416" t="s">
        <v>5603</v>
      </c>
      <c r="C5416" t="s">
        <v>5604</v>
      </c>
      <c r="D5416" t="s">
        <v>19</v>
      </c>
      <c r="E5416" t="s">
        <v>20</v>
      </c>
      <c r="F5416" t="str">
        <f>"43615-5824"</f>
        <v>43615-5824</v>
      </c>
      <c r="G5416" t="str">
        <f t="shared" ref="G5416:G5433" si="190">"716165"</f>
        <v>716165</v>
      </c>
      <c r="H5416" s="2">
        <f>10</f>
        <v>10</v>
      </c>
      <c r="I5416" t="s">
        <v>27</v>
      </c>
      <c r="J5416" t="s">
        <v>34</v>
      </c>
      <c r="K5416" t="str">
        <f>"123784"</f>
        <v>123784</v>
      </c>
    </row>
    <row r="5417" spans="1:11" x14ac:dyDescent="0.25">
      <c r="A5417">
        <v>2024</v>
      </c>
      <c r="B5417" t="s">
        <v>5615</v>
      </c>
      <c r="C5417" t="s">
        <v>5616</v>
      </c>
      <c r="D5417" t="s">
        <v>19</v>
      </c>
      <c r="E5417" t="s">
        <v>20</v>
      </c>
      <c r="F5417" t="str">
        <f>"43613-1278"</f>
        <v>43613-1278</v>
      </c>
      <c r="G5417" t="str">
        <f t="shared" si="190"/>
        <v>716165</v>
      </c>
      <c r="H5417" s="2">
        <f>60</f>
        <v>60</v>
      </c>
      <c r="I5417" t="s">
        <v>27</v>
      </c>
      <c r="J5417" t="s">
        <v>34</v>
      </c>
      <c r="K5417" t="str">
        <f>"122254"</f>
        <v>122254</v>
      </c>
    </row>
    <row r="5418" spans="1:11" x14ac:dyDescent="0.25">
      <c r="A5418">
        <v>2024</v>
      </c>
      <c r="B5418" t="s">
        <v>5631</v>
      </c>
      <c r="C5418" t="s">
        <v>5632</v>
      </c>
      <c r="D5418" t="s">
        <v>164</v>
      </c>
      <c r="E5418" t="s">
        <v>20</v>
      </c>
      <c r="F5418" t="str">
        <f>"43558-8543"</f>
        <v>43558-8543</v>
      </c>
      <c r="G5418" t="str">
        <f t="shared" si="190"/>
        <v>716165</v>
      </c>
      <c r="H5418" s="2">
        <f>10</f>
        <v>10</v>
      </c>
      <c r="I5418" t="s">
        <v>27</v>
      </c>
      <c r="J5418" t="s">
        <v>34</v>
      </c>
      <c r="K5418" t="str">
        <f>"125149"</f>
        <v>125149</v>
      </c>
    </row>
    <row r="5419" spans="1:11" x14ac:dyDescent="0.25">
      <c r="A5419">
        <v>2024</v>
      </c>
      <c r="B5419" t="s">
        <v>5635</v>
      </c>
      <c r="C5419" t="s">
        <v>5636</v>
      </c>
      <c r="D5419" t="s">
        <v>323</v>
      </c>
      <c r="E5419" t="s">
        <v>20</v>
      </c>
      <c r="F5419" t="str">
        <f>"43571-9315"</f>
        <v>43571-9315</v>
      </c>
      <c r="G5419" t="str">
        <f t="shared" si="190"/>
        <v>716165</v>
      </c>
      <c r="H5419" s="2">
        <f>10</f>
        <v>10</v>
      </c>
      <c r="I5419" t="s">
        <v>27</v>
      </c>
      <c r="J5419" t="s">
        <v>34</v>
      </c>
      <c r="K5419" t="str">
        <f>"125125"</f>
        <v>125125</v>
      </c>
    </row>
    <row r="5420" spans="1:11" x14ac:dyDescent="0.25">
      <c r="A5420">
        <v>2024</v>
      </c>
      <c r="B5420" t="s">
        <v>5647</v>
      </c>
      <c r="C5420" t="s">
        <v>5648</v>
      </c>
      <c r="D5420" t="s">
        <v>323</v>
      </c>
      <c r="E5420" t="s">
        <v>20</v>
      </c>
      <c r="F5420" t="str">
        <f>"43571-9460"</f>
        <v>43571-9460</v>
      </c>
      <c r="G5420" t="str">
        <f t="shared" si="190"/>
        <v>716165</v>
      </c>
      <c r="H5420" s="2">
        <f>20</f>
        <v>20</v>
      </c>
      <c r="I5420" t="s">
        <v>27</v>
      </c>
      <c r="J5420" t="s">
        <v>34</v>
      </c>
      <c r="K5420" t="str">
        <f>"124443"</f>
        <v>124443</v>
      </c>
    </row>
    <row r="5421" spans="1:11" x14ac:dyDescent="0.25">
      <c r="A5421">
        <v>2024</v>
      </c>
      <c r="B5421" t="s">
        <v>5651</v>
      </c>
      <c r="C5421" t="s">
        <v>5652</v>
      </c>
      <c r="D5421" t="s">
        <v>19</v>
      </c>
      <c r="E5421" t="s">
        <v>20</v>
      </c>
      <c r="F5421" t="str">
        <f>"43615-2721"</f>
        <v>43615-2721</v>
      </c>
      <c r="G5421" t="str">
        <f t="shared" si="190"/>
        <v>716165</v>
      </c>
      <c r="H5421" s="2">
        <f>10</f>
        <v>10</v>
      </c>
      <c r="I5421" t="s">
        <v>27</v>
      </c>
      <c r="J5421" t="s">
        <v>34</v>
      </c>
      <c r="K5421" t="str">
        <f>"122984"</f>
        <v>122984</v>
      </c>
    </row>
    <row r="5422" spans="1:11" x14ac:dyDescent="0.25">
      <c r="A5422">
        <v>2024</v>
      </c>
      <c r="B5422" t="s">
        <v>5653</v>
      </c>
      <c r="C5422" t="s">
        <v>5654</v>
      </c>
      <c r="D5422" t="s">
        <v>19</v>
      </c>
      <c r="E5422" t="s">
        <v>20</v>
      </c>
      <c r="F5422" t="str">
        <f>"43614-5523"</f>
        <v>43614-5523</v>
      </c>
      <c r="G5422" t="str">
        <f t="shared" si="190"/>
        <v>716165</v>
      </c>
      <c r="H5422" s="2">
        <f>10</f>
        <v>10</v>
      </c>
      <c r="I5422" t="s">
        <v>27</v>
      </c>
      <c r="J5422" t="s">
        <v>34</v>
      </c>
      <c r="K5422" t="str">
        <f>"123685"</f>
        <v>123685</v>
      </c>
    </row>
    <row r="5423" spans="1:11" x14ac:dyDescent="0.25">
      <c r="A5423">
        <v>2024</v>
      </c>
      <c r="B5423" t="s">
        <v>5657</v>
      </c>
      <c r="C5423" t="s">
        <v>5658</v>
      </c>
      <c r="D5423" t="s">
        <v>19</v>
      </c>
      <c r="E5423" t="s">
        <v>20</v>
      </c>
      <c r="F5423" t="str">
        <f>"43615-3715"</f>
        <v>43615-3715</v>
      </c>
      <c r="G5423" t="str">
        <f t="shared" si="190"/>
        <v>716165</v>
      </c>
      <c r="H5423" s="2">
        <f>10</f>
        <v>10</v>
      </c>
      <c r="I5423" t="s">
        <v>27</v>
      </c>
      <c r="J5423" t="s">
        <v>34</v>
      </c>
      <c r="K5423" t="str">
        <f>"122577"</f>
        <v>122577</v>
      </c>
    </row>
    <row r="5424" spans="1:11" x14ac:dyDescent="0.25">
      <c r="A5424">
        <v>2024</v>
      </c>
      <c r="B5424" t="s">
        <v>5661</v>
      </c>
      <c r="C5424" t="s">
        <v>5662</v>
      </c>
      <c r="D5424" t="s">
        <v>125</v>
      </c>
      <c r="E5424" t="s">
        <v>20</v>
      </c>
      <c r="F5424" t="str">
        <f>"43537-8309"</f>
        <v>43537-8309</v>
      </c>
      <c r="G5424" t="str">
        <f t="shared" si="190"/>
        <v>716165</v>
      </c>
      <c r="H5424" s="2">
        <f>10</f>
        <v>10</v>
      </c>
      <c r="I5424" t="s">
        <v>27</v>
      </c>
      <c r="J5424" t="s">
        <v>34</v>
      </c>
      <c r="K5424" t="str">
        <f>"122424"</f>
        <v>122424</v>
      </c>
    </row>
    <row r="5425" spans="1:11" x14ac:dyDescent="0.25">
      <c r="A5425">
        <v>2024</v>
      </c>
      <c r="B5425" t="s">
        <v>5678</v>
      </c>
      <c r="C5425" t="s">
        <v>5679</v>
      </c>
      <c r="D5425" t="s">
        <v>19</v>
      </c>
      <c r="E5425" t="s">
        <v>20</v>
      </c>
      <c r="F5425" t="str">
        <f>"43611"</f>
        <v>43611</v>
      </c>
      <c r="G5425" t="str">
        <f t="shared" si="190"/>
        <v>716165</v>
      </c>
      <c r="H5425" s="2">
        <f>10</f>
        <v>10</v>
      </c>
      <c r="I5425" t="s">
        <v>27</v>
      </c>
      <c r="J5425" t="s">
        <v>34</v>
      </c>
      <c r="K5425" t="str">
        <f>"122890"</f>
        <v>122890</v>
      </c>
    </row>
    <row r="5426" spans="1:11" x14ac:dyDescent="0.25">
      <c r="A5426">
        <v>2024</v>
      </c>
      <c r="B5426" t="s">
        <v>5678</v>
      </c>
      <c r="C5426" t="s">
        <v>5679</v>
      </c>
      <c r="D5426" t="s">
        <v>19</v>
      </c>
      <c r="E5426" t="s">
        <v>20</v>
      </c>
      <c r="F5426" t="str">
        <f>"43611"</f>
        <v>43611</v>
      </c>
      <c r="G5426" t="str">
        <f t="shared" si="190"/>
        <v>716165</v>
      </c>
      <c r="H5426" s="2">
        <f>10</f>
        <v>10</v>
      </c>
      <c r="I5426" t="s">
        <v>27</v>
      </c>
      <c r="J5426" t="s">
        <v>34</v>
      </c>
      <c r="K5426" t="str">
        <f>"122789"</f>
        <v>122789</v>
      </c>
    </row>
    <row r="5427" spans="1:11" x14ac:dyDescent="0.25">
      <c r="A5427">
        <v>2024</v>
      </c>
      <c r="B5427" t="s">
        <v>5680</v>
      </c>
      <c r="C5427" t="s">
        <v>5681</v>
      </c>
      <c r="D5427" t="s">
        <v>58</v>
      </c>
      <c r="E5427" t="s">
        <v>20</v>
      </c>
      <c r="F5427" t="str">
        <f>"43616-2715"</f>
        <v>43616-2715</v>
      </c>
      <c r="G5427" t="str">
        <f t="shared" si="190"/>
        <v>716165</v>
      </c>
      <c r="H5427" s="2">
        <f>20</f>
        <v>20</v>
      </c>
      <c r="I5427" t="s">
        <v>27</v>
      </c>
      <c r="J5427" t="s">
        <v>34</v>
      </c>
      <c r="K5427" t="str">
        <f>"123189"</f>
        <v>123189</v>
      </c>
    </row>
    <row r="5428" spans="1:11" x14ac:dyDescent="0.25">
      <c r="A5428">
        <v>2024</v>
      </c>
      <c r="B5428" t="s">
        <v>5684</v>
      </c>
      <c r="C5428" t="s">
        <v>5685</v>
      </c>
      <c r="D5428" t="s">
        <v>58</v>
      </c>
      <c r="E5428" t="s">
        <v>20</v>
      </c>
      <c r="F5428" t="str">
        <f>"43616-2106"</f>
        <v>43616-2106</v>
      </c>
      <c r="G5428" t="str">
        <f t="shared" si="190"/>
        <v>716165</v>
      </c>
      <c r="H5428" s="2">
        <f>10</f>
        <v>10</v>
      </c>
      <c r="I5428" t="s">
        <v>27</v>
      </c>
      <c r="J5428" t="s">
        <v>34</v>
      </c>
      <c r="K5428" t="str">
        <f>"121136"</f>
        <v>121136</v>
      </c>
    </row>
    <row r="5429" spans="1:11" x14ac:dyDescent="0.25">
      <c r="A5429">
        <v>2024</v>
      </c>
      <c r="B5429" t="s">
        <v>5692</v>
      </c>
      <c r="C5429" t="s">
        <v>5693</v>
      </c>
      <c r="D5429" t="s">
        <v>19</v>
      </c>
      <c r="E5429" t="s">
        <v>20</v>
      </c>
      <c r="F5429" t="str">
        <f>"43617-1293"</f>
        <v>43617-1293</v>
      </c>
      <c r="G5429" t="str">
        <f t="shared" si="190"/>
        <v>716165</v>
      </c>
      <c r="H5429" s="2">
        <f>20</f>
        <v>20</v>
      </c>
      <c r="I5429" t="s">
        <v>27</v>
      </c>
      <c r="J5429" t="s">
        <v>34</v>
      </c>
      <c r="K5429" t="str">
        <f>"123080"</f>
        <v>123080</v>
      </c>
    </row>
    <row r="5430" spans="1:11" x14ac:dyDescent="0.25">
      <c r="A5430">
        <v>2024</v>
      </c>
      <c r="B5430" t="s">
        <v>5694</v>
      </c>
      <c r="C5430" t="s">
        <v>5695</v>
      </c>
      <c r="D5430" t="s">
        <v>19</v>
      </c>
      <c r="E5430" t="s">
        <v>20</v>
      </c>
      <c r="F5430" t="str">
        <f>"43612-1812"</f>
        <v>43612-1812</v>
      </c>
      <c r="G5430" t="str">
        <f t="shared" si="190"/>
        <v>716165</v>
      </c>
      <c r="H5430" s="2">
        <f>60</f>
        <v>60</v>
      </c>
      <c r="I5430" t="s">
        <v>27</v>
      </c>
      <c r="J5430" t="s">
        <v>34</v>
      </c>
      <c r="K5430" t="str">
        <f>"121950"</f>
        <v>121950</v>
      </c>
    </row>
    <row r="5431" spans="1:11" x14ac:dyDescent="0.25">
      <c r="A5431">
        <v>2024</v>
      </c>
      <c r="B5431" t="s">
        <v>5696</v>
      </c>
      <c r="C5431" t="s">
        <v>5697</v>
      </c>
      <c r="D5431" t="s">
        <v>323</v>
      </c>
      <c r="E5431" t="s">
        <v>20</v>
      </c>
      <c r="F5431" t="str">
        <f>"43571-9828"</f>
        <v>43571-9828</v>
      </c>
      <c r="G5431" t="str">
        <f t="shared" si="190"/>
        <v>716165</v>
      </c>
      <c r="H5431" s="2">
        <f>20</f>
        <v>20</v>
      </c>
      <c r="I5431" t="s">
        <v>27</v>
      </c>
      <c r="J5431" t="s">
        <v>34</v>
      </c>
      <c r="K5431" t="str">
        <f>"123393"</f>
        <v>123393</v>
      </c>
    </row>
    <row r="5432" spans="1:11" x14ac:dyDescent="0.25">
      <c r="A5432">
        <v>2024</v>
      </c>
      <c r="B5432" t="s">
        <v>5704</v>
      </c>
      <c r="C5432" t="s">
        <v>5705</v>
      </c>
      <c r="D5432" t="s">
        <v>125</v>
      </c>
      <c r="E5432" t="s">
        <v>20</v>
      </c>
      <c r="F5432" t="str">
        <f>"43537-2933"</f>
        <v>43537-2933</v>
      </c>
      <c r="G5432" t="str">
        <f t="shared" si="190"/>
        <v>716165</v>
      </c>
      <c r="H5432" s="2">
        <f>20</f>
        <v>20</v>
      </c>
      <c r="I5432" t="s">
        <v>27</v>
      </c>
      <c r="J5432" t="s">
        <v>34</v>
      </c>
      <c r="K5432" t="str">
        <f>"123813"</f>
        <v>123813</v>
      </c>
    </row>
    <row r="5433" spans="1:11" x14ac:dyDescent="0.25">
      <c r="A5433">
        <v>2024</v>
      </c>
      <c r="B5433" t="s">
        <v>5706</v>
      </c>
      <c r="C5433" t="s">
        <v>5707</v>
      </c>
      <c r="D5433" t="s">
        <v>19</v>
      </c>
      <c r="E5433" t="s">
        <v>20</v>
      </c>
      <c r="F5433" t="str">
        <f>"43609-3012"</f>
        <v>43609-3012</v>
      </c>
      <c r="G5433" t="str">
        <f t="shared" si="190"/>
        <v>716165</v>
      </c>
      <c r="H5433" s="2">
        <f>20</f>
        <v>20</v>
      </c>
      <c r="I5433" t="s">
        <v>27</v>
      </c>
      <c r="J5433" t="s">
        <v>34</v>
      </c>
      <c r="K5433" t="str">
        <f>"122376"</f>
        <v>122376</v>
      </c>
    </row>
    <row r="5434" spans="1:11" x14ac:dyDescent="0.25">
      <c r="A5434">
        <v>2024</v>
      </c>
      <c r="B5434" t="s">
        <v>5723</v>
      </c>
      <c r="C5434" t="s">
        <v>5724</v>
      </c>
      <c r="D5434" t="s">
        <v>19</v>
      </c>
      <c r="E5434" t="s">
        <v>20</v>
      </c>
      <c r="F5434" t="str">
        <f>"43617"</f>
        <v>43617</v>
      </c>
      <c r="G5434" t="str">
        <f>"701123"</f>
        <v>701123</v>
      </c>
      <c r="H5434" s="2">
        <f>24</f>
        <v>24</v>
      </c>
      <c r="I5434" t="s">
        <v>148</v>
      </c>
      <c r="J5434" t="s">
        <v>5725</v>
      </c>
      <c r="K5434" t="str">
        <f>"26769"</f>
        <v>26769</v>
      </c>
    </row>
    <row r="5435" spans="1:11" x14ac:dyDescent="0.25">
      <c r="A5435">
        <v>2024</v>
      </c>
      <c r="B5435" t="s">
        <v>5730</v>
      </c>
      <c r="C5435" t="s">
        <v>5731</v>
      </c>
      <c r="D5435" t="s">
        <v>19</v>
      </c>
      <c r="E5435" t="s">
        <v>20</v>
      </c>
      <c r="F5435" t="str">
        <f>"43605"</f>
        <v>43605</v>
      </c>
      <c r="G5435" t="str">
        <f>"719211"</f>
        <v>719211</v>
      </c>
      <c r="H5435" s="2">
        <f>225</f>
        <v>225</v>
      </c>
      <c r="I5435" t="s">
        <v>27</v>
      </c>
      <c r="J5435" t="s">
        <v>200</v>
      </c>
      <c r="K5435" t="str">
        <f>"N/A"</f>
        <v>N/A</v>
      </c>
    </row>
    <row r="5436" spans="1:11" x14ac:dyDescent="0.25">
      <c r="A5436">
        <v>2024</v>
      </c>
      <c r="B5436" t="s">
        <v>5738</v>
      </c>
      <c r="C5436" t="s">
        <v>5739</v>
      </c>
      <c r="D5436" t="s">
        <v>5740</v>
      </c>
      <c r="E5436" t="s">
        <v>216</v>
      </c>
      <c r="F5436" t="str">
        <f>"46774"</f>
        <v>46774</v>
      </c>
      <c r="G5436" t="str">
        <f>"716619"</f>
        <v>716619</v>
      </c>
      <c r="H5436" s="2">
        <f>5</f>
        <v>5</v>
      </c>
      <c r="I5436" t="s">
        <v>27</v>
      </c>
      <c r="J5436" t="s">
        <v>34</v>
      </c>
      <c r="K5436" t="str">
        <f>"11004605"</f>
        <v>11004605</v>
      </c>
    </row>
    <row r="5437" spans="1:11" x14ac:dyDescent="0.25">
      <c r="A5437">
        <v>2024</v>
      </c>
      <c r="B5437" t="s">
        <v>5773</v>
      </c>
      <c r="C5437" t="s">
        <v>5774</v>
      </c>
      <c r="D5437" t="s">
        <v>19</v>
      </c>
      <c r="E5437" t="s">
        <v>20</v>
      </c>
      <c r="F5437" t="str">
        <f>"43611-1742"</f>
        <v>43611-1742</v>
      </c>
      <c r="G5437" t="str">
        <f t="shared" ref="G5437:G5443" si="191">"716165"</f>
        <v>716165</v>
      </c>
      <c r="H5437" s="2">
        <f>10</f>
        <v>10</v>
      </c>
      <c r="I5437" t="s">
        <v>27</v>
      </c>
      <c r="J5437" t="s">
        <v>34</v>
      </c>
      <c r="K5437" t="str">
        <f>"122954"</f>
        <v>122954</v>
      </c>
    </row>
    <row r="5438" spans="1:11" x14ac:dyDescent="0.25">
      <c r="A5438">
        <v>2024</v>
      </c>
      <c r="B5438" t="s">
        <v>5775</v>
      </c>
      <c r="C5438" t="s">
        <v>5776</v>
      </c>
      <c r="D5438" t="s">
        <v>19</v>
      </c>
      <c r="E5438" t="s">
        <v>20</v>
      </c>
      <c r="F5438" t="str">
        <f>"43614-3313"</f>
        <v>43614-3313</v>
      </c>
      <c r="G5438" t="str">
        <f t="shared" si="191"/>
        <v>716165</v>
      </c>
      <c r="H5438" s="2">
        <f>40</f>
        <v>40</v>
      </c>
      <c r="I5438" t="s">
        <v>27</v>
      </c>
      <c r="J5438" t="s">
        <v>34</v>
      </c>
      <c r="K5438" t="str">
        <f>"125011"</f>
        <v>125011</v>
      </c>
    </row>
    <row r="5439" spans="1:11" x14ac:dyDescent="0.25">
      <c r="A5439">
        <v>2024</v>
      </c>
      <c r="B5439" t="s">
        <v>5792</v>
      </c>
      <c r="C5439" t="s">
        <v>3038</v>
      </c>
      <c r="D5439" t="s">
        <v>19</v>
      </c>
      <c r="E5439" t="s">
        <v>20</v>
      </c>
      <c r="F5439" t="str">
        <f>"43609-2228"</f>
        <v>43609-2228</v>
      </c>
      <c r="G5439" t="str">
        <f t="shared" si="191"/>
        <v>716165</v>
      </c>
      <c r="H5439" s="2">
        <f>20</f>
        <v>20</v>
      </c>
      <c r="I5439" t="s">
        <v>27</v>
      </c>
      <c r="J5439" t="s">
        <v>34</v>
      </c>
      <c r="K5439" t="str">
        <f>"124074"</f>
        <v>124074</v>
      </c>
    </row>
    <row r="5440" spans="1:11" x14ac:dyDescent="0.25">
      <c r="A5440">
        <v>2024</v>
      </c>
      <c r="B5440" t="s">
        <v>5799</v>
      </c>
      <c r="C5440" t="s">
        <v>5800</v>
      </c>
      <c r="D5440" t="s">
        <v>19</v>
      </c>
      <c r="E5440" t="s">
        <v>20</v>
      </c>
      <c r="F5440" t="str">
        <f>"43614-3018"</f>
        <v>43614-3018</v>
      </c>
      <c r="G5440" t="str">
        <f t="shared" si="191"/>
        <v>716165</v>
      </c>
      <c r="H5440" s="2">
        <f>10</f>
        <v>10</v>
      </c>
      <c r="I5440" t="s">
        <v>27</v>
      </c>
      <c r="J5440" t="s">
        <v>34</v>
      </c>
      <c r="K5440" t="str">
        <f>"121487"</f>
        <v>121487</v>
      </c>
    </row>
    <row r="5441" spans="1:11" x14ac:dyDescent="0.25">
      <c r="A5441">
        <v>2024</v>
      </c>
      <c r="B5441" t="s">
        <v>5801</v>
      </c>
      <c r="C5441" t="s">
        <v>5802</v>
      </c>
      <c r="D5441" t="s">
        <v>58</v>
      </c>
      <c r="E5441" t="s">
        <v>20</v>
      </c>
      <c r="F5441" t="str">
        <f>"43616-1942"</f>
        <v>43616-1942</v>
      </c>
      <c r="G5441" t="str">
        <f t="shared" si="191"/>
        <v>716165</v>
      </c>
      <c r="H5441" s="2">
        <f>20</f>
        <v>20</v>
      </c>
      <c r="I5441" t="s">
        <v>27</v>
      </c>
      <c r="J5441" t="s">
        <v>34</v>
      </c>
      <c r="K5441" t="str">
        <f>"123616"</f>
        <v>123616</v>
      </c>
    </row>
    <row r="5442" spans="1:11" x14ac:dyDescent="0.25">
      <c r="A5442">
        <v>2024</v>
      </c>
      <c r="B5442" t="s">
        <v>5805</v>
      </c>
      <c r="C5442" t="s">
        <v>5806</v>
      </c>
      <c r="D5442" t="s">
        <v>19</v>
      </c>
      <c r="E5442" t="s">
        <v>20</v>
      </c>
      <c r="F5442" t="str">
        <f>"43612-2116"</f>
        <v>43612-2116</v>
      </c>
      <c r="G5442" t="str">
        <f t="shared" si="191"/>
        <v>716165</v>
      </c>
      <c r="H5442" s="2">
        <f>20</f>
        <v>20</v>
      </c>
      <c r="I5442" t="s">
        <v>27</v>
      </c>
      <c r="J5442" t="s">
        <v>34</v>
      </c>
      <c r="K5442" t="str">
        <f>"122096"</f>
        <v>122096</v>
      </c>
    </row>
    <row r="5443" spans="1:11" x14ac:dyDescent="0.25">
      <c r="A5443">
        <v>2024</v>
      </c>
      <c r="B5443" t="s">
        <v>5819</v>
      </c>
      <c r="C5443" t="s">
        <v>5820</v>
      </c>
      <c r="D5443" t="s">
        <v>19</v>
      </c>
      <c r="E5443" t="s">
        <v>20</v>
      </c>
      <c r="F5443" t="str">
        <f>"43605-5601"</f>
        <v>43605-5601</v>
      </c>
      <c r="G5443" t="str">
        <f t="shared" si="191"/>
        <v>716165</v>
      </c>
      <c r="H5443" s="2">
        <f>20</f>
        <v>20</v>
      </c>
      <c r="I5443" t="s">
        <v>27</v>
      </c>
      <c r="J5443" t="s">
        <v>34</v>
      </c>
      <c r="K5443" t="str">
        <f>"122747"</f>
        <v>122747</v>
      </c>
    </row>
    <row r="5444" spans="1:11" x14ac:dyDescent="0.25">
      <c r="A5444">
        <v>2024</v>
      </c>
      <c r="B5444" t="s">
        <v>5829</v>
      </c>
      <c r="C5444" t="s">
        <v>5830</v>
      </c>
      <c r="D5444" t="s">
        <v>771</v>
      </c>
      <c r="E5444" t="s">
        <v>20</v>
      </c>
      <c r="F5444" t="str">
        <f>"43460"</f>
        <v>43460</v>
      </c>
      <c r="G5444" t="str">
        <f>"701123"</f>
        <v>701123</v>
      </c>
      <c r="H5444" s="2">
        <f>23</f>
        <v>23</v>
      </c>
      <c r="I5444" t="s">
        <v>148</v>
      </c>
      <c r="J5444" t="s">
        <v>5831</v>
      </c>
      <c r="K5444" t="str">
        <f>"26769"</f>
        <v>26769</v>
      </c>
    </row>
    <row r="5445" spans="1:11" x14ac:dyDescent="0.25">
      <c r="A5445">
        <v>2024</v>
      </c>
      <c r="B5445" t="s">
        <v>5844</v>
      </c>
      <c r="C5445" t="s">
        <v>5845</v>
      </c>
      <c r="D5445" t="s">
        <v>125</v>
      </c>
      <c r="E5445" t="s">
        <v>20</v>
      </c>
      <c r="F5445" t="str">
        <f>"43537-1049"</f>
        <v>43537-1049</v>
      </c>
      <c r="G5445" t="str">
        <f>"716165"</f>
        <v>716165</v>
      </c>
      <c r="H5445" s="2">
        <f>10</f>
        <v>10</v>
      </c>
      <c r="I5445" t="s">
        <v>27</v>
      </c>
      <c r="J5445" t="s">
        <v>34</v>
      </c>
      <c r="K5445" t="str">
        <f>"124707"</f>
        <v>124707</v>
      </c>
    </row>
    <row r="5446" spans="1:11" x14ac:dyDescent="0.25">
      <c r="A5446">
        <v>2024</v>
      </c>
      <c r="B5446" t="s">
        <v>5860</v>
      </c>
      <c r="C5446" t="s">
        <v>1582</v>
      </c>
      <c r="D5446" t="s">
        <v>164</v>
      </c>
      <c r="E5446" t="s">
        <v>20</v>
      </c>
      <c r="F5446" t="str">
        <f>"43558-9456"</f>
        <v>43558-9456</v>
      </c>
      <c r="G5446" t="str">
        <f>"716165"</f>
        <v>716165</v>
      </c>
      <c r="H5446" s="2">
        <f>10</f>
        <v>10</v>
      </c>
      <c r="I5446" t="s">
        <v>27</v>
      </c>
      <c r="J5446" t="s">
        <v>34</v>
      </c>
      <c r="K5446" t="str">
        <f>"122614"</f>
        <v>122614</v>
      </c>
    </row>
    <row r="5447" spans="1:11" x14ac:dyDescent="0.25">
      <c r="A5447">
        <v>2024</v>
      </c>
      <c r="B5447" t="s">
        <v>5883</v>
      </c>
      <c r="C5447" t="s">
        <v>5884</v>
      </c>
      <c r="D5447" t="s">
        <v>1074</v>
      </c>
      <c r="E5447" t="s">
        <v>20</v>
      </c>
      <c r="F5447" t="str">
        <f>"43551"</f>
        <v>43551</v>
      </c>
      <c r="G5447" t="str">
        <f>"701123"</f>
        <v>701123</v>
      </c>
      <c r="H5447" s="2">
        <f>5</f>
        <v>5</v>
      </c>
      <c r="I5447" t="s">
        <v>148</v>
      </c>
      <c r="J5447" t="s">
        <v>5885</v>
      </c>
      <c r="K5447" t="str">
        <f>"26769"</f>
        <v>26769</v>
      </c>
    </row>
    <row r="5448" spans="1:11" x14ac:dyDescent="0.25">
      <c r="A5448">
        <v>2024</v>
      </c>
      <c r="B5448" t="s">
        <v>5886</v>
      </c>
      <c r="C5448" t="s">
        <v>5887</v>
      </c>
      <c r="D5448" t="s">
        <v>19</v>
      </c>
      <c r="E5448" t="s">
        <v>20</v>
      </c>
      <c r="F5448" t="str">
        <f>"43606"</f>
        <v>43606</v>
      </c>
      <c r="G5448" t="str">
        <f>"719211"</f>
        <v>719211</v>
      </c>
      <c r="H5448" s="2">
        <f>135</f>
        <v>135</v>
      </c>
      <c r="I5448" t="s">
        <v>27</v>
      </c>
      <c r="J5448" t="s">
        <v>200</v>
      </c>
      <c r="K5448" t="str">
        <f>"N/A"</f>
        <v>N/A</v>
      </c>
    </row>
    <row r="5449" spans="1:11" x14ac:dyDescent="0.25">
      <c r="A5449">
        <v>2024</v>
      </c>
      <c r="B5449" t="s">
        <v>5888</v>
      </c>
      <c r="C5449" t="s">
        <v>5889</v>
      </c>
      <c r="D5449" t="s">
        <v>50</v>
      </c>
      <c r="E5449" t="s">
        <v>20</v>
      </c>
      <c r="F5449" t="str">
        <f>"43560-3338"</f>
        <v>43560-3338</v>
      </c>
      <c r="G5449" t="str">
        <f t="shared" ref="G5449:G5455" si="192">"716165"</f>
        <v>716165</v>
      </c>
      <c r="H5449" s="2">
        <f>20</f>
        <v>20</v>
      </c>
      <c r="I5449" t="s">
        <v>27</v>
      </c>
      <c r="J5449" t="s">
        <v>34</v>
      </c>
      <c r="K5449" t="str">
        <f>"124048"</f>
        <v>124048</v>
      </c>
    </row>
    <row r="5450" spans="1:11" x14ac:dyDescent="0.25">
      <c r="A5450">
        <v>2024</v>
      </c>
      <c r="B5450" t="s">
        <v>5909</v>
      </c>
      <c r="C5450" t="s">
        <v>5910</v>
      </c>
      <c r="D5450" t="s">
        <v>125</v>
      </c>
      <c r="E5450" t="s">
        <v>20</v>
      </c>
      <c r="F5450" t="str">
        <f>"43537-3250"</f>
        <v>43537-3250</v>
      </c>
      <c r="G5450" t="str">
        <f t="shared" si="192"/>
        <v>716165</v>
      </c>
      <c r="H5450" s="2">
        <f>10</f>
        <v>10</v>
      </c>
      <c r="I5450" t="s">
        <v>27</v>
      </c>
      <c r="J5450" t="s">
        <v>34</v>
      </c>
      <c r="K5450" t="str">
        <f>"123008"</f>
        <v>123008</v>
      </c>
    </row>
    <row r="5451" spans="1:11" x14ac:dyDescent="0.25">
      <c r="A5451">
        <v>2024</v>
      </c>
      <c r="B5451" t="s">
        <v>5919</v>
      </c>
      <c r="C5451" t="s">
        <v>5920</v>
      </c>
      <c r="D5451" t="s">
        <v>58</v>
      </c>
      <c r="E5451" t="s">
        <v>20</v>
      </c>
      <c r="F5451" t="str">
        <f>"43616-3056"</f>
        <v>43616-3056</v>
      </c>
      <c r="G5451" t="str">
        <f t="shared" si="192"/>
        <v>716165</v>
      </c>
      <c r="H5451" s="2">
        <f>20</f>
        <v>20</v>
      </c>
      <c r="I5451" t="s">
        <v>27</v>
      </c>
      <c r="J5451" t="s">
        <v>34</v>
      </c>
      <c r="K5451" t="str">
        <f>"124520"</f>
        <v>124520</v>
      </c>
    </row>
    <row r="5452" spans="1:11" x14ac:dyDescent="0.25">
      <c r="A5452">
        <v>2024</v>
      </c>
      <c r="B5452" t="s">
        <v>5928</v>
      </c>
      <c r="C5452" t="s">
        <v>5929</v>
      </c>
      <c r="D5452" t="s">
        <v>105</v>
      </c>
      <c r="E5452" t="s">
        <v>20</v>
      </c>
      <c r="F5452" t="str">
        <f>"43528-7945"</f>
        <v>43528-7945</v>
      </c>
      <c r="G5452" t="str">
        <f t="shared" si="192"/>
        <v>716165</v>
      </c>
      <c r="H5452" s="2">
        <f>10</f>
        <v>10</v>
      </c>
      <c r="I5452" t="s">
        <v>27</v>
      </c>
      <c r="J5452" t="s">
        <v>34</v>
      </c>
      <c r="K5452" t="str">
        <f>"124442"</f>
        <v>124442</v>
      </c>
    </row>
    <row r="5453" spans="1:11" x14ac:dyDescent="0.25">
      <c r="A5453">
        <v>2024</v>
      </c>
      <c r="B5453" t="s">
        <v>5938</v>
      </c>
      <c r="C5453" t="s">
        <v>5939</v>
      </c>
      <c r="D5453" t="s">
        <v>19</v>
      </c>
      <c r="E5453" t="s">
        <v>20</v>
      </c>
      <c r="F5453" t="str">
        <f>"43613-1008"</f>
        <v>43613-1008</v>
      </c>
      <c r="G5453" t="str">
        <f t="shared" si="192"/>
        <v>716165</v>
      </c>
      <c r="H5453" s="2">
        <f>20</f>
        <v>20</v>
      </c>
      <c r="I5453" t="s">
        <v>27</v>
      </c>
      <c r="J5453" t="s">
        <v>34</v>
      </c>
      <c r="K5453" t="str">
        <f>"124125"</f>
        <v>124125</v>
      </c>
    </row>
    <row r="5454" spans="1:11" x14ac:dyDescent="0.25">
      <c r="A5454">
        <v>2024</v>
      </c>
      <c r="B5454" t="s">
        <v>5957</v>
      </c>
      <c r="C5454" t="s">
        <v>5958</v>
      </c>
      <c r="D5454" t="s">
        <v>19</v>
      </c>
      <c r="E5454" t="s">
        <v>20</v>
      </c>
      <c r="F5454" t="str">
        <f>"43614"</f>
        <v>43614</v>
      </c>
      <c r="G5454" t="str">
        <f t="shared" si="192"/>
        <v>716165</v>
      </c>
      <c r="H5454" s="2">
        <f>10</f>
        <v>10</v>
      </c>
      <c r="I5454" t="s">
        <v>27</v>
      </c>
      <c r="J5454" t="s">
        <v>34</v>
      </c>
      <c r="K5454" t="str">
        <f>"123997"</f>
        <v>123997</v>
      </c>
    </row>
    <row r="5455" spans="1:11" x14ac:dyDescent="0.25">
      <c r="A5455">
        <v>2024</v>
      </c>
      <c r="B5455" t="s">
        <v>5973</v>
      </c>
      <c r="C5455" t="s">
        <v>5974</v>
      </c>
      <c r="D5455" t="s">
        <v>64</v>
      </c>
      <c r="E5455" t="s">
        <v>20</v>
      </c>
      <c r="F5455" t="str">
        <f>"43566-9607"</f>
        <v>43566-9607</v>
      </c>
      <c r="G5455" t="str">
        <f t="shared" si="192"/>
        <v>716165</v>
      </c>
      <c r="H5455" s="2">
        <f>10</f>
        <v>10</v>
      </c>
      <c r="I5455" t="s">
        <v>27</v>
      </c>
      <c r="J5455" t="s">
        <v>34</v>
      </c>
      <c r="K5455" t="str">
        <f>"123223"</f>
        <v>123223</v>
      </c>
    </row>
    <row r="5456" spans="1:11" x14ac:dyDescent="0.25">
      <c r="A5456">
        <v>2024</v>
      </c>
      <c r="B5456" t="s">
        <v>5981</v>
      </c>
      <c r="C5456" t="s">
        <v>5982</v>
      </c>
      <c r="D5456" t="s">
        <v>19</v>
      </c>
      <c r="E5456" t="s">
        <v>20</v>
      </c>
      <c r="F5456" t="str">
        <f>"43617"</f>
        <v>43617</v>
      </c>
      <c r="G5456" t="str">
        <f>"716166"</f>
        <v>716166</v>
      </c>
      <c r="H5456" s="2">
        <f>20</f>
        <v>20</v>
      </c>
      <c r="I5456" t="s">
        <v>27</v>
      </c>
      <c r="J5456" t="s">
        <v>262</v>
      </c>
      <c r="K5456" t="str">
        <f>"41472"</f>
        <v>41472</v>
      </c>
    </row>
    <row r="5457" spans="1:11" x14ac:dyDescent="0.25">
      <c r="A5457">
        <v>2024</v>
      </c>
      <c r="B5457" t="s">
        <v>5992</v>
      </c>
      <c r="C5457" t="s">
        <v>5993</v>
      </c>
      <c r="D5457" t="s">
        <v>19</v>
      </c>
      <c r="E5457" t="s">
        <v>20</v>
      </c>
      <c r="F5457" t="str">
        <f>"43605"</f>
        <v>43605</v>
      </c>
      <c r="G5457" t="str">
        <f>"Je03262024"</f>
        <v>Je03262024</v>
      </c>
      <c r="H5457" s="2">
        <f>227.28</f>
        <v>227.28</v>
      </c>
      <c r="I5457" t="s">
        <v>15</v>
      </c>
      <c r="J5457" t="s">
        <v>21</v>
      </c>
      <c r="K5457" t="str">
        <f>"60111075"</f>
        <v>60111075</v>
      </c>
    </row>
    <row r="5458" spans="1:11" x14ac:dyDescent="0.25">
      <c r="A5458">
        <v>2024</v>
      </c>
      <c r="B5458" t="s">
        <v>6006</v>
      </c>
      <c r="C5458" t="s">
        <v>6007</v>
      </c>
      <c r="D5458" t="s">
        <v>6008</v>
      </c>
      <c r="E5458" t="s">
        <v>20</v>
      </c>
      <c r="F5458" t="str">
        <f>"43434"</f>
        <v>43434</v>
      </c>
      <c r="G5458" t="str">
        <f>"716166"</f>
        <v>716166</v>
      </c>
      <c r="H5458" s="2">
        <f>3</f>
        <v>3</v>
      </c>
      <c r="I5458" t="s">
        <v>27</v>
      </c>
      <c r="J5458" t="s">
        <v>262</v>
      </c>
      <c r="K5458" t="str">
        <f>"41760"</f>
        <v>41760</v>
      </c>
    </row>
    <row r="5459" spans="1:11" x14ac:dyDescent="0.25">
      <c r="A5459">
        <v>2024</v>
      </c>
      <c r="B5459" t="s">
        <v>6016</v>
      </c>
      <c r="C5459" t="s">
        <v>6017</v>
      </c>
      <c r="D5459" t="s">
        <v>19</v>
      </c>
      <c r="E5459" t="s">
        <v>20</v>
      </c>
      <c r="F5459" t="str">
        <f>"43608"</f>
        <v>43608</v>
      </c>
      <c r="G5459" t="str">
        <f>"Je10112024"</f>
        <v>Je10112024</v>
      </c>
      <c r="H5459" s="2">
        <f>20</f>
        <v>20</v>
      </c>
      <c r="I5459" t="s">
        <v>15</v>
      </c>
      <c r="J5459" t="s">
        <v>205</v>
      </c>
      <c r="K5459" t="str">
        <f>"60127797"</f>
        <v>60127797</v>
      </c>
    </row>
    <row r="5460" spans="1:11" x14ac:dyDescent="0.25">
      <c r="A5460">
        <v>2024</v>
      </c>
      <c r="B5460" t="s">
        <v>6023</v>
      </c>
      <c r="C5460" t="s">
        <v>6024</v>
      </c>
      <c r="D5460" t="s">
        <v>45</v>
      </c>
      <c r="E5460" t="s">
        <v>20</v>
      </c>
      <c r="F5460" t="str">
        <f>"43542-9489"</f>
        <v>43542-9489</v>
      </c>
      <c r="G5460" t="str">
        <f>"716165"</f>
        <v>716165</v>
      </c>
      <c r="H5460" s="2">
        <f>20</f>
        <v>20</v>
      </c>
      <c r="I5460" t="s">
        <v>27</v>
      </c>
      <c r="J5460" t="s">
        <v>34</v>
      </c>
      <c r="K5460" t="str">
        <f>"123491"</f>
        <v>123491</v>
      </c>
    </row>
    <row r="5461" spans="1:11" x14ac:dyDescent="0.25">
      <c r="A5461">
        <v>2024</v>
      </c>
      <c r="B5461" t="s">
        <v>6039</v>
      </c>
      <c r="C5461" t="s">
        <v>6040</v>
      </c>
      <c r="D5461" t="s">
        <v>19</v>
      </c>
      <c r="E5461" t="s">
        <v>20</v>
      </c>
      <c r="F5461" t="str">
        <f>"43615-6363"</f>
        <v>43615-6363</v>
      </c>
      <c r="G5461" t="str">
        <f>"716165"</f>
        <v>716165</v>
      </c>
      <c r="H5461" s="2">
        <f>40</f>
        <v>40</v>
      </c>
      <c r="I5461" t="s">
        <v>27</v>
      </c>
      <c r="J5461" t="s">
        <v>34</v>
      </c>
      <c r="K5461" t="str">
        <f>"121264"</f>
        <v>121264</v>
      </c>
    </row>
    <row r="5462" spans="1:11" x14ac:dyDescent="0.25">
      <c r="A5462">
        <v>2024</v>
      </c>
      <c r="B5462" t="s">
        <v>6039</v>
      </c>
      <c r="C5462" t="s">
        <v>6040</v>
      </c>
      <c r="D5462" t="s">
        <v>19</v>
      </c>
      <c r="E5462" t="s">
        <v>20</v>
      </c>
      <c r="F5462" t="str">
        <f>"43615-6363"</f>
        <v>43615-6363</v>
      </c>
      <c r="G5462" t="str">
        <f>"716165"</f>
        <v>716165</v>
      </c>
      <c r="H5462" s="2">
        <f>30</f>
        <v>30</v>
      </c>
      <c r="I5462" t="s">
        <v>27</v>
      </c>
      <c r="J5462" t="s">
        <v>34</v>
      </c>
      <c r="K5462" t="str">
        <f>"121356"</f>
        <v>121356</v>
      </c>
    </row>
    <row r="5463" spans="1:11" x14ac:dyDescent="0.25">
      <c r="A5463">
        <v>2024</v>
      </c>
      <c r="B5463" t="s">
        <v>6052</v>
      </c>
      <c r="C5463" t="s">
        <v>6053</v>
      </c>
      <c r="D5463" t="s">
        <v>323</v>
      </c>
      <c r="E5463" t="s">
        <v>20</v>
      </c>
      <c r="F5463" t="str">
        <f>"43571-9713"</f>
        <v>43571-9713</v>
      </c>
      <c r="G5463" t="str">
        <f>"716165"</f>
        <v>716165</v>
      </c>
      <c r="H5463" s="2">
        <f>10</f>
        <v>10</v>
      </c>
      <c r="I5463" t="s">
        <v>27</v>
      </c>
      <c r="J5463" t="s">
        <v>34</v>
      </c>
      <c r="K5463" t="str">
        <f>"125001"</f>
        <v>125001</v>
      </c>
    </row>
    <row r="5464" spans="1:11" x14ac:dyDescent="0.25">
      <c r="A5464">
        <v>2024</v>
      </c>
      <c r="B5464" t="s">
        <v>6087</v>
      </c>
      <c r="C5464" t="s">
        <v>6088</v>
      </c>
      <c r="D5464" t="s">
        <v>45</v>
      </c>
      <c r="E5464" t="s">
        <v>20</v>
      </c>
      <c r="F5464" t="str">
        <f>"43542"</f>
        <v>43542</v>
      </c>
      <c r="G5464" t="str">
        <f>"716166"</f>
        <v>716166</v>
      </c>
      <c r="H5464" s="2">
        <f>3.15</f>
        <v>3.15</v>
      </c>
      <c r="I5464" t="s">
        <v>27</v>
      </c>
      <c r="J5464" t="s">
        <v>262</v>
      </c>
      <c r="K5464" t="str">
        <f>"41141"</f>
        <v>41141</v>
      </c>
    </row>
    <row r="5465" spans="1:11" x14ac:dyDescent="0.25">
      <c r="A5465">
        <v>2024</v>
      </c>
      <c r="B5465" t="s">
        <v>6106</v>
      </c>
      <c r="C5465" t="s">
        <v>6107</v>
      </c>
      <c r="D5465" t="s">
        <v>323</v>
      </c>
      <c r="E5465" t="s">
        <v>20</v>
      </c>
      <c r="F5465" t="str">
        <f>"43571-9494"</f>
        <v>43571-9494</v>
      </c>
      <c r="G5465" t="str">
        <f>"716165"</f>
        <v>716165</v>
      </c>
      <c r="H5465" s="2">
        <f>100</f>
        <v>100</v>
      </c>
      <c r="I5465" t="s">
        <v>27</v>
      </c>
      <c r="J5465" t="s">
        <v>34</v>
      </c>
      <c r="K5465" t="str">
        <f>"123311"</f>
        <v>123311</v>
      </c>
    </row>
    <row r="5466" spans="1:11" x14ac:dyDescent="0.25">
      <c r="A5466">
        <v>2024</v>
      </c>
      <c r="B5466" t="s">
        <v>6108</v>
      </c>
      <c r="C5466" t="s">
        <v>6109</v>
      </c>
      <c r="D5466" t="s">
        <v>105</v>
      </c>
      <c r="E5466" t="s">
        <v>20</v>
      </c>
      <c r="F5466" t="str">
        <f>"43528-8163"</f>
        <v>43528-8163</v>
      </c>
      <c r="G5466" t="str">
        <f>"716165"</f>
        <v>716165</v>
      </c>
      <c r="H5466" s="2">
        <f>10</f>
        <v>10</v>
      </c>
      <c r="I5466" t="s">
        <v>27</v>
      </c>
      <c r="J5466" t="s">
        <v>34</v>
      </c>
      <c r="K5466" t="str">
        <f>"124440"</f>
        <v>124440</v>
      </c>
    </row>
    <row r="5467" spans="1:11" x14ac:dyDescent="0.25">
      <c r="A5467">
        <v>2024</v>
      </c>
      <c r="B5467" t="s">
        <v>6118</v>
      </c>
      <c r="C5467" t="s">
        <v>6119</v>
      </c>
      <c r="D5467" t="s">
        <v>19</v>
      </c>
      <c r="E5467" t="s">
        <v>20</v>
      </c>
      <c r="F5467" t="str">
        <f>"43613"</f>
        <v>43613</v>
      </c>
      <c r="G5467" t="str">
        <f>"719211"</f>
        <v>719211</v>
      </c>
      <c r="H5467" s="2">
        <f>1000</f>
        <v>1000</v>
      </c>
      <c r="I5467" t="s">
        <v>27</v>
      </c>
      <c r="J5467" t="s">
        <v>200</v>
      </c>
      <c r="K5467" t="str">
        <f>"N/A"</f>
        <v>N/A</v>
      </c>
    </row>
    <row r="5468" spans="1:11" x14ac:dyDescent="0.25">
      <c r="A5468">
        <v>2024</v>
      </c>
      <c r="B5468" t="s">
        <v>6122</v>
      </c>
      <c r="C5468" t="s">
        <v>6123</v>
      </c>
      <c r="D5468" t="s">
        <v>50</v>
      </c>
      <c r="E5468" t="s">
        <v>20</v>
      </c>
      <c r="F5468" t="str">
        <f>"43560-8973"</f>
        <v>43560-8973</v>
      </c>
      <c r="G5468" t="str">
        <f>"716165"</f>
        <v>716165</v>
      </c>
      <c r="H5468" s="2">
        <f>20</f>
        <v>20</v>
      </c>
      <c r="I5468" t="s">
        <v>27</v>
      </c>
      <c r="J5468" t="s">
        <v>34</v>
      </c>
      <c r="K5468" t="str">
        <f>"123530"</f>
        <v>123530</v>
      </c>
    </row>
    <row r="5469" spans="1:11" x14ac:dyDescent="0.25">
      <c r="A5469">
        <v>2024</v>
      </c>
      <c r="B5469" t="s">
        <v>6124</v>
      </c>
      <c r="C5469" t="s">
        <v>6125</v>
      </c>
      <c r="D5469" t="s">
        <v>19</v>
      </c>
      <c r="E5469" t="s">
        <v>20</v>
      </c>
      <c r="F5469" t="str">
        <f>"43612"</f>
        <v>43612</v>
      </c>
      <c r="G5469" t="str">
        <f>"718470"</f>
        <v>718470</v>
      </c>
      <c r="H5469" s="2">
        <f>118.64</f>
        <v>118.64</v>
      </c>
      <c r="I5469" t="s">
        <v>27</v>
      </c>
      <c r="J5469" t="s">
        <v>34</v>
      </c>
      <c r="K5469" t="str">
        <f>"334459"</f>
        <v>334459</v>
      </c>
    </row>
    <row r="5470" spans="1:11" x14ac:dyDescent="0.25">
      <c r="A5470">
        <v>2024</v>
      </c>
      <c r="B5470" t="s">
        <v>6126</v>
      </c>
      <c r="C5470" t="s">
        <v>6127</v>
      </c>
      <c r="D5470" t="s">
        <v>19</v>
      </c>
      <c r="E5470" t="s">
        <v>20</v>
      </c>
      <c r="F5470" t="str">
        <f>"43611-2228"</f>
        <v>43611-2228</v>
      </c>
      <c r="G5470" t="str">
        <f>"716165"</f>
        <v>716165</v>
      </c>
      <c r="H5470" s="2">
        <f>100</f>
        <v>100</v>
      </c>
      <c r="I5470" t="s">
        <v>27</v>
      </c>
      <c r="J5470" t="s">
        <v>34</v>
      </c>
      <c r="K5470" t="str">
        <f>"125049"</f>
        <v>125049</v>
      </c>
    </row>
    <row r="5471" spans="1:11" x14ac:dyDescent="0.25">
      <c r="A5471">
        <v>2024</v>
      </c>
      <c r="B5471" t="s">
        <v>6126</v>
      </c>
      <c r="C5471" t="s">
        <v>6127</v>
      </c>
      <c r="D5471" t="s">
        <v>19</v>
      </c>
      <c r="E5471" t="s">
        <v>20</v>
      </c>
      <c r="F5471" t="str">
        <f>"43611-2228"</f>
        <v>43611-2228</v>
      </c>
      <c r="G5471" t="str">
        <f>"716165"</f>
        <v>716165</v>
      </c>
      <c r="H5471" s="2">
        <f>60</f>
        <v>60</v>
      </c>
      <c r="I5471" t="s">
        <v>27</v>
      </c>
      <c r="J5471" t="s">
        <v>34</v>
      </c>
      <c r="K5471" t="str">
        <f>"125161"</f>
        <v>125161</v>
      </c>
    </row>
    <row r="5472" spans="1:11" x14ac:dyDescent="0.25">
      <c r="A5472">
        <v>2024</v>
      </c>
      <c r="B5472" t="s">
        <v>6130</v>
      </c>
      <c r="C5472" t="s">
        <v>6134</v>
      </c>
      <c r="D5472" t="s">
        <v>19</v>
      </c>
      <c r="E5472" t="s">
        <v>20</v>
      </c>
      <c r="F5472" t="str">
        <f>"43604"</f>
        <v>43604</v>
      </c>
      <c r="G5472" t="str">
        <f>"718470"</f>
        <v>718470</v>
      </c>
      <c r="H5472" s="2">
        <f>2.76</f>
        <v>2.76</v>
      </c>
      <c r="I5472" t="s">
        <v>27</v>
      </c>
      <c r="J5472" t="s">
        <v>34</v>
      </c>
      <c r="K5472" t="str">
        <f>"334565"</f>
        <v>334565</v>
      </c>
    </row>
    <row r="5473" spans="1:11" x14ac:dyDescent="0.25">
      <c r="A5473">
        <v>2024</v>
      </c>
      <c r="B5473" t="s">
        <v>6135</v>
      </c>
      <c r="C5473" t="s">
        <v>6136</v>
      </c>
      <c r="D5473" t="s">
        <v>125</v>
      </c>
      <c r="E5473" t="s">
        <v>20</v>
      </c>
      <c r="F5473" t="str">
        <f>"43537-1280"</f>
        <v>43537-1280</v>
      </c>
      <c r="G5473" t="str">
        <f>"716165"</f>
        <v>716165</v>
      </c>
      <c r="H5473" s="2">
        <f>10</f>
        <v>10</v>
      </c>
      <c r="I5473" t="s">
        <v>27</v>
      </c>
      <c r="J5473" t="s">
        <v>34</v>
      </c>
      <c r="K5473" t="str">
        <f>"123235"</f>
        <v>123235</v>
      </c>
    </row>
    <row r="5474" spans="1:11" x14ac:dyDescent="0.25">
      <c r="A5474">
        <v>2024</v>
      </c>
      <c r="B5474" t="s">
        <v>6145</v>
      </c>
      <c r="C5474" t="s">
        <v>6146</v>
      </c>
      <c r="D5474" t="s">
        <v>125</v>
      </c>
      <c r="E5474" t="s">
        <v>20</v>
      </c>
      <c r="F5474" t="str">
        <f>"43537-2114"</f>
        <v>43537-2114</v>
      </c>
      <c r="G5474" t="str">
        <f>"716165"</f>
        <v>716165</v>
      </c>
      <c r="H5474" s="2">
        <f>10</f>
        <v>10</v>
      </c>
      <c r="I5474" t="s">
        <v>27</v>
      </c>
      <c r="J5474" t="s">
        <v>34</v>
      </c>
      <c r="K5474" t="str">
        <f>"125075"</f>
        <v>125075</v>
      </c>
    </row>
    <row r="5475" spans="1:11" x14ac:dyDescent="0.25">
      <c r="A5475">
        <v>2024</v>
      </c>
      <c r="B5475" t="s">
        <v>6149</v>
      </c>
      <c r="C5475" t="s">
        <v>6150</v>
      </c>
      <c r="D5475" t="s">
        <v>19</v>
      </c>
      <c r="E5475" t="s">
        <v>20</v>
      </c>
      <c r="F5475" t="str">
        <f>"43613-3530"</f>
        <v>43613-3530</v>
      </c>
      <c r="G5475" t="str">
        <f>"716165"</f>
        <v>716165</v>
      </c>
      <c r="H5475" s="2">
        <f>20</f>
        <v>20</v>
      </c>
      <c r="I5475" t="s">
        <v>27</v>
      </c>
      <c r="J5475" t="s">
        <v>34</v>
      </c>
      <c r="K5475" t="str">
        <f>"123605"</f>
        <v>123605</v>
      </c>
    </row>
    <row r="5476" spans="1:11" x14ac:dyDescent="0.25">
      <c r="A5476">
        <v>2024</v>
      </c>
      <c r="B5476" t="s">
        <v>6159</v>
      </c>
      <c r="C5476" t="s">
        <v>6160</v>
      </c>
      <c r="D5476" t="s">
        <v>19</v>
      </c>
      <c r="E5476" t="s">
        <v>20</v>
      </c>
      <c r="F5476" t="str">
        <f>"43604"</f>
        <v>43604</v>
      </c>
      <c r="G5476" t="str">
        <f>"701123"</f>
        <v>701123</v>
      </c>
      <c r="H5476" s="2">
        <f>5</f>
        <v>5</v>
      </c>
      <c r="I5476" t="s">
        <v>148</v>
      </c>
      <c r="J5476" t="s">
        <v>6161</v>
      </c>
      <c r="K5476" t="str">
        <f>"26769"</f>
        <v>26769</v>
      </c>
    </row>
    <row r="5477" spans="1:11" x14ac:dyDescent="0.25">
      <c r="A5477">
        <v>2024</v>
      </c>
      <c r="B5477" t="s">
        <v>6179</v>
      </c>
      <c r="C5477" t="s">
        <v>6180</v>
      </c>
      <c r="D5477" t="s">
        <v>19</v>
      </c>
      <c r="E5477" t="s">
        <v>20</v>
      </c>
      <c r="F5477" t="str">
        <f>"43615-3292"</f>
        <v>43615-3292</v>
      </c>
      <c r="G5477" t="str">
        <f>"716165"</f>
        <v>716165</v>
      </c>
      <c r="H5477" s="2">
        <f>10</f>
        <v>10</v>
      </c>
      <c r="I5477" t="s">
        <v>27</v>
      </c>
      <c r="J5477" t="s">
        <v>34</v>
      </c>
      <c r="K5477" t="str">
        <f>"122191"</f>
        <v>122191</v>
      </c>
    </row>
    <row r="5478" spans="1:11" x14ac:dyDescent="0.25">
      <c r="A5478">
        <v>2024</v>
      </c>
      <c r="B5478" t="s">
        <v>6199</v>
      </c>
      <c r="C5478" t="s">
        <v>6200</v>
      </c>
      <c r="D5478" t="s">
        <v>50</v>
      </c>
      <c r="E5478" t="s">
        <v>20</v>
      </c>
      <c r="F5478" t="str">
        <f>"43560"</f>
        <v>43560</v>
      </c>
      <c r="G5478" t="str">
        <f>"712783"</f>
        <v>712783</v>
      </c>
      <c r="H5478" s="2">
        <f>4</f>
        <v>4</v>
      </c>
      <c r="I5478" t="s">
        <v>519</v>
      </c>
      <c r="J5478" t="s">
        <v>519</v>
      </c>
      <c r="K5478" t="str">
        <f>"11493"</f>
        <v>11493</v>
      </c>
    </row>
    <row r="5479" spans="1:11" x14ac:dyDescent="0.25">
      <c r="A5479">
        <v>2024</v>
      </c>
      <c r="B5479" t="s">
        <v>6201</v>
      </c>
      <c r="C5479" t="s">
        <v>6202</v>
      </c>
      <c r="D5479" t="s">
        <v>19</v>
      </c>
      <c r="E5479" t="s">
        <v>20</v>
      </c>
      <c r="F5479" t="str">
        <f>"43614-4010"</f>
        <v>43614-4010</v>
      </c>
      <c r="G5479" t="str">
        <f>"716165"</f>
        <v>716165</v>
      </c>
      <c r="H5479" s="2">
        <f>10</f>
        <v>10</v>
      </c>
      <c r="I5479" t="s">
        <v>27</v>
      </c>
      <c r="J5479" t="s">
        <v>34</v>
      </c>
      <c r="K5479" t="str">
        <f>"125025"</f>
        <v>125025</v>
      </c>
    </row>
    <row r="5480" spans="1:11" x14ac:dyDescent="0.25">
      <c r="A5480">
        <v>2024</v>
      </c>
      <c r="B5480" t="s">
        <v>6211</v>
      </c>
      <c r="C5480" t="s">
        <v>4121</v>
      </c>
      <c r="D5480" t="s">
        <v>58</v>
      </c>
      <c r="E5480" t="s">
        <v>20</v>
      </c>
      <c r="F5480" t="str">
        <f>"43616-2337"</f>
        <v>43616-2337</v>
      </c>
      <c r="G5480" t="str">
        <f>"716165"</f>
        <v>716165</v>
      </c>
      <c r="H5480" s="2">
        <f>10</f>
        <v>10</v>
      </c>
      <c r="I5480" t="s">
        <v>27</v>
      </c>
      <c r="J5480" t="s">
        <v>34</v>
      </c>
      <c r="K5480" t="str">
        <f>"121959"</f>
        <v>121959</v>
      </c>
    </row>
    <row r="5481" spans="1:11" x14ac:dyDescent="0.25">
      <c r="A5481">
        <v>2024</v>
      </c>
      <c r="B5481" t="s">
        <v>6228</v>
      </c>
      <c r="C5481" t="s">
        <v>6229</v>
      </c>
      <c r="D5481" t="s">
        <v>1729</v>
      </c>
      <c r="E5481" t="s">
        <v>20</v>
      </c>
      <c r="F5481" t="str">
        <f>"45458"</f>
        <v>45458</v>
      </c>
      <c r="G5481" t="str">
        <f>"716166"</f>
        <v>716166</v>
      </c>
      <c r="H5481" s="2">
        <f>547.1</f>
        <v>547.1</v>
      </c>
      <c r="I5481" t="s">
        <v>27</v>
      </c>
      <c r="J5481" t="s">
        <v>262</v>
      </c>
      <c r="K5481" t="str">
        <f>"40991"</f>
        <v>40991</v>
      </c>
    </row>
    <row r="5482" spans="1:11" x14ac:dyDescent="0.25">
      <c r="A5482">
        <v>2024</v>
      </c>
      <c r="B5482" t="s">
        <v>6228</v>
      </c>
      <c r="C5482" t="s">
        <v>3123</v>
      </c>
      <c r="D5482" t="s">
        <v>1005</v>
      </c>
      <c r="E5482" t="s">
        <v>20</v>
      </c>
      <c r="F5482" t="str">
        <f>"44139"</f>
        <v>44139</v>
      </c>
      <c r="G5482" t="str">
        <f>"716166"</f>
        <v>716166</v>
      </c>
      <c r="H5482" s="2">
        <f>50.5</f>
        <v>50.5</v>
      </c>
      <c r="I5482" t="s">
        <v>27</v>
      </c>
      <c r="J5482" t="s">
        <v>262</v>
      </c>
      <c r="K5482" t="str">
        <f>"42313"</f>
        <v>42313</v>
      </c>
    </row>
    <row r="5483" spans="1:11" x14ac:dyDescent="0.25">
      <c r="A5483">
        <v>2024</v>
      </c>
      <c r="B5483" t="s">
        <v>6234</v>
      </c>
      <c r="C5483" t="s">
        <v>6235</v>
      </c>
      <c r="D5483" t="s">
        <v>125</v>
      </c>
      <c r="E5483" t="s">
        <v>20</v>
      </c>
      <c r="F5483" t="str">
        <f>"43537-9790"</f>
        <v>43537-9790</v>
      </c>
      <c r="G5483" t="str">
        <f t="shared" ref="G5483:G5489" si="193">"716165"</f>
        <v>716165</v>
      </c>
      <c r="H5483" s="2">
        <f>30</f>
        <v>30</v>
      </c>
      <c r="I5483" t="s">
        <v>27</v>
      </c>
      <c r="J5483" t="s">
        <v>34</v>
      </c>
      <c r="K5483" t="str">
        <f>"122089"</f>
        <v>122089</v>
      </c>
    </row>
    <row r="5484" spans="1:11" x14ac:dyDescent="0.25">
      <c r="A5484">
        <v>2024</v>
      </c>
      <c r="B5484" t="s">
        <v>6238</v>
      </c>
      <c r="C5484" t="s">
        <v>6239</v>
      </c>
      <c r="D5484" t="s">
        <v>19</v>
      </c>
      <c r="E5484" t="s">
        <v>20</v>
      </c>
      <c r="F5484" t="str">
        <f>"43615-3907"</f>
        <v>43615-3907</v>
      </c>
      <c r="G5484" t="str">
        <f t="shared" si="193"/>
        <v>716165</v>
      </c>
      <c r="H5484" s="2">
        <f>20</f>
        <v>20</v>
      </c>
      <c r="I5484" t="s">
        <v>27</v>
      </c>
      <c r="J5484" t="s">
        <v>34</v>
      </c>
      <c r="K5484" t="str">
        <f>"122793"</f>
        <v>122793</v>
      </c>
    </row>
    <row r="5485" spans="1:11" x14ac:dyDescent="0.25">
      <c r="A5485">
        <v>2024</v>
      </c>
      <c r="B5485" t="s">
        <v>6244</v>
      </c>
      <c r="C5485" t="s">
        <v>6245</v>
      </c>
      <c r="D5485" t="s">
        <v>19</v>
      </c>
      <c r="E5485" t="s">
        <v>20</v>
      </c>
      <c r="F5485" t="str">
        <f>"43611-1515"</f>
        <v>43611-1515</v>
      </c>
      <c r="G5485" t="str">
        <f t="shared" si="193"/>
        <v>716165</v>
      </c>
      <c r="H5485" s="2">
        <f>10</f>
        <v>10</v>
      </c>
      <c r="I5485" t="s">
        <v>27</v>
      </c>
      <c r="J5485" t="s">
        <v>34</v>
      </c>
      <c r="K5485" t="str">
        <f>"124997"</f>
        <v>124997</v>
      </c>
    </row>
    <row r="5486" spans="1:11" x14ac:dyDescent="0.25">
      <c r="A5486">
        <v>2024</v>
      </c>
      <c r="B5486" t="s">
        <v>6246</v>
      </c>
      <c r="C5486" t="s">
        <v>6247</v>
      </c>
      <c r="D5486" t="s">
        <v>19</v>
      </c>
      <c r="E5486" t="s">
        <v>20</v>
      </c>
      <c r="F5486" t="str">
        <f>"43614-2950"</f>
        <v>43614-2950</v>
      </c>
      <c r="G5486" t="str">
        <f t="shared" si="193"/>
        <v>716165</v>
      </c>
      <c r="H5486" s="2">
        <f>10</f>
        <v>10</v>
      </c>
      <c r="I5486" t="s">
        <v>27</v>
      </c>
      <c r="J5486" t="s">
        <v>34</v>
      </c>
      <c r="K5486" t="str">
        <f>"125155"</f>
        <v>125155</v>
      </c>
    </row>
    <row r="5487" spans="1:11" x14ac:dyDescent="0.25">
      <c r="A5487">
        <v>2024</v>
      </c>
      <c r="B5487" t="s">
        <v>6251</v>
      </c>
      <c r="C5487" t="s">
        <v>6252</v>
      </c>
      <c r="D5487" t="s">
        <v>45</v>
      </c>
      <c r="E5487" t="s">
        <v>20</v>
      </c>
      <c r="F5487" t="str">
        <f>"43542-9372"</f>
        <v>43542-9372</v>
      </c>
      <c r="G5487" t="str">
        <f t="shared" si="193"/>
        <v>716165</v>
      </c>
      <c r="H5487" s="2">
        <f>10</f>
        <v>10</v>
      </c>
      <c r="I5487" t="s">
        <v>27</v>
      </c>
      <c r="J5487" t="s">
        <v>34</v>
      </c>
      <c r="K5487" t="str">
        <f>"121974"</f>
        <v>121974</v>
      </c>
    </row>
    <row r="5488" spans="1:11" x14ac:dyDescent="0.25">
      <c r="A5488">
        <v>2024</v>
      </c>
      <c r="B5488" t="s">
        <v>6265</v>
      </c>
      <c r="C5488" t="s">
        <v>6266</v>
      </c>
      <c r="D5488" t="s">
        <v>19</v>
      </c>
      <c r="E5488" t="s">
        <v>20</v>
      </c>
      <c r="F5488" t="str">
        <f>"43605-3126"</f>
        <v>43605-3126</v>
      </c>
      <c r="G5488" t="str">
        <f t="shared" si="193"/>
        <v>716165</v>
      </c>
      <c r="H5488" s="2">
        <f>10</f>
        <v>10</v>
      </c>
      <c r="I5488" t="s">
        <v>27</v>
      </c>
      <c r="J5488" t="s">
        <v>34</v>
      </c>
      <c r="K5488" t="str">
        <f>"124951"</f>
        <v>124951</v>
      </c>
    </row>
    <row r="5489" spans="1:11" x14ac:dyDescent="0.25">
      <c r="A5489">
        <v>2024</v>
      </c>
      <c r="B5489" t="s">
        <v>6279</v>
      </c>
      <c r="C5489" t="s">
        <v>6280</v>
      </c>
      <c r="D5489" t="s">
        <v>19</v>
      </c>
      <c r="E5489" t="s">
        <v>20</v>
      </c>
      <c r="F5489" t="str">
        <f>"43613"</f>
        <v>43613</v>
      </c>
      <c r="G5489" t="str">
        <f t="shared" si="193"/>
        <v>716165</v>
      </c>
      <c r="H5489" s="2">
        <f>10</f>
        <v>10</v>
      </c>
      <c r="I5489" t="s">
        <v>27</v>
      </c>
      <c r="J5489" t="s">
        <v>34</v>
      </c>
      <c r="K5489" t="str">
        <f>"124260"</f>
        <v>124260</v>
      </c>
    </row>
    <row r="5490" spans="1:11" x14ac:dyDescent="0.25">
      <c r="A5490">
        <v>2024</v>
      </c>
      <c r="B5490" t="s">
        <v>6285</v>
      </c>
      <c r="C5490" t="s">
        <v>6286</v>
      </c>
      <c r="D5490" t="s">
        <v>58</v>
      </c>
      <c r="E5490" t="s">
        <v>20</v>
      </c>
      <c r="F5490" t="str">
        <f>"43616"</f>
        <v>43616</v>
      </c>
      <c r="G5490" t="str">
        <f>"Je03262024"</f>
        <v>Je03262024</v>
      </c>
      <c r="H5490" s="2">
        <f>445.19</f>
        <v>445.19</v>
      </c>
      <c r="I5490" t="s">
        <v>15</v>
      </c>
      <c r="J5490" t="s">
        <v>21</v>
      </c>
      <c r="K5490" t="str">
        <f>"60111403"</f>
        <v>60111403</v>
      </c>
    </row>
    <row r="5491" spans="1:11" x14ac:dyDescent="0.25">
      <c r="A5491">
        <v>2024</v>
      </c>
      <c r="B5491" t="s">
        <v>6301</v>
      </c>
      <c r="C5491" t="s">
        <v>6302</v>
      </c>
      <c r="D5491" t="s">
        <v>50</v>
      </c>
      <c r="E5491" t="s">
        <v>20</v>
      </c>
      <c r="F5491" t="str">
        <f>"43560-9779"</f>
        <v>43560-9779</v>
      </c>
      <c r="G5491" t="str">
        <f t="shared" ref="G5491:G5517" si="194">"716165"</f>
        <v>716165</v>
      </c>
      <c r="H5491" s="2">
        <f>20</f>
        <v>20</v>
      </c>
      <c r="I5491" t="s">
        <v>27</v>
      </c>
      <c r="J5491" t="s">
        <v>34</v>
      </c>
      <c r="K5491" t="str">
        <f>"124334"</f>
        <v>124334</v>
      </c>
    </row>
    <row r="5492" spans="1:11" x14ac:dyDescent="0.25">
      <c r="A5492">
        <v>2024</v>
      </c>
      <c r="B5492" t="s">
        <v>6307</v>
      </c>
      <c r="C5492" t="s">
        <v>6308</v>
      </c>
      <c r="D5492" t="s">
        <v>19</v>
      </c>
      <c r="E5492" t="s">
        <v>20</v>
      </c>
      <c r="F5492" t="str">
        <f>"43606-2472"</f>
        <v>43606-2472</v>
      </c>
      <c r="G5492" t="str">
        <f t="shared" si="194"/>
        <v>716165</v>
      </c>
      <c r="H5492" s="2">
        <f>10</f>
        <v>10</v>
      </c>
      <c r="I5492" t="s">
        <v>27</v>
      </c>
      <c r="J5492" t="s">
        <v>34</v>
      </c>
      <c r="K5492" t="str">
        <f>"124949"</f>
        <v>124949</v>
      </c>
    </row>
    <row r="5493" spans="1:11" x14ac:dyDescent="0.25">
      <c r="A5493">
        <v>2024</v>
      </c>
      <c r="B5493" t="s">
        <v>6314</v>
      </c>
      <c r="C5493" t="s">
        <v>6315</v>
      </c>
      <c r="D5493" t="s">
        <v>19</v>
      </c>
      <c r="E5493" t="s">
        <v>20</v>
      </c>
      <c r="F5493" t="str">
        <f>"43623-2248"</f>
        <v>43623-2248</v>
      </c>
      <c r="G5493" t="str">
        <f t="shared" si="194"/>
        <v>716165</v>
      </c>
      <c r="H5493" s="2">
        <f>20</f>
        <v>20</v>
      </c>
      <c r="I5493" t="s">
        <v>27</v>
      </c>
      <c r="J5493" t="s">
        <v>34</v>
      </c>
      <c r="K5493" t="str">
        <f>"121873"</f>
        <v>121873</v>
      </c>
    </row>
    <row r="5494" spans="1:11" x14ac:dyDescent="0.25">
      <c r="A5494">
        <v>2024</v>
      </c>
      <c r="B5494" t="s">
        <v>6320</v>
      </c>
      <c r="C5494" t="s">
        <v>6321</v>
      </c>
      <c r="D5494" t="s">
        <v>19</v>
      </c>
      <c r="E5494" t="s">
        <v>20</v>
      </c>
      <c r="F5494" t="str">
        <f>"43623-1925"</f>
        <v>43623-1925</v>
      </c>
      <c r="G5494" t="str">
        <f t="shared" si="194"/>
        <v>716165</v>
      </c>
      <c r="H5494" s="2">
        <f>10</f>
        <v>10</v>
      </c>
      <c r="I5494" t="s">
        <v>27</v>
      </c>
      <c r="J5494" t="s">
        <v>34</v>
      </c>
      <c r="K5494" t="str">
        <f>"124204"</f>
        <v>124204</v>
      </c>
    </row>
    <row r="5495" spans="1:11" x14ac:dyDescent="0.25">
      <c r="A5495">
        <v>2024</v>
      </c>
      <c r="B5495" t="s">
        <v>6324</v>
      </c>
      <c r="C5495" t="s">
        <v>6325</v>
      </c>
      <c r="D5495" t="s">
        <v>125</v>
      </c>
      <c r="E5495" t="s">
        <v>20</v>
      </c>
      <c r="F5495" t="str">
        <f>"43537-2712"</f>
        <v>43537-2712</v>
      </c>
      <c r="G5495" t="str">
        <f t="shared" si="194"/>
        <v>716165</v>
      </c>
      <c r="H5495" s="2">
        <f>10</f>
        <v>10</v>
      </c>
      <c r="I5495" t="s">
        <v>27</v>
      </c>
      <c r="J5495" t="s">
        <v>34</v>
      </c>
      <c r="K5495" t="str">
        <f>"124999"</f>
        <v>124999</v>
      </c>
    </row>
    <row r="5496" spans="1:11" x14ac:dyDescent="0.25">
      <c r="A5496">
        <v>2024</v>
      </c>
      <c r="B5496" t="s">
        <v>6334</v>
      </c>
      <c r="C5496" t="s">
        <v>6335</v>
      </c>
      <c r="D5496" t="s">
        <v>19</v>
      </c>
      <c r="E5496" t="s">
        <v>20</v>
      </c>
      <c r="F5496" t="str">
        <f>"43614-4315"</f>
        <v>43614-4315</v>
      </c>
      <c r="G5496" t="str">
        <f t="shared" si="194"/>
        <v>716165</v>
      </c>
      <c r="H5496" s="2">
        <f>10</f>
        <v>10</v>
      </c>
      <c r="I5496" t="s">
        <v>27</v>
      </c>
      <c r="J5496" t="s">
        <v>34</v>
      </c>
      <c r="K5496" t="str">
        <f>"122180"</f>
        <v>122180</v>
      </c>
    </row>
    <row r="5497" spans="1:11" x14ac:dyDescent="0.25">
      <c r="A5497">
        <v>2024</v>
      </c>
      <c r="B5497" t="s">
        <v>6336</v>
      </c>
      <c r="C5497" t="s">
        <v>6337</v>
      </c>
      <c r="D5497" t="s">
        <v>19</v>
      </c>
      <c r="E5497" t="s">
        <v>20</v>
      </c>
      <c r="F5497" t="str">
        <f>"43615-1665"</f>
        <v>43615-1665</v>
      </c>
      <c r="G5497" t="str">
        <f t="shared" si="194"/>
        <v>716165</v>
      </c>
      <c r="H5497" s="2">
        <f>10</f>
        <v>10</v>
      </c>
      <c r="I5497" t="s">
        <v>27</v>
      </c>
      <c r="J5497" t="s">
        <v>34</v>
      </c>
      <c r="K5497" t="str">
        <f>"121809"</f>
        <v>121809</v>
      </c>
    </row>
    <row r="5498" spans="1:11" x14ac:dyDescent="0.25">
      <c r="A5498">
        <v>2024</v>
      </c>
      <c r="B5498" t="s">
        <v>6346</v>
      </c>
      <c r="C5498" t="s">
        <v>6347</v>
      </c>
      <c r="D5498" t="s">
        <v>19</v>
      </c>
      <c r="E5498" t="s">
        <v>20</v>
      </c>
      <c r="F5498" t="str">
        <f>"43623-4014"</f>
        <v>43623-4014</v>
      </c>
      <c r="G5498" t="str">
        <f t="shared" si="194"/>
        <v>716165</v>
      </c>
      <c r="H5498" s="2">
        <f>20</f>
        <v>20</v>
      </c>
      <c r="I5498" t="s">
        <v>27</v>
      </c>
      <c r="J5498" t="s">
        <v>34</v>
      </c>
      <c r="K5498" t="str">
        <f>"124795"</f>
        <v>124795</v>
      </c>
    </row>
    <row r="5499" spans="1:11" x14ac:dyDescent="0.25">
      <c r="A5499">
        <v>2024</v>
      </c>
      <c r="B5499" t="s">
        <v>6384</v>
      </c>
      <c r="C5499" t="s">
        <v>6385</v>
      </c>
      <c r="D5499" t="s">
        <v>19</v>
      </c>
      <c r="E5499" t="s">
        <v>20</v>
      </c>
      <c r="F5499" t="str">
        <f>"43613"</f>
        <v>43613</v>
      </c>
      <c r="G5499" t="str">
        <f t="shared" si="194"/>
        <v>716165</v>
      </c>
      <c r="H5499" s="2">
        <f>10</f>
        <v>10</v>
      </c>
      <c r="I5499" t="s">
        <v>27</v>
      </c>
      <c r="J5499" t="s">
        <v>34</v>
      </c>
      <c r="K5499" t="str">
        <f>"121719"</f>
        <v>121719</v>
      </c>
    </row>
    <row r="5500" spans="1:11" x14ac:dyDescent="0.25">
      <c r="A5500">
        <v>2024</v>
      </c>
      <c r="B5500" t="s">
        <v>6388</v>
      </c>
      <c r="C5500" t="s">
        <v>6389</v>
      </c>
      <c r="D5500" t="s">
        <v>19</v>
      </c>
      <c r="E5500" t="s">
        <v>20</v>
      </c>
      <c r="F5500" t="str">
        <f>"43614-2005"</f>
        <v>43614-2005</v>
      </c>
      <c r="G5500" t="str">
        <f t="shared" si="194"/>
        <v>716165</v>
      </c>
      <c r="H5500" s="2">
        <f>30</f>
        <v>30</v>
      </c>
      <c r="I5500" t="s">
        <v>27</v>
      </c>
      <c r="J5500" t="s">
        <v>34</v>
      </c>
      <c r="K5500" t="str">
        <f>"124214"</f>
        <v>124214</v>
      </c>
    </row>
    <row r="5501" spans="1:11" x14ac:dyDescent="0.25">
      <c r="A5501">
        <v>2024</v>
      </c>
      <c r="B5501" t="s">
        <v>6461</v>
      </c>
      <c r="C5501" t="s">
        <v>6462</v>
      </c>
      <c r="D5501" t="s">
        <v>125</v>
      </c>
      <c r="E5501" t="s">
        <v>20</v>
      </c>
      <c r="F5501" t="str">
        <f>"43537-9426"</f>
        <v>43537-9426</v>
      </c>
      <c r="G5501" t="str">
        <f t="shared" si="194"/>
        <v>716165</v>
      </c>
      <c r="H5501" s="2">
        <f>10</f>
        <v>10</v>
      </c>
      <c r="I5501" t="s">
        <v>27</v>
      </c>
      <c r="J5501" t="s">
        <v>34</v>
      </c>
      <c r="K5501" t="str">
        <f>"123406"</f>
        <v>123406</v>
      </c>
    </row>
    <row r="5502" spans="1:11" x14ac:dyDescent="0.25">
      <c r="A5502">
        <v>2024</v>
      </c>
      <c r="B5502" t="s">
        <v>6485</v>
      </c>
      <c r="C5502" t="s">
        <v>6486</v>
      </c>
      <c r="D5502" t="s">
        <v>19</v>
      </c>
      <c r="E5502" t="s">
        <v>20</v>
      </c>
      <c r="F5502" t="str">
        <f>"43610-1604"</f>
        <v>43610-1604</v>
      </c>
      <c r="G5502" t="str">
        <f t="shared" si="194"/>
        <v>716165</v>
      </c>
      <c r="H5502" s="2">
        <f>10</f>
        <v>10</v>
      </c>
      <c r="I5502" t="s">
        <v>27</v>
      </c>
      <c r="J5502" t="s">
        <v>34</v>
      </c>
      <c r="K5502" t="str">
        <f>"123120"</f>
        <v>123120</v>
      </c>
    </row>
    <row r="5503" spans="1:11" x14ac:dyDescent="0.25">
      <c r="A5503">
        <v>2024</v>
      </c>
      <c r="B5503" t="s">
        <v>6489</v>
      </c>
      <c r="C5503" t="s">
        <v>6490</v>
      </c>
      <c r="D5503" t="s">
        <v>125</v>
      </c>
      <c r="E5503" t="s">
        <v>20</v>
      </c>
      <c r="F5503" t="str">
        <f>"43537-3723"</f>
        <v>43537-3723</v>
      </c>
      <c r="G5503" t="str">
        <f t="shared" si="194"/>
        <v>716165</v>
      </c>
      <c r="H5503" s="2">
        <f>10</f>
        <v>10</v>
      </c>
      <c r="I5503" t="s">
        <v>27</v>
      </c>
      <c r="J5503" t="s">
        <v>34</v>
      </c>
      <c r="K5503" t="str">
        <f>"124140"</f>
        <v>124140</v>
      </c>
    </row>
    <row r="5504" spans="1:11" x14ac:dyDescent="0.25">
      <c r="A5504">
        <v>2024</v>
      </c>
      <c r="B5504" t="s">
        <v>6494</v>
      </c>
      <c r="C5504" t="s">
        <v>6495</v>
      </c>
      <c r="D5504" t="s">
        <v>19</v>
      </c>
      <c r="E5504" t="s">
        <v>20</v>
      </c>
      <c r="F5504" t="str">
        <f>"43611-2021"</f>
        <v>43611-2021</v>
      </c>
      <c r="G5504" t="str">
        <f t="shared" si="194"/>
        <v>716165</v>
      </c>
      <c r="H5504" s="2">
        <f>80</f>
        <v>80</v>
      </c>
      <c r="I5504" t="s">
        <v>27</v>
      </c>
      <c r="J5504" t="s">
        <v>34</v>
      </c>
      <c r="K5504" t="str">
        <f>"122384"</f>
        <v>122384</v>
      </c>
    </row>
    <row r="5505" spans="1:11" x14ac:dyDescent="0.25">
      <c r="A5505">
        <v>2024</v>
      </c>
      <c r="B5505" t="s">
        <v>6511</v>
      </c>
      <c r="C5505" t="s">
        <v>6512</v>
      </c>
      <c r="D5505" t="s">
        <v>19</v>
      </c>
      <c r="E5505" t="s">
        <v>20</v>
      </c>
      <c r="F5505" t="str">
        <f>"43623-2634"</f>
        <v>43623-2634</v>
      </c>
      <c r="G5505" t="str">
        <f t="shared" si="194"/>
        <v>716165</v>
      </c>
      <c r="H5505" s="2">
        <f>60</f>
        <v>60</v>
      </c>
      <c r="I5505" t="s">
        <v>27</v>
      </c>
      <c r="J5505" t="s">
        <v>34</v>
      </c>
      <c r="K5505" t="str">
        <f>"122671"</f>
        <v>122671</v>
      </c>
    </row>
    <row r="5506" spans="1:11" x14ac:dyDescent="0.25">
      <c r="A5506">
        <v>2024</v>
      </c>
      <c r="B5506" t="s">
        <v>6513</v>
      </c>
      <c r="C5506" t="s">
        <v>6514</v>
      </c>
      <c r="D5506" t="s">
        <v>19</v>
      </c>
      <c r="E5506" t="s">
        <v>20</v>
      </c>
      <c r="F5506" t="str">
        <f>"43608-1250"</f>
        <v>43608-1250</v>
      </c>
      <c r="G5506" t="str">
        <f t="shared" si="194"/>
        <v>716165</v>
      </c>
      <c r="H5506" s="2">
        <f>10</f>
        <v>10</v>
      </c>
      <c r="I5506" t="s">
        <v>27</v>
      </c>
      <c r="J5506" t="s">
        <v>34</v>
      </c>
      <c r="K5506" t="str">
        <f>"123970"</f>
        <v>123970</v>
      </c>
    </row>
    <row r="5507" spans="1:11" x14ac:dyDescent="0.25">
      <c r="A5507">
        <v>2024</v>
      </c>
      <c r="B5507" t="s">
        <v>6529</v>
      </c>
      <c r="C5507" t="s">
        <v>6530</v>
      </c>
      <c r="D5507" t="s">
        <v>19</v>
      </c>
      <c r="E5507" t="s">
        <v>20</v>
      </c>
      <c r="F5507" t="str">
        <f>"43606-2878"</f>
        <v>43606-2878</v>
      </c>
      <c r="G5507" t="str">
        <f t="shared" si="194"/>
        <v>716165</v>
      </c>
      <c r="H5507" s="2">
        <f>10</f>
        <v>10</v>
      </c>
      <c r="I5507" t="s">
        <v>27</v>
      </c>
      <c r="J5507" t="s">
        <v>34</v>
      </c>
      <c r="K5507" t="str">
        <f>"123463"</f>
        <v>123463</v>
      </c>
    </row>
    <row r="5508" spans="1:11" x14ac:dyDescent="0.25">
      <c r="A5508">
        <v>2024</v>
      </c>
      <c r="B5508" t="s">
        <v>6551</v>
      </c>
      <c r="C5508" t="s">
        <v>6552</v>
      </c>
      <c r="D5508" t="s">
        <v>19</v>
      </c>
      <c r="E5508" t="s">
        <v>20</v>
      </c>
      <c r="F5508" t="str">
        <f>"43614-5660"</f>
        <v>43614-5660</v>
      </c>
      <c r="G5508" t="str">
        <f t="shared" si="194"/>
        <v>716165</v>
      </c>
      <c r="H5508" s="2">
        <f>10</f>
        <v>10</v>
      </c>
      <c r="I5508" t="s">
        <v>27</v>
      </c>
      <c r="J5508" t="s">
        <v>34</v>
      </c>
      <c r="K5508" t="str">
        <f>"121259"</f>
        <v>121259</v>
      </c>
    </row>
    <row r="5509" spans="1:11" x14ac:dyDescent="0.25">
      <c r="A5509">
        <v>2024</v>
      </c>
      <c r="B5509" t="s">
        <v>6553</v>
      </c>
      <c r="C5509" t="s">
        <v>6554</v>
      </c>
      <c r="D5509" t="s">
        <v>19</v>
      </c>
      <c r="E5509" t="s">
        <v>20</v>
      </c>
      <c r="F5509" t="str">
        <f>"43613"</f>
        <v>43613</v>
      </c>
      <c r="G5509" t="str">
        <f t="shared" si="194"/>
        <v>716165</v>
      </c>
      <c r="H5509" s="2">
        <f>20</f>
        <v>20</v>
      </c>
      <c r="I5509" t="s">
        <v>27</v>
      </c>
      <c r="J5509" t="s">
        <v>34</v>
      </c>
      <c r="K5509" t="str">
        <f>"123999"</f>
        <v>123999</v>
      </c>
    </row>
    <row r="5510" spans="1:11" x14ac:dyDescent="0.25">
      <c r="A5510">
        <v>2024</v>
      </c>
      <c r="B5510" t="s">
        <v>6559</v>
      </c>
      <c r="C5510" t="s">
        <v>6560</v>
      </c>
      <c r="D5510" t="s">
        <v>125</v>
      </c>
      <c r="E5510" t="s">
        <v>20</v>
      </c>
      <c r="F5510" t="str">
        <f>"43537-2403"</f>
        <v>43537-2403</v>
      </c>
      <c r="G5510" t="str">
        <f t="shared" si="194"/>
        <v>716165</v>
      </c>
      <c r="H5510" s="2">
        <f>10</f>
        <v>10</v>
      </c>
      <c r="I5510" t="s">
        <v>27</v>
      </c>
      <c r="J5510" t="s">
        <v>34</v>
      </c>
      <c r="K5510" t="str">
        <f>"123067"</f>
        <v>123067</v>
      </c>
    </row>
    <row r="5511" spans="1:11" x14ac:dyDescent="0.25">
      <c r="A5511">
        <v>2024</v>
      </c>
      <c r="B5511" t="s">
        <v>6567</v>
      </c>
      <c r="C5511" t="s">
        <v>6568</v>
      </c>
      <c r="D5511" t="s">
        <v>19</v>
      </c>
      <c r="E5511" t="s">
        <v>20</v>
      </c>
      <c r="F5511" t="str">
        <f>"43610-1319"</f>
        <v>43610-1319</v>
      </c>
      <c r="G5511" t="str">
        <f t="shared" si="194"/>
        <v>716165</v>
      </c>
      <c r="H5511" s="2">
        <f>10</f>
        <v>10</v>
      </c>
      <c r="I5511" t="s">
        <v>27</v>
      </c>
      <c r="J5511" t="s">
        <v>34</v>
      </c>
      <c r="K5511" t="str">
        <f>"123269"</f>
        <v>123269</v>
      </c>
    </row>
    <row r="5512" spans="1:11" x14ac:dyDescent="0.25">
      <c r="A5512">
        <v>2024</v>
      </c>
      <c r="B5512" t="s">
        <v>6569</v>
      </c>
      <c r="C5512" t="s">
        <v>6570</v>
      </c>
      <c r="D5512" t="s">
        <v>105</v>
      </c>
      <c r="E5512" t="s">
        <v>20</v>
      </c>
      <c r="F5512" t="str">
        <f>"43528-8119"</f>
        <v>43528-8119</v>
      </c>
      <c r="G5512" t="str">
        <f t="shared" si="194"/>
        <v>716165</v>
      </c>
      <c r="H5512" s="2">
        <f>20</f>
        <v>20</v>
      </c>
      <c r="I5512" t="s">
        <v>27</v>
      </c>
      <c r="J5512" t="s">
        <v>34</v>
      </c>
      <c r="K5512" t="str">
        <f>"123141"</f>
        <v>123141</v>
      </c>
    </row>
    <row r="5513" spans="1:11" x14ac:dyDescent="0.25">
      <c r="A5513">
        <v>2024</v>
      </c>
      <c r="B5513" t="s">
        <v>6581</v>
      </c>
      <c r="C5513" t="s">
        <v>6582</v>
      </c>
      <c r="D5513" t="s">
        <v>58</v>
      </c>
      <c r="E5513" t="s">
        <v>20</v>
      </c>
      <c r="F5513" t="str">
        <f>"43616-3817"</f>
        <v>43616-3817</v>
      </c>
      <c r="G5513" t="str">
        <f t="shared" si="194"/>
        <v>716165</v>
      </c>
      <c r="H5513" s="2">
        <f>10</f>
        <v>10</v>
      </c>
      <c r="I5513" t="s">
        <v>27</v>
      </c>
      <c r="J5513" t="s">
        <v>34</v>
      </c>
      <c r="K5513" t="str">
        <f>"125091"</f>
        <v>125091</v>
      </c>
    </row>
    <row r="5514" spans="1:11" x14ac:dyDescent="0.25">
      <c r="A5514">
        <v>2024</v>
      </c>
      <c r="B5514" t="s">
        <v>6583</v>
      </c>
      <c r="C5514" t="s">
        <v>6584</v>
      </c>
      <c r="D5514" t="s">
        <v>19</v>
      </c>
      <c r="E5514" t="s">
        <v>20</v>
      </c>
      <c r="F5514" t="str">
        <f>"43613-3718"</f>
        <v>43613-3718</v>
      </c>
      <c r="G5514" t="str">
        <f t="shared" si="194"/>
        <v>716165</v>
      </c>
      <c r="H5514" s="2">
        <f>10</f>
        <v>10</v>
      </c>
      <c r="I5514" t="s">
        <v>27</v>
      </c>
      <c r="J5514" t="s">
        <v>34</v>
      </c>
      <c r="K5514" t="str">
        <f>"124673"</f>
        <v>124673</v>
      </c>
    </row>
    <row r="5515" spans="1:11" x14ac:dyDescent="0.25">
      <c r="A5515">
        <v>2024</v>
      </c>
      <c r="B5515" t="s">
        <v>6587</v>
      </c>
      <c r="C5515" t="s">
        <v>6588</v>
      </c>
      <c r="D5515" t="s">
        <v>19</v>
      </c>
      <c r="E5515" t="s">
        <v>20</v>
      </c>
      <c r="F5515" t="str">
        <f>"43613-5207"</f>
        <v>43613-5207</v>
      </c>
      <c r="G5515" t="str">
        <f t="shared" si="194"/>
        <v>716165</v>
      </c>
      <c r="H5515" s="2">
        <f>20</f>
        <v>20</v>
      </c>
      <c r="I5515" t="s">
        <v>27</v>
      </c>
      <c r="J5515" t="s">
        <v>34</v>
      </c>
      <c r="K5515" t="str">
        <f>"124464"</f>
        <v>124464</v>
      </c>
    </row>
    <row r="5516" spans="1:11" x14ac:dyDescent="0.25">
      <c r="A5516">
        <v>2024</v>
      </c>
      <c r="B5516" t="s">
        <v>6589</v>
      </c>
      <c r="C5516" t="s">
        <v>6590</v>
      </c>
      <c r="D5516" t="s">
        <v>19</v>
      </c>
      <c r="E5516" t="s">
        <v>20</v>
      </c>
      <c r="F5516" t="str">
        <f>"43613"</f>
        <v>43613</v>
      </c>
      <c r="G5516" t="str">
        <f t="shared" si="194"/>
        <v>716165</v>
      </c>
      <c r="H5516" s="2">
        <f>10</f>
        <v>10</v>
      </c>
      <c r="I5516" t="s">
        <v>27</v>
      </c>
      <c r="J5516" t="s">
        <v>34</v>
      </c>
      <c r="K5516" t="str">
        <f>"121367"</f>
        <v>121367</v>
      </c>
    </row>
    <row r="5517" spans="1:11" x14ac:dyDescent="0.25">
      <c r="A5517">
        <v>2024</v>
      </c>
      <c r="B5517" t="s">
        <v>6611</v>
      </c>
      <c r="C5517" t="s">
        <v>6612</v>
      </c>
      <c r="D5517" t="s">
        <v>19</v>
      </c>
      <c r="E5517" t="s">
        <v>20</v>
      </c>
      <c r="F5517" t="str">
        <f>"43606-4838"</f>
        <v>43606-4838</v>
      </c>
      <c r="G5517" t="str">
        <f t="shared" si="194"/>
        <v>716165</v>
      </c>
      <c r="H5517" s="2">
        <f>20</f>
        <v>20</v>
      </c>
      <c r="I5517" t="s">
        <v>27</v>
      </c>
      <c r="J5517" t="s">
        <v>34</v>
      </c>
      <c r="K5517" t="str">
        <f>"121684"</f>
        <v>121684</v>
      </c>
    </row>
    <row r="5518" spans="1:11" x14ac:dyDescent="0.25">
      <c r="A5518">
        <v>2024</v>
      </c>
      <c r="B5518" t="s">
        <v>6619</v>
      </c>
      <c r="C5518" t="s">
        <v>6620</v>
      </c>
      <c r="D5518" t="s">
        <v>422</v>
      </c>
      <c r="E5518" t="s">
        <v>20</v>
      </c>
      <c r="F5518" t="str">
        <f>"44113"</f>
        <v>44113</v>
      </c>
      <c r="G5518" t="str">
        <f>"716166"</f>
        <v>716166</v>
      </c>
      <c r="H5518" s="2">
        <f>3.3</f>
        <v>3.3</v>
      </c>
      <c r="I5518" t="s">
        <v>27</v>
      </c>
      <c r="J5518" t="s">
        <v>262</v>
      </c>
      <c r="K5518" t="str">
        <f>"41979"</f>
        <v>41979</v>
      </c>
    </row>
    <row r="5519" spans="1:11" x14ac:dyDescent="0.25">
      <c r="A5519">
        <v>2024</v>
      </c>
      <c r="B5519" t="s">
        <v>6619</v>
      </c>
      <c r="C5519" t="s">
        <v>6621</v>
      </c>
      <c r="D5519" t="s">
        <v>422</v>
      </c>
      <c r="E5519" t="s">
        <v>20</v>
      </c>
      <c r="F5519" t="str">
        <f>"44113"</f>
        <v>44113</v>
      </c>
      <c r="G5519" t="str">
        <f>"716166"</f>
        <v>716166</v>
      </c>
      <c r="H5519" s="2">
        <f>5</f>
        <v>5</v>
      </c>
      <c r="I5519" t="s">
        <v>27</v>
      </c>
      <c r="J5519" t="s">
        <v>262</v>
      </c>
      <c r="K5519" t="str">
        <f>"41965"</f>
        <v>41965</v>
      </c>
    </row>
    <row r="5520" spans="1:11" x14ac:dyDescent="0.25">
      <c r="A5520">
        <v>2024</v>
      </c>
      <c r="B5520" t="s">
        <v>6622</v>
      </c>
      <c r="C5520" t="s">
        <v>6623</v>
      </c>
      <c r="D5520" t="s">
        <v>19</v>
      </c>
      <c r="E5520" t="s">
        <v>20</v>
      </c>
      <c r="F5520" t="str">
        <f>"43607-3210"</f>
        <v>43607-3210</v>
      </c>
      <c r="G5520" t="str">
        <f>"716165"</f>
        <v>716165</v>
      </c>
      <c r="H5520" s="2">
        <f>10</f>
        <v>10</v>
      </c>
      <c r="I5520" t="s">
        <v>27</v>
      </c>
      <c r="J5520" t="s">
        <v>34</v>
      </c>
      <c r="K5520" t="str">
        <f>"123991"</f>
        <v>123991</v>
      </c>
    </row>
    <row r="5521" spans="1:11" x14ac:dyDescent="0.25">
      <c r="A5521">
        <v>2024</v>
      </c>
      <c r="B5521" t="s">
        <v>6646</v>
      </c>
      <c r="C5521" t="s">
        <v>6647</v>
      </c>
      <c r="D5521" t="s">
        <v>19</v>
      </c>
      <c r="E5521" t="s">
        <v>20</v>
      </c>
      <c r="F5521" t="str">
        <f>"43604-8770"</f>
        <v>43604-8770</v>
      </c>
      <c r="G5521" t="str">
        <f>"716165"</f>
        <v>716165</v>
      </c>
      <c r="H5521" s="2">
        <f>10</f>
        <v>10</v>
      </c>
      <c r="I5521" t="s">
        <v>27</v>
      </c>
      <c r="J5521" t="s">
        <v>34</v>
      </c>
      <c r="K5521" t="str">
        <f>"123188"</f>
        <v>123188</v>
      </c>
    </row>
    <row r="5522" spans="1:11" x14ac:dyDescent="0.25">
      <c r="A5522">
        <v>2024</v>
      </c>
      <c r="B5522" t="s">
        <v>6654</v>
      </c>
      <c r="C5522" t="s">
        <v>6655</v>
      </c>
      <c r="D5522" t="s">
        <v>19</v>
      </c>
      <c r="E5522" t="s">
        <v>20</v>
      </c>
      <c r="F5522" t="str">
        <f>"43615-1970"</f>
        <v>43615-1970</v>
      </c>
      <c r="G5522" t="str">
        <f>"716165"</f>
        <v>716165</v>
      </c>
      <c r="H5522" s="2">
        <f>10</f>
        <v>10</v>
      </c>
      <c r="I5522" t="s">
        <v>27</v>
      </c>
      <c r="J5522" t="s">
        <v>34</v>
      </c>
      <c r="K5522" t="str">
        <f>"125003"</f>
        <v>125003</v>
      </c>
    </row>
    <row r="5523" spans="1:11" x14ac:dyDescent="0.25">
      <c r="A5523">
        <v>2024</v>
      </c>
      <c r="B5523" t="s">
        <v>6656</v>
      </c>
      <c r="C5523" t="s">
        <v>6243</v>
      </c>
      <c r="D5523" t="s">
        <v>19</v>
      </c>
      <c r="E5523" t="s">
        <v>20</v>
      </c>
      <c r="F5523" t="str">
        <f>"43611-1152"</f>
        <v>43611-1152</v>
      </c>
      <c r="G5523" t="str">
        <f>"716165"</f>
        <v>716165</v>
      </c>
      <c r="H5523" s="2">
        <f>20</f>
        <v>20</v>
      </c>
      <c r="I5523" t="s">
        <v>27</v>
      </c>
      <c r="J5523" t="s">
        <v>34</v>
      </c>
      <c r="K5523" t="str">
        <f>"121116"</f>
        <v>121116</v>
      </c>
    </row>
    <row r="5524" spans="1:11" x14ac:dyDescent="0.25">
      <c r="A5524">
        <v>2024</v>
      </c>
      <c r="B5524" t="s">
        <v>6659</v>
      </c>
      <c r="C5524" t="s">
        <v>6660</v>
      </c>
      <c r="D5524" t="s">
        <v>19</v>
      </c>
      <c r="E5524" t="s">
        <v>20</v>
      </c>
      <c r="F5524" t="str">
        <f>"43607"</f>
        <v>43607</v>
      </c>
      <c r="G5524" t="str">
        <f>"716619"</f>
        <v>716619</v>
      </c>
      <c r="H5524" s="2">
        <f>10</f>
        <v>10</v>
      </c>
      <c r="I5524" t="s">
        <v>27</v>
      </c>
      <c r="J5524" t="s">
        <v>34</v>
      </c>
      <c r="K5524" t="str">
        <f>"11004526"</f>
        <v>11004526</v>
      </c>
    </row>
    <row r="5525" spans="1:11" x14ac:dyDescent="0.25">
      <c r="A5525">
        <v>2024</v>
      </c>
      <c r="B5525" t="s">
        <v>6668</v>
      </c>
      <c r="C5525" t="s">
        <v>6669</v>
      </c>
      <c r="D5525" t="s">
        <v>19</v>
      </c>
      <c r="E5525" t="s">
        <v>20</v>
      </c>
      <c r="F5525" t="str">
        <f>"43615"</f>
        <v>43615</v>
      </c>
      <c r="G5525" t="str">
        <f>"701123"</f>
        <v>701123</v>
      </c>
      <c r="H5525" s="2">
        <f>5</f>
        <v>5</v>
      </c>
      <c r="I5525" t="s">
        <v>148</v>
      </c>
      <c r="J5525" t="s">
        <v>6670</v>
      </c>
      <c r="K5525" t="str">
        <f>"26769"</f>
        <v>26769</v>
      </c>
    </row>
    <row r="5526" spans="1:11" x14ac:dyDescent="0.25">
      <c r="A5526">
        <v>2024</v>
      </c>
      <c r="B5526" t="s">
        <v>6677</v>
      </c>
      <c r="C5526" t="s">
        <v>6678</v>
      </c>
      <c r="D5526" t="s">
        <v>19</v>
      </c>
      <c r="E5526" t="s">
        <v>20</v>
      </c>
      <c r="F5526" t="str">
        <f>"43606-4466"</f>
        <v>43606-4466</v>
      </c>
      <c r="G5526" t="str">
        <f t="shared" ref="G5526:G5531" si="195">"716165"</f>
        <v>716165</v>
      </c>
      <c r="H5526" s="2">
        <f>10</f>
        <v>10</v>
      </c>
      <c r="I5526" t="s">
        <v>27</v>
      </c>
      <c r="J5526" t="s">
        <v>34</v>
      </c>
      <c r="K5526" t="str">
        <f>"122760"</f>
        <v>122760</v>
      </c>
    </row>
    <row r="5527" spans="1:11" x14ac:dyDescent="0.25">
      <c r="A5527">
        <v>2024</v>
      </c>
      <c r="B5527" t="s">
        <v>6689</v>
      </c>
      <c r="C5527" t="s">
        <v>6690</v>
      </c>
      <c r="D5527" t="s">
        <v>19</v>
      </c>
      <c r="E5527" t="s">
        <v>20</v>
      </c>
      <c r="F5527" t="str">
        <f>"43623-3858"</f>
        <v>43623-3858</v>
      </c>
      <c r="G5527" t="str">
        <f t="shared" si="195"/>
        <v>716165</v>
      </c>
      <c r="H5527" s="2">
        <f>100</f>
        <v>100</v>
      </c>
      <c r="I5527" t="s">
        <v>27</v>
      </c>
      <c r="J5527" t="s">
        <v>34</v>
      </c>
      <c r="K5527" t="str">
        <f>"122198"</f>
        <v>122198</v>
      </c>
    </row>
    <row r="5528" spans="1:11" x14ac:dyDescent="0.25">
      <c r="A5528">
        <v>2024</v>
      </c>
      <c r="B5528" t="s">
        <v>6698</v>
      </c>
      <c r="C5528" t="s">
        <v>6699</v>
      </c>
      <c r="D5528" t="s">
        <v>125</v>
      </c>
      <c r="E5528" t="s">
        <v>20</v>
      </c>
      <c r="F5528" t="str">
        <f>"43537-8618"</f>
        <v>43537-8618</v>
      </c>
      <c r="G5528" t="str">
        <f t="shared" si="195"/>
        <v>716165</v>
      </c>
      <c r="H5528" s="2">
        <f>20</f>
        <v>20</v>
      </c>
      <c r="I5528" t="s">
        <v>27</v>
      </c>
      <c r="J5528" t="s">
        <v>34</v>
      </c>
      <c r="K5528" t="str">
        <f>"123394"</f>
        <v>123394</v>
      </c>
    </row>
    <row r="5529" spans="1:11" x14ac:dyDescent="0.25">
      <c r="A5529">
        <v>2024</v>
      </c>
      <c r="B5529" t="s">
        <v>6718</v>
      </c>
      <c r="C5529" t="s">
        <v>6719</v>
      </c>
      <c r="D5529" t="s">
        <v>19</v>
      </c>
      <c r="E5529" t="s">
        <v>20</v>
      </c>
      <c r="F5529" t="str">
        <f>"43612-1917"</f>
        <v>43612-1917</v>
      </c>
      <c r="G5529" t="str">
        <f t="shared" si="195"/>
        <v>716165</v>
      </c>
      <c r="H5529" s="2">
        <f>10</f>
        <v>10</v>
      </c>
      <c r="I5529" t="s">
        <v>27</v>
      </c>
      <c r="J5529" t="s">
        <v>34</v>
      </c>
      <c r="K5529" t="str">
        <f>"123451"</f>
        <v>123451</v>
      </c>
    </row>
    <row r="5530" spans="1:11" x14ac:dyDescent="0.25">
      <c r="A5530">
        <v>2024</v>
      </c>
      <c r="B5530" t="s">
        <v>6723</v>
      </c>
      <c r="C5530" t="s">
        <v>6724</v>
      </c>
      <c r="D5530" t="s">
        <v>19</v>
      </c>
      <c r="E5530" t="s">
        <v>20</v>
      </c>
      <c r="F5530" t="str">
        <f>"43613-1908"</f>
        <v>43613-1908</v>
      </c>
      <c r="G5530" t="str">
        <f t="shared" si="195"/>
        <v>716165</v>
      </c>
      <c r="H5530" s="2">
        <f>60</f>
        <v>60</v>
      </c>
      <c r="I5530" t="s">
        <v>27</v>
      </c>
      <c r="J5530" t="s">
        <v>34</v>
      </c>
      <c r="K5530" t="str">
        <f>"121176"</f>
        <v>121176</v>
      </c>
    </row>
    <row r="5531" spans="1:11" x14ac:dyDescent="0.25">
      <c r="A5531">
        <v>2024</v>
      </c>
      <c r="B5531" t="s">
        <v>6733</v>
      </c>
      <c r="C5531" t="s">
        <v>6734</v>
      </c>
      <c r="D5531" t="s">
        <v>19</v>
      </c>
      <c r="E5531" t="s">
        <v>20</v>
      </c>
      <c r="F5531" t="str">
        <f>"43615-5240"</f>
        <v>43615-5240</v>
      </c>
      <c r="G5531" t="str">
        <f t="shared" si="195"/>
        <v>716165</v>
      </c>
      <c r="H5531" s="2">
        <f>10</f>
        <v>10</v>
      </c>
      <c r="I5531" t="s">
        <v>27</v>
      </c>
      <c r="J5531" t="s">
        <v>34</v>
      </c>
      <c r="K5531" t="str">
        <f>"123695"</f>
        <v>123695</v>
      </c>
    </row>
    <row r="5532" spans="1:11" x14ac:dyDescent="0.25">
      <c r="A5532">
        <v>2024</v>
      </c>
      <c r="B5532" t="s">
        <v>6743</v>
      </c>
      <c r="C5532" t="s">
        <v>6744</v>
      </c>
      <c r="D5532" t="s">
        <v>50</v>
      </c>
      <c r="E5532" t="s">
        <v>20</v>
      </c>
      <c r="F5532" t="str">
        <f>"43560"</f>
        <v>43560</v>
      </c>
      <c r="G5532" t="str">
        <f>"718470"</f>
        <v>718470</v>
      </c>
      <c r="H5532" s="2">
        <f>77.63</f>
        <v>77.63</v>
      </c>
      <c r="I5532" t="s">
        <v>27</v>
      </c>
      <c r="J5532" t="s">
        <v>34</v>
      </c>
      <c r="K5532" t="str">
        <f>"334458"</f>
        <v>334458</v>
      </c>
    </row>
    <row r="5533" spans="1:11" x14ac:dyDescent="0.25">
      <c r="A5533">
        <v>2024</v>
      </c>
      <c r="B5533" t="s">
        <v>6761</v>
      </c>
      <c r="C5533" t="s">
        <v>6762</v>
      </c>
      <c r="D5533" t="s">
        <v>19</v>
      </c>
      <c r="E5533" t="s">
        <v>20</v>
      </c>
      <c r="F5533" t="str">
        <f>"43615-2929"</f>
        <v>43615-2929</v>
      </c>
      <c r="G5533" t="str">
        <f>"716165"</f>
        <v>716165</v>
      </c>
      <c r="H5533" s="2">
        <f>10</f>
        <v>10</v>
      </c>
      <c r="I5533" t="s">
        <v>27</v>
      </c>
      <c r="J5533" t="s">
        <v>34</v>
      </c>
      <c r="K5533" t="str">
        <f>"123887"</f>
        <v>123887</v>
      </c>
    </row>
    <row r="5534" spans="1:11" x14ac:dyDescent="0.25">
      <c r="A5534">
        <v>2024</v>
      </c>
      <c r="B5534" t="s">
        <v>6763</v>
      </c>
      <c r="C5534" t="s">
        <v>6764</v>
      </c>
      <c r="D5534" t="s">
        <v>19</v>
      </c>
      <c r="E5534" t="s">
        <v>20</v>
      </c>
      <c r="F5534" t="str">
        <f>"43614-4017"</f>
        <v>43614-4017</v>
      </c>
      <c r="G5534" t="str">
        <f>"716165"</f>
        <v>716165</v>
      </c>
      <c r="H5534" s="2">
        <f>10</f>
        <v>10</v>
      </c>
      <c r="I5534" t="s">
        <v>27</v>
      </c>
      <c r="J5534" t="s">
        <v>34</v>
      </c>
      <c r="K5534" t="str">
        <f>"122228"</f>
        <v>122228</v>
      </c>
    </row>
    <row r="5535" spans="1:11" x14ac:dyDescent="0.25">
      <c r="A5535">
        <v>2024</v>
      </c>
      <c r="B5535" t="s">
        <v>6765</v>
      </c>
      <c r="C5535" t="s">
        <v>6766</v>
      </c>
      <c r="D5535" t="s">
        <v>19</v>
      </c>
      <c r="E5535" t="s">
        <v>20</v>
      </c>
      <c r="F5535" t="str">
        <f>"43617"</f>
        <v>43617</v>
      </c>
      <c r="G5535" t="str">
        <f>"716619"</f>
        <v>716619</v>
      </c>
      <c r="H5535" s="2">
        <f>1</f>
        <v>1</v>
      </c>
      <c r="I5535" t="s">
        <v>27</v>
      </c>
      <c r="J5535" t="s">
        <v>34</v>
      </c>
      <c r="K5535" t="str">
        <f>"11004608"</f>
        <v>11004608</v>
      </c>
    </row>
    <row r="5536" spans="1:11" x14ac:dyDescent="0.25">
      <c r="A5536">
        <v>2024</v>
      </c>
      <c r="B5536" t="s">
        <v>6771</v>
      </c>
      <c r="C5536" t="s">
        <v>6772</v>
      </c>
      <c r="D5536" t="s">
        <v>19</v>
      </c>
      <c r="E5536" t="s">
        <v>20</v>
      </c>
      <c r="F5536" t="str">
        <f>"43617-2220"</f>
        <v>43617-2220</v>
      </c>
      <c r="G5536" t="str">
        <f>"716165"</f>
        <v>716165</v>
      </c>
      <c r="H5536" s="2">
        <f>10</f>
        <v>10</v>
      </c>
      <c r="I5536" t="s">
        <v>27</v>
      </c>
      <c r="J5536" t="s">
        <v>34</v>
      </c>
      <c r="K5536" t="str">
        <f>"124489"</f>
        <v>124489</v>
      </c>
    </row>
    <row r="5537" spans="1:11" x14ac:dyDescent="0.25">
      <c r="A5537">
        <v>2024</v>
      </c>
      <c r="B5537" t="s">
        <v>6787</v>
      </c>
      <c r="C5537" t="s">
        <v>6788</v>
      </c>
      <c r="D5537" t="s">
        <v>19</v>
      </c>
      <c r="E5537" t="s">
        <v>20</v>
      </c>
      <c r="F5537" t="str">
        <f>"43615"</f>
        <v>43615</v>
      </c>
      <c r="G5537" t="str">
        <f>"716619"</f>
        <v>716619</v>
      </c>
      <c r="H5537" s="2">
        <f>10</f>
        <v>10</v>
      </c>
      <c r="I5537" t="s">
        <v>27</v>
      </c>
      <c r="J5537" t="s">
        <v>34</v>
      </c>
      <c r="K5537" t="str">
        <f>"22025966"</f>
        <v>22025966</v>
      </c>
    </row>
    <row r="5538" spans="1:11" x14ac:dyDescent="0.25">
      <c r="A5538">
        <v>2024</v>
      </c>
      <c r="B5538" t="s">
        <v>6798</v>
      </c>
      <c r="C5538" t="s">
        <v>6799</v>
      </c>
      <c r="D5538" t="s">
        <v>19</v>
      </c>
      <c r="E5538" t="s">
        <v>20</v>
      </c>
      <c r="F5538" t="str">
        <f>"43613-2530"</f>
        <v>43613-2530</v>
      </c>
      <c r="G5538" t="str">
        <f t="shared" ref="G5538:G5548" si="196">"716165"</f>
        <v>716165</v>
      </c>
      <c r="H5538" s="2">
        <f>10</f>
        <v>10</v>
      </c>
      <c r="I5538" t="s">
        <v>27</v>
      </c>
      <c r="J5538" t="s">
        <v>34</v>
      </c>
      <c r="K5538" t="str">
        <f>"121815"</f>
        <v>121815</v>
      </c>
    </row>
    <row r="5539" spans="1:11" x14ac:dyDescent="0.25">
      <c r="A5539">
        <v>2024</v>
      </c>
      <c r="B5539" t="s">
        <v>6802</v>
      </c>
      <c r="C5539" t="s">
        <v>6803</v>
      </c>
      <c r="D5539" t="s">
        <v>105</v>
      </c>
      <c r="E5539" t="s">
        <v>20</v>
      </c>
      <c r="F5539" t="str">
        <f>"43528-9637"</f>
        <v>43528-9637</v>
      </c>
      <c r="G5539" t="str">
        <f t="shared" si="196"/>
        <v>716165</v>
      </c>
      <c r="H5539" s="2">
        <f>20</f>
        <v>20</v>
      </c>
      <c r="I5539" t="s">
        <v>27</v>
      </c>
      <c r="J5539" t="s">
        <v>34</v>
      </c>
      <c r="K5539" t="str">
        <f>"122797"</f>
        <v>122797</v>
      </c>
    </row>
    <row r="5540" spans="1:11" x14ac:dyDescent="0.25">
      <c r="A5540">
        <v>2024</v>
      </c>
      <c r="B5540" t="s">
        <v>6806</v>
      </c>
      <c r="C5540" t="s">
        <v>6807</v>
      </c>
      <c r="D5540" t="s">
        <v>19</v>
      </c>
      <c r="E5540" t="s">
        <v>20</v>
      </c>
      <c r="F5540" t="str">
        <f>"43607-4700"</f>
        <v>43607-4700</v>
      </c>
      <c r="G5540" t="str">
        <f t="shared" si="196"/>
        <v>716165</v>
      </c>
      <c r="H5540" s="2">
        <f>10</f>
        <v>10</v>
      </c>
      <c r="I5540" t="s">
        <v>27</v>
      </c>
      <c r="J5540" t="s">
        <v>34</v>
      </c>
      <c r="K5540" t="str">
        <f>"122590"</f>
        <v>122590</v>
      </c>
    </row>
    <row r="5541" spans="1:11" x14ac:dyDescent="0.25">
      <c r="A5541">
        <v>2024</v>
      </c>
      <c r="B5541" t="s">
        <v>6893</v>
      </c>
      <c r="C5541" t="s">
        <v>6894</v>
      </c>
      <c r="D5541" t="s">
        <v>19</v>
      </c>
      <c r="E5541" t="s">
        <v>20</v>
      </c>
      <c r="F5541" t="str">
        <f>"43613-1507"</f>
        <v>43613-1507</v>
      </c>
      <c r="G5541" t="str">
        <f t="shared" si="196"/>
        <v>716165</v>
      </c>
      <c r="H5541" s="2">
        <f>40</f>
        <v>40</v>
      </c>
      <c r="I5541" t="s">
        <v>27</v>
      </c>
      <c r="J5541" t="s">
        <v>34</v>
      </c>
      <c r="K5541" t="str">
        <f>"122632"</f>
        <v>122632</v>
      </c>
    </row>
    <row r="5542" spans="1:11" x14ac:dyDescent="0.25">
      <c r="A5542">
        <v>2024</v>
      </c>
      <c r="B5542" t="s">
        <v>6914</v>
      </c>
      <c r="C5542" t="s">
        <v>6915</v>
      </c>
      <c r="D5542" t="s">
        <v>323</v>
      </c>
      <c r="E5542" t="s">
        <v>20</v>
      </c>
      <c r="F5542" t="str">
        <f>"43571-9641"</f>
        <v>43571-9641</v>
      </c>
      <c r="G5542" t="str">
        <f t="shared" si="196"/>
        <v>716165</v>
      </c>
      <c r="H5542" s="2">
        <f>20</f>
        <v>20</v>
      </c>
      <c r="I5542" t="s">
        <v>27</v>
      </c>
      <c r="J5542" t="s">
        <v>34</v>
      </c>
      <c r="K5542" t="str">
        <f>"122584"</f>
        <v>122584</v>
      </c>
    </row>
    <row r="5543" spans="1:11" x14ac:dyDescent="0.25">
      <c r="A5543">
        <v>2024</v>
      </c>
      <c r="B5543" t="s">
        <v>6937</v>
      </c>
      <c r="C5543" t="s">
        <v>6938</v>
      </c>
      <c r="D5543" t="s">
        <v>19</v>
      </c>
      <c r="E5543" t="s">
        <v>20</v>
      </c>
      <c r="F5543" t="str">
        <f>"43613-3622"</f>
        <v>43613-3622</v>
      </c>
      <c r="G5543" t="str">
        <f t="shared" si="196"/>
        <v>716165</v>
      </c>
      <c r="H5543" s="2">
        <f>10</f>
        <v>10</v>
      </c>
      <c r="I5543" t="s">
        <v>27</v>
      </c>
      <c r="J5543" t="s">
        <v>34</v>
      </c>
      <c r="K5543" t="str">
        <f>"122674"</f>
        <v>122674</v>
      </c>
    </row>
    <row r="5544" spans="1:11" x14ac:dyDescent="0.25">
      <c r="A5544">
        <v>2024</v>
      </c>
      <c r="B5544" t="s">
        <v>6947</v>
      </c>
      <c r="C5544" t="s">
        <v>6948</v>
      </c>
      <c r="D5544" t="s">
        <v>19</v>
      </c>
      <c r="E5544" t="s">
        <v>20</v>
      </c>
      <c r="F5544" t="str">
        <f>"43613-4937"</f>
        <v>43613-4937</v>
      </c>
      <c r="G5544" t="str">
        <f t="shared" si="196"/>
        <v>716165</v>
      </c>
      <c r="H5544" s="2">
        <f>10</f>
        <v>10</v>
      </c>
      <c r="I5544" t="s">
        <v>27</v>
      </c>
      <c r="J5544" t="s">
        <v>34</v>
      </c>
      <c r="K5544" t="str">
        <f>"124397"</f>
        <v>124397</v>
      </c>
    </row>
    <row r="5545" spans="1:11" x14ac:dyDescent="0.25">
      <c r="A5545">
        <v>2024</v>
      </c>
      <c r="B5545" t="s">
        <v>6949</v>
      </c>
      <c r="C5545" t="s">
        <v>6950</v>
      </c>
      <c r="D5545" t="s">
        <v>19</v>
      </c>
      <c r="E5545" t="s">
        <v>20</v>
      </c>
      <c r="F5545" t="str">
        <f>"43606-3164"</f>
        <v>43606-3164</v>
      </c>
      <c r="G5545" t="str">
        <f t="shared" si="196"/>
        <v>716165</v>
      </c>
      <c r="H5545" s="2">
        <f>10</f>
        <v>10</v>
      </c>
      <c r="I5545" t="s">
        <v>27</v>
      </c>
      <c r="J5545" t="s">
        <v>34</v>
      </c>
      <c r="K5545" t="str">
        <f>"124681"</f>
        <v>124681</v>
      </c>
    </row>
    <row r="5546" spans="1:11" x14ac:dyDescent="0.25">
      <c r="A5546">
        <v>2024</v>
      </c>
      <c r="B5546" t="s">
        <v>6951</v>
      </c>
      <c r="C5546" t="s">
        <v>6952</v>
      </c>
      <c r="D5546" t="s">
        <v>125</v>
      </c>
      <c r="E5546" t="s">
        <v>20</v>
      </c>
      <c r="F5546" t="str">
        <f>"43537-9659"</f>
        <v>43537-9659</v>
      </c>
      <c r="G5546" t="str">
        <f t="shared" si="196"/>
        <v>716165</v>
      </c>
      <c r="H5546" s="2">
        <f>20</f>
        <v>20</v>
      </c>
      <c r="I5546" t="s">
        <v>27</v>
      </c>
      <c r="J5546" t="s">
        <v>34</v>
      </c>
      <c r="K5546" t="str">
        <f>"123173"</f>
        <v>123173</v>
      </c>
    </row>
    <row r="5547" spans="1:11" x14ac:dyDescent="0.25">
      <c r="A5547">
        <v>2024</v>
      </c>
      <c r="B5547" t="s">
        <v>6961</v>
      </c>
      <c r="C5547" t="s">
        <v>6962</v>
      </c>
      <c r="D5547" t="s">
        <v>19</v>
      </c>
      <c r="E5547" t="s">
        <v>20</v>
      </c>
      <c r="F5547" t="str">
        <f>"43612-1006"</f>
        <v>43612-1006</v>
      </c>
      <c r="G5547" t="str">
        <f t="shared" si="196"/>
        <v>716165</v>
      </c>
      <c r="H5547" s="2">
        <f>80</f>
        <v>80</v>
      </c>
      <c r="I5547" t="s">
        <v>27</v>
      </c>
      <c r="J5547" t="s">
        <v>34</v>
      </c>
      <c r="K5547" t="str">
        <f>"122434"</f>
        <v>122434</v>
      </c>
    </row>
    <row r="5548" spans="1:11" x14ac:dyDescent="0.25">
      <c r="A5548">
        <v>2024</v>
      </c>
      <c r="B5548" t="s">
        <v>6972</v>
      </c>
      <c r="C5548" t="s">
        <v>6973</v>
      </c>
      <c r="D5548" t="s">
        <v>19</v>
      </c>
      <c r="E5548" t="s">
        <v>20</v>
      </c>
      <c r="F5548" t="str">
        <f>"43613-2041"</f>
        <v>43613-2041</v>
      </c>
      <c r="G5548" t="str">
        <f t="shared" si="196"/>
        <v>716165</v>
      </c>
      <c r="H5548" s="2">
        <f>10</f>
        <v>10</v>
      </c>
      <c r="I5548" t="s">
        <v>27</v>
      </c>
      <c r="J5548" t="s">
        <v>34</v>
      </c>
      <c r="K5548" t="str">
        <f>"121816"</f>
        <v>121816</v>
      </c>
    </row>
    <row r="5549" spans="1:11" x14ac:dyDescent="0.25">
      <c r="A5549">
        <v>2024</v>
      </c>
      <c r="B5549" t="s">
        <v>6982</v>
      </c>
      <c r="C5549" t="s">
        <v>6983</v>
      </c>
      <c r="D5549" t="s">
        <v>203</v>
      </c>
      <c r="E5549" t="s">
        <v>204</v>
      </c>
      <c r="F5549" t="str">
        <f>"30374-4724"</f>
        <v>30374-4724</v>
      </c>
      <c r="G5549" t="str">
        <f>"Je08072024"</f>
        <v>Je08072024</v>
      </c>
      <c r="H5549" s="2">
        <f>1562.44</f>
        <v>1562.44</v>
      </c>
      <c r="I5549" t="s">
        <v>15</v>
      </c>
      <c r="J5549" t="s">
        <v>1647</v>
      </c>
      <c r="K5549" t="str">
        <f>"60116567"</f>
        <v>60116567</v>
      </c>
    </row>
    <row r="5550" spans="1:11" x14ac:dyDescent="0.25">
      <c r="A5550">
        <v>2024</v>
      </c>
      <c r="B5550" t="s">
        <v>6990</v>
      </c>
      <c r="C5550" t="s">
        <v>6991</v>
      </c>
      <c r="D5550" t="s">
        <v>19</v>
      </c>
      <c r="E5550" t="s">
        <v>20</v>
      </c>
      <c r="F5550" t="str">
        <f>"43615-4681"</f>
        <v>43615-4681</v>
      </c>
      <c r="G5550" t="str">
        <f>"716165"</f>
        <v>716165</v>
      </c>
      <c r="H5550" s="2">
        <f>10</f>
        <v>10</v>
      </c>
      <c r="I5550" t="s">
        <v>27</v>
      </c>
      <c r="J5550" t="s">
        <v>34</v>
      </c>
      <c r="K5550" t="str">
        <f>"122385"</f>
        <v>122385</v>
      </c>
    </row>
    <row r="5551" spans="1:11" x14ac:dyDescent="0.25">
      <c r="A5551">
        <v>2024</v>
      </c>
      <c r="B5551" t="s">
        <v>6994</v>
      </c>
      <c r="C5551" t="s">
        <v>6995</v>
      </c>
      <c r="D5551" t="s">
        <v>6996</v>
      </c>
      <c r="E5551" t="s">
        <v>20</v>
      </c>
      <c r="F5551" t="str">
        <f>"44134"</f>
        <v>44134</v>
      </c>
      <c r="G5551" t="str">
        <f>"716619"</f>
        <v>716619</v>
      </c>
      <c r="H5551" s="2">
        <f>20</f>
        <v>20</v>
      </c>
      <c r="I5551" t="s">
        <v>27</v>
      </c>
      <c r="J5551" t="s">
        <v>34</v>
      </c>
      <c r="K5551" t="str">
        <f>"22026061"</f>
        <v>22026061</v>
      </c>
    </row>
    <row r="5552" spans="1:11" x14ac:dyDescent="0.25">
      <c r="A5552">
        <v>2024</v>
      </c>
      <c r="B5552" t="s">
        <v>7001</v>
      </c>
      <c r="C5552" t="s">
        <v>7000</v>
      </c>
      <c r="D5552" t="s">
        <v>58</v>
      </c>
      <c r="E5552" t="s">
        <v>20</v>
      </c>
      <c r="F5552" t="str">
        <f>"43616"</f>
        <v>43616</v>
      </c>
      <c r="G5552" t="str">
        <f>"716619"</f>
        <v>716619</v>
      </c>
      <c r="H5552" s="2">
        <f>4</f>
        <v>4</v>
      </c>
      <c r="I5552" t="s">
        <v>27</v>
      </c>
      <c r="J5552" t="s">
        <v>34</v>
      </c>
      <c r="K5552" t="str">
        <f>"44010405"</f>
        <v>44010405</v>
      </c>
    </row>
    <row r="5553" spans="1:11" x14ac:dyDescent="0.25">
      <c r="A5553">
        <v>2024</v>
      </c>
      <c r="B5553" t="s">
        <v>7020</v>
      </c>
      <c r="C5553" t="s">
        <v>7021</v>
      </c>
      <c r="D5553" t="s">
        <v>125</v>
      </c>
      <c r="E5553" t="s">
        <v>20</v>
      </c>
      <c r="F5553" t="str">
        <f>"43537-1124"</f>
        <v>43537-1124</v>
      </c>
      <c r="G5553" t="str">
        <f>"716165"</f>
        <v>716165</v>
      </c>
      <c r="H5553" s="2">
        <f>10</f>
        <v>10</v>
      </c>
      <c r="I5553" t="s">
        <v>27</v>
      </c>
      <c r="J5553" t="s">
        <v>34</v>
      </c>
      <c r="K5553" t="str">
        <f>"122676"</f>
        <v>122676</v>
      </c>
    </row>
    <row r="5554" spans="1:11" x14ac:dyDescent="0.25">
      <c r="A5554">
        <v>2024</v>
      </c>
      <c r="B5554" t="s">
        <v>7028</v>
      </c>
      <c r="C5554" t="s">
        <v>7029</v>
      </c>
      <c r="D5554" t="s">
        <v>19</v>
      </c>
      <c r="E5554" t="s">
        <v>20</v>
      </c>
      <c r="F5554" t="str">
        <f>"43623-1415"</f>
        <v>43623-1415</v>
      </c>
      <c r="G5554" t="str">
        <f>"716165"</f>
        <v>716165</v>
      </c>
      <c r="H5554" s="2">
        <f>20</f>
        <v>20</v>
      </c>
      <c r="I5554" t="s">
        <v>27</v>
      </c>
      <c r="J5554" t="s">
        <v>34</v>
      </c>
      <c r="K5554" t="str">
        <f>"122894"</f>
        <v>122894</v>
      </c>
    </row>
    <row r="5555" spans="1:11" x14ac:dyDescent="0.25">
      <c r="A5555">
        <v>2024</v>
      </c>
      <c r="B5555" t="s">
        <v>7040</v>
      </c>
      <c r="C5555" t="s">
        <v>7041</v>
      </c>
      <c r="D5555" t="s">
        <v>105</v>
      </c>
      <c r="E5555" t="s">
        <v>20</v>
      </c>
      <c r="F5555" t="str">
        <f>"43528-9398"</f>
        <v>43528-9398</v>
      </c>
      <c r="G5555" t="str">
        <f>"716165"</f>
        <v>716165</v>
      </c>
      <c r="H5555" s="2">
        <f>20</f>
        <v>20</v>
      </c>
      <c r="I5555" t="s">
        <v>27</v>
      </c>
      <c r="J5555" t="s">
        <v>34</v>
      </c>
      <c r="K5555" t="str">
        <f>"123385"</f>
        <v>123385</v>
      </c>
    </row>
    <row r="5556" spans="1:11" x14ac:dyDescent="0.25">
      <c r="A5556">
        <v>2024</v>
      </c>
      <c r="B5556" t="s">
        <v>7042</v>
      </c>
      <c r="C5556" t="s">
        <v>7043</v>
      </c>
      <c r="D5556" t="s">
        <v>19</v>
      </c>
      <c r="E5556" t="s">
        <v>20</v>
      </c>
      <c r="F5556" t="str">
        <f>"43605-3333"</f>
        <v>43605-3333</v>
      </c>
      <c r="G5556" t="str">
        <f>"716165"</f>
        <v>716165</v>
      </c>
      <c r="H5556" s="2">
        <f>10</f>
        <v>10</v>
      </c>
      <c r="I5556" t="s">
        <v>27</v>
      </c>
      <c r="J5556" t="s">
        <v>34</v>
      </c>
      <c r="K5556" t="str">
        <f>"121066"</f>
        <v>121066</v>
      </c>
    </row>
    <row r="5557" spans="1:11" x14ac:dyDescent="0.25">
      <c r="A5557">
        <v>2024</v>
      </c>
      <c r="B5557" t="s">
        <v>7064</v>
      </c>
      <c r="C5557" t="s">
        <v>7072</v>
      </c>
      <c r="D5557" t="s">
        <v>7070</v>
      </c>
      <c r="E5557" t="s">
        <v>14</v>
      </c>
      <c r="F5557" t="str">
        <f>"48103"</f>
        <v>48103</v>
      </c>
      <c r="G5557" t="str">
        <f>"716619"</f>
        <v>716619</v>
      </c>
      <c r="H5557" s="2">
        <f>5</f>
        <v>5</v>
      </c>
      <c r="I5557" t="s">
        <v>27</v>
      </c>
      <c r="J5557" t="s">
        <v>34</v>
      </c>
      <c r="K5557" t="str">
        <f>"22026774"</f>
        <v>22026774</v>
      </c>
    </row>
    <row r="5558" spans="1:11" x14ac:dyDescent="0.25">
      <c r="A5558">
        <v>2024</v>
      </c>
      <c r="B5558" t="s">
        <v>7064</v>
      </c>
      <c r="C5558" t="s">
        <v>7072</v>
      </c>
      <c r="D5558" t="s">
        <v>7070</v>
      </c>
      <c r="E5558" t="s">
        <v>14</v>
      </c>
      <c r="F5558" t="str">
        <f>"48103"</f>
        <v>48103</v>
      </c>
      <c r="G5558" t="str">
        <f>"716619"</f>
        <v>716619</v>
      </c>
      <c r="H5558" s="2">
        <f>5</f>
        <v>5</v>
      </c>
      <c r="I5558" t="s">
        <v>27</v>
      </c>
      <c r="J5558" t="s">
        <v>34</v>
      </c>
      <c r="K5558" t="str">
        <f>"22026700"</f>
        <v>22026700</v>
      </c>
    </row>
    <row r="5559" spans="1:11" x14ac:dyDescent="0.25">
      <c r="A5559">
        <v>2024</v>
      </c>
      <c r="B5559" t="s">
        <v>7064</v>
      </c>
      <c r="C5559" t="s">
        <v>7072</v>
      </c>
      <c r="D5559" t="s">
        <v>7070</v>
      </c>
      <c r="E5559" t="s">
        <v>14</v>
      </c>
      <c r="F5559" t="str">
        <f>"48103"</f>
        <v>48103</v>
      </c>
      <c r="G5559" t="str">
        <f>"716619"</f>
        <v>716619</v>
      </c>
      <c r="H5559" s="2">
        <f>15.17</f>
        <v>15.17</v>
      </c>
      <c r="I5559" t="s">
        <v>27</v>
      </c>
      <c r="J5559" t="s">
        <v>34</v>
      </c>
      <c r="K5559" t="str">
        <f>"22025583"</f>
        <v>22025583</v>
      </c>
    </row>
    <row r="5560" spans="1:11" x14ac:dyDescent="0.25">
      <c r="A5560">
        <v>2024</v>
      </c>
      <c r="B5560" t="s">
        <v>7073</v>
      </c>
      <c r="C5560" t="s">
        <v>7074</v>
      </c>
      <c r="D5560" t="s">
        <v>7075</v>
      </c>
      <c r="E5560" t="s">
        <v>14</v>
      </c>
      <c r="F5560" t="str">
        <f>"48130"</f>
        <v>48130</v>
      </c>
      <c r="G5560" t="str">
        <f>"716619"</f>
        <v>716619</v>
      </c>
      <c r="H5560" s="2">
        <f>528.16</f>
        <v>528.16</v>
      </c>
      <c r="I5560" t="s">
        <v>27</v>
      </c>
      <c r="J5560" t="s">
        <v>34</v>
      </c>
      <c r="K5560" t="str">
        <f>"22026362"</f>
        <v>22026362</v>
      </c>
    </row>
    <row r="5561" spans="1:11" x14ac:dyDescent="0.25">
      <c r="A5561">
        <v>2024</v>
      </c>
      <c r="B5561" t="s">
        <v>7076</v>
      </c>
      <c r="C5561" t="s">
        <v>7077</v>
      </c>
      <c r="D5561" t="s">
        <v>7078</v>
      </c>
      <c r="E5561" t="s">
        <v>14</v>
      </c>
      <c r="F5561" t="str">
        <f>"48390"</f>
        <v>48390</v>
      </c>
      <c r="G5561" t="str">
        <f>"716619"</f>
        <v>716619</v>
      </c>
      <c r="H5561" s="2">
        <f>218.98</f>
        <v>218.98</v>
      </c>
      <c r="I5561" t="s">
        <v>27</v>
      </c>
      <c r="J5561" t="s">
        <v>34</v>
      </c>
      <c r="K5561" t="str">
        <f>"22026390"</f>
        <v>22026390</v>
      </c>
    </row>
    <row r="5562" spans="1:11" x14ac:dyDescent="0.25">
      <c r="A5562">
        <v>2024</v>
      </c>
      <c r="B5562" t="s">
        <v>7086</v>
      </c>
      <c r="C5562" t="s">
        <v>7087</v>
      </c>
      <c r="D5562" t="s">
        <v>19</v>
      </c>
      <c r="E5562" t="s">
        <v>20</v>
      </c>
      <c r="F5562" t="str">
        <f>"43607"</f>
        <v>43607</v>
      </c>
      <c r="G5562" t="str">
        <f>"719211"</f>
        <v>719211</v>
      </c>
      <c r="H5562" s="2">
        <f>450</f>
        <v>450</v>
      </c>
      <c r="I5562" t="s">
        <v>27</v>
      </c>
      <c r="J5562" t="s">
        <v>200</v>
      </c>
      <c r="K5562" t="str">
        <f>"N/A"</f>
        <v>N/A</v>
      </c>
    </row>
    <row r="5563" spans="1:11" x14ac:dyDescent="0.25">
      <c r="A5563">
        <v>2024</v>
      </c>
      <c r="B5563" t="s">
        <v>7090</v>
      </c>
      <c r="C5563" t="s">
        <v>7091</v>
      </c>
      <c r="D5563" t="s">
        <v>19</v>
      </c>
      <c r="E5563" t="s">
        <v>20</v>
      </c>
      <c r="F5563" t="str">
        <f>"43612"</f>
        <v>43612</v>
      </c>
      <c r="G5563" t="str">
        <f>"716619"</f>
        <v>716619</v>
      </c>
      <c r="H5563" s="2">
        <f>5</f>
        <v>5</v>
      </c>
      <c r="I5563" t="s">
        <v>27</v>
      </c>
      <c r="J5563" t="s">
        <v>34</v>
      </c>
      <c r="K5563" t="str">
        <f>"11004530"</f>
        <v>11004530</v>
      </c>
    </row>
    <row r="5564" spans="1:11" x14ac:dyDescent="0.25">
      <c r="A5564">
        <v>2024</v>
      </c>
      <c r="B5564" t="s">
        <v>7097</v>
      </c>
      <c r="C5564" t="s">
        <v>7098</v>
      </c>
      <c r="D5564" t="s">
        <v>19</v>
      </c>
      <c r="E5564" t="s">
        <v>20</v>
      </c>
      <c r="F5564" t="str">
        <f>"43610-1157"</f>
        <v>43610-1157</v>
      </c>
      <c r="G5564" t="str">
        <f>"716165"</f>
        <v>716165</v>
      </c>
      <c r="H5564" s="2">
        <f>10</f>
        <v>10</v>
      </c>
      <c r="I5564" t="s">
        <v>27</v>
      </c>
      <c r="J5564" t="s">
        <v>34</v>
      </c>
      <c r="K5564" t="str">
        <f>"122546"</f>
        <v>122546</v>
      </c>
    </row>
    <row r="5565" spans="1:11" x14ac:dyDescent="0.25">
      <c r="A5565">
        <v>2024</v>
      </c>
      <c r="B5565" t="s">
        <v>7103</v>
      </c>
      <c r="C5565" t="s">
        <v>7104</v>
      </c>
      <c r="D5565" t="s">
        <v>19</v>
      </c>
      <c r="E5565" t="s">
        <v>20</v>
      </c>
      <c r="F5565" t="str">
        <f>"43613"</f>
        <v>43613</v>
      </c>
      <c r="G5565" t="str">
        <f>"Je12122024"</f>
        <v>Je12122024</v>
      </c>
      <c r="H5565" s="2">
        <f>36</f>
        <v>36</v>
      </c>
      <c r="I5565" t="s">
        <v>15</v>
      </c>
      <c r="J5565" t="s">
        <v>1326</v>
      </c>
      <c r="K5565" t="str">
        <f>"60138545"</f>
        <v>60138545</v>
      </c>
    </row>
    <row r="5566" spans="1:11" x14ac:dyDescent="0.25">
      <c r="A5566">
        <v>2024</v>
      </c>
      <c r="B5566" t="s">
        <v>7105</v>
      </c>
      <c r="C5566" t="s">
        <v>7106</v>
      </c>
      <c r="D5566" t="s">
        <v>19</v>
      </c>
      <c r="E5566" t="s">
        <v>20</v>
      </c>
      <c r="F5566" t="str">
        <f>"43615"</f>
        <v>43615</v>
      </c>
      <c r="G5566" t="str">
        <f>"716166"</f>
        <v>716166</v>
      </c>
      <c r="H5566" s="2">
        <f>34</f>
        <v>34</v>
      </c>
      <c r="I5566" t="s">
        <v>27</v>
      </c>
      <c r="J5566" t="s">
        <v>262</v>
      </c>
      <c r="K5566" t="str">
        <f>"42048"</f>
        <v>42048</v>
      </c>
    </row>
    <row r="5567" spans="1:11" x14ac:dyDescent="0.25">
      <c r="A5567">
        <v>2024</v>
      </c>
      <c r="B5567" t="s">
        <v>7115</v>
      </c>
      <c r="C5567" t="s">
        <v>7116</v>
      </c>
      <c r="D5567" t="s">
        <v>19</v>
      </c>
      <c r="E5567" t="s">
        <v>20</v>
      </c>
      <c r="F5567" t="str">
        <f>"43604"</f>
        <v>43604</v>
      </c>
      <c r="G5567" t="str">
        <f>"718470"</f>
        <v>718470</v>
      </c>
      <c r="H5567" s="2">
        <f>2.76</f>
        <v>2.76</v>
      </c>
      <c r="I5567" t="s">
        <v>27</v>
      </c>
      <c r="J5567" t="s">
        <v>34</v>
      </c>
      <c r="K5567" t="str">
        <f>"334681"</f>
        <v>334681</v>
      </c>
    </row>
    <row r="5568" spans="1:11" x14ac:dyDescent="0.25">
      <c r="A5568">
        <v>2024</v>
      </c>
      <c r="B5568" t="s">
        <v>7124</v>
      </c>
      <c r="C5568" t="s">
        <v>7125</v>
      </c>
      <c r="D5568" t="s">
        <v>58</v>
      </c>
      <c r="E5568" t="s">
        <v>20</v>
      </c>
      <c r="F5568" t="str">
        <f>"43616-2415"</f>
        <v>43616-2415</v>
      </c>
      <c r="G5568" t="str">
        <f>"716165"</f>
        <v>716165</v>
      </c>
      <c r="H5568" s="2">
        <f>10</f>
        <v>10</v>
      </c>
      <c r="I5568" t="s">
        <v>27</v>
      </c>
      <c r="J5568" t="s">
        <v>34</v>
      </c>
      <c r="K5568" t="str">
        <f>"122091"</f>
        <v>122091</v>
      </c>
    </row>
    <row r="5569" spans="1:11" x14ac:dyDescent="0.25">
      <c r="A5569">
        <v>2024</v>
      </c>
      <c r="B5569" t="s">
        <v>7136</v>
      </c>
      <c r="C5569" t="s">
        <v>7137</v>
      </c>
      <c r="D5569" t="s">
        <v>19</v>
      </c>
      <c r="E5569" t="s">
        <v>20</v>
      </c>
      <c r="F5569" t="str">
        <f>"43611-3204"</f>
        <v>43611-3204</v>
      </c>
      <c r="G5569" t="str">
        <f>"716165"</f>
        <v>716165</v>
      </c>
      <c r="H5569" s="2">
        <f>40</f>
        <v>40</v>
      </c>
      <c r="I5569" t="s">
        <v>27</v>
      </c>
      <c r="J5569" t="s">
        <v>34</v>
      </c>
      <c r="K5569" t="str">
        <f>"124165"</f>
        <v>124165</v>
      </c>
    </row>
    <row r="5570" spans="1:11" x14ac:dyDescent="0.25">
      <c r="A5570">
        <v>2024</v>
      </c>
      <c r="B5570" t="s">
        <v>7142</v>
      </c>
      <c r="C5570" t="s">
        <v>7143</v>
      </c>
      <c r="D5570" t="s">
        <v>19</v>
      </c>
      <c r="E5570" t="s">
        <v>20</v>
      </c>
      <c r="F5570" t="str">
        <f>"43609-3040"</f>
        <v>43609-3040</v>
      </c>
      <c r="G5570" t="str">
        <f>"716165"</f>
        <v>716165</v>
      </c>
      <c r="H5570" s="2">
        <f>10</f>
        <v>10</v>
      </c>
      <c r="I5570" t="s">
        <v>27</v>
      </c>
      <c r="J5570" t="s">
        <v>34</v>
      </c>
      <c r="K5570" t="str">
        <f>"123959"</f>
        <v>123959</v>
      </c>
    </row>
    <row r="5571" spans="1:11" x14ac:dyDescent="0.25">
      <c r="A5571">
        <v>2024</v>
      </c>
      <c r="B5571" t="s">
        <v>7144</v>
      </c>
      <c r="C5571" t="s">
        <v>7145</v>
      </c>
      <c r="D5571" t="s">
        <v>19</v>
      </c>
      <c r="E5571" t="s">
        <v>20</v>
      </c>
      <c r="F5571" t="str">
        <f>"43615-6747"</f>
        <v>43615-6747</v>
      </c>
      <c r="G5571" t="str">
        <f>"716165"</f>
        <v>716165</v>
      </c>
      <c r="H5571" s="2">
        <f>10</f>
        <v>10</v>
      </c>
      <c r="I5571" t="s">
        <v>27</v>
      </c>
      <c r="J5571" t="s">
        <v>34</v>
      </c>
      <c r="K5571" t="str">
        <f>"123032"</f>
        <v>123032</v>
      </c>
    </row>
    <row r="5572" spans="1:11" x14ac:dyDescent="0.25">
      <c r="A5572">
        <v>2024</v>
      </c>
      <c r="B5572" t="s">
        <v>7152</v>
      </c>
      <c r="C5572" t="s">
        <v>7153</v>
      </c>
      <c r="D5572" t="s">
        <v>125</v>
      </c>
      <c r="E5572" t="s">
        <v>20</v>
      </c>
      <c r="F5572" t="str">
        <f>"43537"</f>
        <v>43537</v>
      </c>
      <c r="G5572" t="str">
        <f>"Je10112024"</f>
        <v>Je10112024</v>
      </c>
      <c r="H5572" s="2">
        <f>220</f>
        <v>220</v>
      </c>
      <c r="I5572" t="s">
        <v>15</v>
      </c>
      <c r="J5572" t="s">
        <v>205</v>
      </c>
      <c r="K5572" t="str">
        <f>"60127864"</f>
        <v>60127864</v>
      </c>
    </row>
    <row r="5573" spans="1:11" x14ac:dyDescent="0.25">
      <c r="A5573">
        <v>2024</v>
      </c>
      <c r="B5573" t="s">
        <v>7171</v>
      </c>
      <c r="C5573" t="s">
        <v>7172</v>
      </c>
      <c r="D5573" t="s">
        <v>105</v>
      </c>
      <c r="E5573" t="s">
        <v>20</v>
      </c>
      <c r="F5573" t="str">
        <f>"43528-8893"</f>
        <v>43528-8893</v>
      </c>
      <c r="G5573" t="str">
        <f t="shared" ref="G5573:G5586" si="197">"716165"</f>
        <v>716165</v>
      </c>
      <c r="H5573" s="2">
        <f>10</f>
        <v>10</v>
      </c>
      <c r="I5573" t="s">
        <v>27</v>
      </c>
      <c r="J5573" t="s">
        <v>34</v>
      </c>
      <c r="K5573" t="str">
        <f>"123182"</f>
        <v>123182</v>
      </c>
    </row>
    <row r="5574" spans="1:11" x14ac:dyDescent="0.25">
      <c r="A5574">
        <v>2024</v>
      </c>
      <c r="B5574" t="s">
        <v>7177</v>
      </c>
      <c r="C5574" t="s">
        <v>7178</v>
      </c>
      <c r="D5574" t="s">
        <v>19</v>
      </c>
      <c r="E5574" t="s">
        <v>20</v>
      </c>
      <c r="F5574" t="str">
        <f>"43606-3811"</f>
        <v>43606-3811</v>
      </c>
      <c r="G5574" t="str">
        <f t="shared" si="197"/>
        <v>716165</v>
      </c>
      <c r="H5574" s="2">
        <f>10</f>
        <v>10</v>
      </c>
      <c r="I5574" t="s">
        <v>27</v>
      </c>
      <c r="J5574" t="s">
        <v>34</v>
      </c>
      <c r="K5574" t="str">
        <f>"125147"</f>
        <v>125147</v>
      </c>
    </row>
    <row r="5575" spans="1:11" x14ac:dyDescent="0.25">
      <c r="A5575">
        <v>2024</v>
      </c>
      <c r="B5575" t="s">
        <v>7179</v>
      </c>
      <c r="C5575" t="s">
        <v>7180</v>
      </c>
      <c r="D5575" t="s">
        <v>19</v>
      </c>
      <c r="E5575" t="s">
        <v>20</v>
      </c>
      <c r="F5575" t="str">
        <f>"43613-1084"</f>
        <v>43613-1084</v>
      </c>
      <c r="G5575" t="str">
        <f t="shared" si="197"/>
        <v>716165</v>
      </c>
      <c r="H5575" s="2">
        <f>10</f>
        <v>10</v>
      </c>
      <c r="I5575" t="s">
        <v>27</v>
      </c>
      <c r="J5575" t="s">
        <v>34</v>
      </c>
      <c r="K5575" t="str">
        <f>"123556"</f>
        <v>123556</v>
      </c>
    </row>
    <row r="5576" spans="1:11" x14ac:dyDescent="0.25">
      <c r="A5576">
        <v>2024</v>
      </c>
      <c r="B5576" t="s">
        <v>7188</v>
      </c>
      <c r="C5576" t="s">
        <v>7189</v>
      </c>
      <c r="D5576" t="s">
        <v>125</v>
      </c>
      <c r="E5576" t="s">
        <v>20</v>
      </c>
      <c r="F5576" t="str">
        <f>"43537-8603"</f>
        <v>43537-8603</v>
      </c>
      <c r="G5576" t="str">
        <f t="shared" si="197"/>
        <v>716165</v>
      </c>
      <c r="H5576" s="2">
        <f>30</f>
        <v>30</v>
      </c>
      <c r="I5576" t="s">
        <v>27</v>
      </c>
      <c r="J5576" t="s">
        <v>34</v>
      </c>
      <c r="K5576" t="str">
        <f>"121727"</f>
        <v>121727</v>
      </c>
    </row>
    <row r="5577" spans="1:11" x14ac:dyDescent="0.25">
      <c r="A5577">
        <v>2024</v>
      </c>
      <c r="B5577" t="s">
        <v>7190</v>
      </c>
      <c r="C5577" t="s">
        <v>7191</v>
      </c>
      <c r="D5577" t="s">
        <v>19</v>
      </c>
      <c r="E5577" t="s">
        <v>20</v>
      </c>
      <c r="F5577" t="str">
        <f>"43614-1658"</f>
        <v>43614-1658</v>
      </c>
      <c r="G5577" t="str">
        <f t="shared" si="197"/>
        <v>716165</v>
      </c>
      <c r="H5577" s="2">
        <f>10</f>
        <v>10</v>
      </c>
      <c r="I5577" t="s">
        <v>27</v>
      </c>
      <c r="J5577" t="s">
        <v>34</v>
      </c>
      <c r="K5577" t="str">
        <f>"124517"</f>
        <v>124517</v>
      </c>
    </row>
    <row r="5578" spans="1:11" x14ac:dyDescent="0.25">
      <c r="A5578">
        <v>2024</v>
      </c>
      <c r="B5578" t="s">
        <v>7192</v>
      </c>
      <c r="C5578" t="s">
        <v>7193</v>
      </c>
      <c r="D5578" t="s">
        <v>19</v>
      </c>
      <c r="E5578" t="s">
        <v>20</v>
      </c>
      <c r="F5578" t="str">
        <f>"43613-2523"</f>
        <v>43613-2523</v>
      </c>
      <c r="G5578" t="str">
        <f t="shared" si="197"/>
        <v>716165</v>
      </c>
      <c r="H5578" s="2">
        <f>10</f>
        <v>10</v>
      </c>
      <c r="I5578" t="s">
        <v>27</v>
      </c>
      <c r="J5578" t="s">
        <v>34</v>
      </c>
      <c r="K5578" t="str">
        <f>"121463"</f>
        <v>121463</v>
      </c>
    </row>
    <row r="5579" spans="1:11" x14ac:dyDescent="0.25">
      <c r="A5579">
        <v>2024</v>
      </c>
      <c r="B5579" t="s">
        <v>7198</v>
      </c>
      <c r="C5579" t="s">
        <v>7199</v>
      </c>
      <c r="D5579" t="s">
        <v>50</v>
      </c>
      <c r="E5579" t="s">
        <v>20</v>
      </c>
      <c r="F5579" t="str">
        <f>"43560-3803"</f>
        <v>43560-3803</v>
      </c>
      <c r="G5579" t="str">
        <f t="shared" si="197"/>
        <v>716165</v>
      </c>
      <c r="H5579" s="2">
        <f>40</f>
        <v>40</v>
      </c>
      <c r="I5579" t="s">
        <v>27</v>
      </c>
      <c r="J5579" t="s">
        <v>34</v>
      </c>
      <c r="K5579" t="str">
        <f>"124230"</f>
        <v>124230</v>
      </c>
    </row>
    <row r="5580" spans="1:11" x14ac:dyDescent="0.25">
      <c r="A5580">
        <v>2024</v>
      </c>
      <c r="B5580" t="s">
        <v>7200</v>
      </c>
      <c r="C5580" t="s">
        <v>7201</v>
      </c>
      <c r="D5580" t="s">
        <v>125</v>
      </c>
      <c r="E5580" t="s">
        <v>20</v>
      </c>
      <c r="F5580" t="str">
        <f>"43537-3338"</f>
        <v>43537-3338</v>
      </c>
      <c r="G5580" t="str">
        <f t="shared" si="197"/>
        <v>716165</v>
      </c>
      <c r="H5580" s="2">
        <f>20</f>
        <v>20</v>
      </c>
      <c r="I5580" t="s">
        <v>27</v>
      </c>
      <c r="J5580" t="s">
        <v>34</v>
      </c>
      <c r="K5580" t="str">
        <f>"124132"</f>
        <v>124132</v>
      </c>
    </row>
    <row r="5581" spans="1:11" x14ac:dyDescent="0.25">
      <c r="A5581">
        <v>2024</v>
      </c>
      <c r="B5581" t="s">
        <v>7202</v>
      </c>
      <c r="C5581" t="s">
        <v>7203</v>
      </c>
      <c r="D5581" t="s">
        <v>19</v>
      </c>
      <c r="E5581" t="s">
        <v>20</v>
      </c>
      <c r="F5581" t="str">
        <f>"43614"</f>
        <v>43614</v>
      </c>
      <c r="G5581" t="str">
        <f t="shared" si="197"/>
        <v>716165</v>
      </c>
      <c r="H5581" s="2">
        <f>10</f>
        <v>10</v>
      </c>
      <c r="I5581" t="s">
        <v>27</v>
      </c>
      <c r="J5581" t="s">
        <v>34</v>
      </c>
      <c r="K5581" t="str">
        <f>"124274"</f>
        <v>124274</v>
      </c>
    </row>
    <row r="5582" spans="1:11" x14ac:dyDescent="0.25">
      <c r="A5582">
        <v>2024</v>
      </c>
      <c r="B5582" t="s">
        <v>7204</v>
      </c>
      <c r="C5582" t="s">
        <v>7205</v>
      </c>
      <c r="D5582" t="s">
        <v>105</v>
      </c>
      <c r="E5582" t="s">
        <v>20</v>
      </c>
      <c r="F5582" t="str">
        <f>"43528-7910"</f>
        <v>43528-7910</v>
      </c>
      <c r="G5582" t="str">
        <f t="shared" si="197"/>
        <v>716165</v>
      </c>
      <c r="H5582" s="2">
        <f>10</f>
        <v>10</v>
      </c>
      <c r="I5582" t="s">
        <v>27</v>
      </c>
      <c r="J5582" t="s">
        <v>34</v>
      </c>
      <c r="K5582" t="str">
        <f>"125164"</f>
        <v>125164</v>
      </c>
    </row>
    <row r="5583" spans="1:11" x14ac:dyDescent="0.25">
      <c r="A5583">
        <v>2024</v>
      </c>
      <c r="B5583" t="s">
        <v>7204</v>
      </c>
      <c r="C5583" t="s">
        <v>7205</v>
      </c>
      <c r="D5583" t="s">
        <v>105</v>
      </c>
      <c r="E5583" t="s">
        <v>20</v>
      </c>
      <c r="F5583" t="str">
        <f>"43528-7910"</f>
        <v>43528-7910</v>
      </c>
      <c r="G5583" t="str">
        <f t="shared" si="197"/>
        <v>716165</v>
      </c>
      <c r="H5583" s="2">
        <f>10</f>
        <v>10</v>
      </c>
      <c r="I5583" t="s">
        <v>27</v>
      </c>
      <c r="J5583" t="s">
        <v>34</v>
      </c>
      <c r="K5583" t="str">
        <f>"125068"</f>
        <v>125068</v>
      </c>
    </row>
    <row r="5584" spans="1:11" x14ac:dyDescent="0.25">
      <c r="A5584">
        <v>2024</v>
      </c>
      <c r="B5584" t="s">
        <v>7208</v>
      </c>
      <c r="C5584" t="s">
        <v>7209</v>
      </c>
      <c r="D5584" t="s">
        <v>19</v>
      </c>
      <c r="E5584" t="s">
        <v>20</v>
      </c>
      <c r="F5584" t="str">
        <f>"43623-3622"</f>
        <v>43623-3622</v>
      </c>
      <c r="G5584" t="str">
        <f t="shared" si="197"/>
        <v>716165</v>
      </c>
      <c r="H5584" s="2">
        <f>20</f>
        <v>20</v>
      </c>
      <c r="I5584" t="s">
        <v>27</v>
      </c>
      <c r="J5584" t="s">
        <v>34</v>
      </c>
      <c r="K5584" t="str">
        <f>"122221"</f>
        <v>122221</v>
      </c>
    </row>
    <row r="5585" spans="1:11" x14ac:dyDescent="0.25">
      <c r="A5585">
        <v>2024</v>
      </c>
      <c r="B5585" t="s">
        <v>7210</v>
      </c>
      <c r="C5585" t="s">
        <v>7211</v>
      </c>
      <c r="D5585" t="s">
        <v>50</v>
      </c>
      <c r="E5585" t="s">
        <v>20</v>
      </c>
      <c r="F5585" t="str">
        <f>"43560-1728"</f>
        <v>43560-1728</v>
      </c>
      <c r="G5585" t="str">
        <f t="shared" si="197"/>
        <v>716165</v>
      </c>
      <c r="H5585" s="2">
        <f>10</f>
        <v>10</v>
      </c>
      <c r="I5585" t="s">
        <v>27</v>
      </c>
      <c r="J5585" t="s">
        <v>34</v>
      </c>
      <c r="K5585" t="str">
        <f>"122677"</f>
        <v>122677</v>
      </c>
    </row>
    <row r="5586" spans="1:11" x14ac:dyDescent="0.25">
      <c r="A5586">
        <v>2024</v>
      </c>
      <c r="B5586" t="s">
        <v>7212</v>
      </c>
      <c r="C5586" t="s">
        <v>7213</v>
      </c>
      <c r="D5586" t="s">
        <v>19</v>
      </c>
      <c r="E5586" t="s">
        <v>20</v>
      </c>
      <c r="F5586" t="str">
        <f>"43614-2938"</f>
        <v>43614-2938</v>
      </c>
      <c r="G5586" t="str">
        <f t="shared" si="197"/>
        <v>716165</v>
      </c>
      <c r="H5586" s="2">
        <f>10</f>
        <v>10</v>
      </c>
      <c r="I5586" t="s">
        <v>27</v>
      </c>
      <c r="J5586" t="s">
        <v>34</v>
      </c>
      <c r="K5586" t="str">
        <f>"123202"</f>
        <v>123202</v>
      </c>
    </row>
    <row r="5587" spans="1:11" x14ac:dyDescent="0.25">
      <c r="A5587">
        <v>2024</v>
      </c>
      <c r="B5587" t="s">
        <v>7226</v>
      </c>
      <c r="C5587" t="s">
        <v>7227</v>
      </c>
      <c r="D5587" t="s">
        <v>19</v>
      </c>
      <c r="E5587" t="s">
        <v>20</v>
      </c>
      <c r="F5587" t="str">
        <f>"43612"</f>
        <v>43612</v>
      </c>
      <c r="G5587" t="str">
        <f>"719211"</f>
        <v>719211</v>
      </c>
      <c r="H5587" s="2">
        <f>900</f>
        <v>900</v>
      </c>
      <c r="I5587" t="s">
        <v>27</v>
      </c>
      <c r="J5587" t="s">
        <v>200</v>
      </c>
      <c r="K5587" t="str">
        <f>"N/A"</f>
        <v>N/A</v>
      </c>
    </row>
    <row r="5588" spans="1:11" x14ac:dyDescent="0.25">
      <c r="A5588">
        <v>2024</v>
      </c>
      <c r="B5588" t="s">
        <v>7254</v>
      </c>
      <c r="C5588" t="s">
        <v>7255</v>
      </c>
      <c r="D5588" t="s">
        <v>19</v>
      </c>
      <c r="E5588" t="s">
        <v>20</v>
      </c>
      <c r="F5588" t="str">
        <f>"43614"</f>
        <v>43614</v>
      </c>
      <c r="G5588" t="str">
        <f>"719211"</f>
        <v>719211</v>
      </c>
      <c r="H5588" s="2">
        <f>323.32</f>
        <v>323.32</v>
      </c>
      <c r="I5588" t="s">
        <v>27</v>
      </c>
      <c r="J5588" t="s">
        <v>200</v>
      </c>
      <c r="K5588" t="str">
        <f>"N/A"</f>
        <v>N/A</v>
      </c>
    </row>
    <row r="5589" spans="1:11" x14ac:dyDescent="0.25">
      <c r="A5589">
        <v>2024</v>
      </c>
      <c r="B5589" t="s">
        <v>7260</v>
      </c>
      <c r="C5589" t="s">
        <v>7261</v>
      </c>
      <c r="D5589" t="s">
        <v>19</v>
      </c>
      <c r="E5589" t="s">
        <v>20</v>
      </c>
      <c r="F5589" t="str">
        <f>"43613-1521"</f>
        <v>43613-1521</v>
      </c>
      <c r="G5589" t="str">
        <f>"716165"</f>
        <v>716165</v>
      </c>
      <c r="H5589" s="2">
        <f>10</f>
        <v>10</v>
      </c>
      <c r="I5589" t="s">
        <v>27</v>
      </c>
      <c r="J5589" t="s">
        <v>34</v>
      </c>
      <c r="K5589" t="str">
        <f>"122823"</f>
        <v>122823</v>
      </c>
    </row>
    <row r="5590" spans="1:11" x14ac:dyDescent="0.25">
      <c r="A5590">
        <v>2024</v>
      </c>
      <c r="B5590" t="s">
        <v>7262</v>
      </c>
      <c r="C5590" t="s">
        <v>7263</v>
      </c>
      <c r="D5590" t="s">
        <v>64</v>
      </c>
      <c r="E5590" t="s">
        <v>20</v>
      </c>
      <c r="F5590" t="str">
        <f>"43566"</f>
        <v>43566</v>
      </c>
      <c r="G5590" t="str">
        <f>"Je12122024"</f>
        <v>Je12122024</v>
      </c>
      <c r="H5590" s="2">
        <f>20</f>
        <v>20</v>
      </c>
      <c r="I5590" t="s">
        <v>15</v>
      </c>
      <c r="J5590" t="s">
        <v>1326</v>
      </c>
      <c r="K5590" t="str">
        <f>"60137279"</f>
        <v>60137279</v>
      </c>
    </row>
    <row r="5591" spans="1:11" x14ac:dyDescent="0.25">
      <c r="A5591">
        <v>2024</v>
      </c>
      <c r="B5591" t="s">
        <v>7268</v>
      </c>
      <c r="C5591" t="s">
        <v>7269</v>
      </c>
      <c r="D5591" t="s">
        <v>125</v>
      </c>
      <c r="E5591" t="s">
        <v>20</v>
      </c>
      <c r="F5591" t="str">
        <f>"43537-1548"</f>
        <v>43537-1548</v>
      </c>
      <c r="G5591" t="str">
        <f>"716165"</f>
        <v>716165</v>
      </c>
      <c r="H5591" s="2">
        <f>20</f>
        <v>20</v>
      </c>
      <c r="I5591" t="s">
        <v>27</v>
      </c>
      <c r="J5591" t="s">
        <v>34</v>
      </c>
      <c r="K5591" t="str">
        <f>"121527"</f>
        <v>121527</v>
      </c>
    </row>
    <row r="5592" spans="1:11" x14ac:dyDescent="0.25">
      <c r="A5592">
        <v>2024</v>
      </c>
      <c r="B5592" t="s">
        <v>7270</v>
      </c>
      <c r="C5592" t="s">
        <v>7271</v>
      </c>
      <c r="D5592" t="s">
        <v>19</v>
      </c>
      <c r="E5592" t="s">
        <v>20</v>
      </c>
      <c r="F5592" t="str">
        <f>"43607"</f>
        <v>43607</v>
      </c>
      <c r="G5592" t="str">
        <f>"Je12122024"</f>
        <v>Je12122024</v>
      </c>
      <c r="H5592" s="2">
        <f>372.42</f>
        <v>372.42</v>
      </c>
      <c r="I5592" t="s">
        <v>15</v>
      </c>
      <c r="J5592" t="s">
        <v>1326</v>
      </c>
      <c r="K5592" t="str">
        <f>"60131742"</f>
        <v>60131742</v>
      </c>
    </row>
    <row r="5593" spans="1:11" x14ac:dyDescent="0.25">
      <c r="A5593">
        <v>2024</v>
      </c>
      <c r="B5593" t="s">
        <v>7288</v>
      </c>
      <c r="C5593" t="s">
        <v>7290</v>
      </c>
      <c r="D5593" t="s">
        <v>19</v>
      </c>
      <c r="E5593" t="s">
        <v>20</v>
      </c>
      <c r="F5593" t="str">
        <f>"43607"</f>
        <v>43607</v>
      </c>
      <c r="G5593" t="str">
        <f>"701123"</f>
        <v>701123</v>
      </c>
      <c r="H5593" s="2">
        <f>5</f>
        <v>5</v>
      </c>
      <c r="I5593" t="s">
        <v>148</v>
      </c>
      <c r="J5593" t="s">
        <v>7291</v>
      </c>
      <c r="K5593" t="str">
        <f>"26769"</f>
        <v>26769</v>
      </c>
    </row>
    <row r="5594" spans="1:11" x14ac:dyDescent="0.25">
      <c r="A5594">
        <v>2024</v>
      </c>
      <c r="B5594" t="s">
        <v>7296</v>
      </c>
      <c r="C5594" t="s">
        <v>7297</v>
      </c>
      <c r="D5594" t="s">
        <v>19</v>
      </c>
      <c r="E5594" t="s">
        <v>20</v>
      </c>
      <c r="F5594" t="str">
        <f>"43605-1751"</f>
        <v>43605-1751</v>
      </c>
      <c r="G5594" t="str">
        <f>"716165"</f>
        <v>716165</v>
      </c>
      <c r="H5594" s="2">
        <f>10</f>
        <v>10</v>
      </c>
      <c r="I5594" t="s">
        <v>27</v>
      </c>
      <c r="J5594" t="s">
        <v>34</v>
      </c>
      <c r="K5594" t="str">
        <f>"124154"</f>
        <v>124154</v>
      </c>
    </row>
    <row r="5595" spans="1:11" x14ac:dyDescent="0.25">
      <c r="A5595">
        <v>2024</v>
      </c>
      <c r="B5595" t="s">
        <v>7306</v>
      </c>
      <c r="C5595" t="s">
        <v>7307</v>
      </c>
      <c r="D5595" t="s">
        <v>1163</v>
      </c>
      <c r="E5595" t="s">
        <v>20</v>
      </c>
      <c r="F5595" t="str">
        <f>"45201"</f>
        <v>45201</v>
      </c>
      <c r="G5595" t="str">
        <f t="shared" ref="G5595:G5618" si="198">"716166"</f>
        <v>716166</v>
      </c>
      <c r="H5595" s="2">
        <f>550</f>
        <v>550</v>
      </c>
      <c r="I5595" t="s">
        <v>27</v>
      </c>
      <c r="J5595" t="s">
        <v>262</v>
      </c>
      <c r="K5595" t="str">
        <f>"43582"</f>
        <v>43582</v>
      </c>
    </row>
    <row r="5596" spans="1:11" x14ac:dyDescent="0.25">
      <c r="A5596">
        <v>2024</v>
      </c>
      <c r="B5596" t="s">
        <v>7306</v>
      </c>
      <c r="C5596" t="s">
        <v>7308</v>
      </c>
      <c r="D5596" t="s">
        <v>1163</v>
      </c>
      <c r="E5596" t="s">
        <v>20</v>
      </c>
      <c r="F5596" t="str">
        <f>"45201"</f>
        <v>45201</v>
      </c>
      <c r="G5596" t="str">
        <f t="shared" si="198"/>
        <v>716166</v>
      </c>
      <c r="H5596" s="2">
        <f>108.96</f>
        <v>108.96</v>
      </c>
      <c r="I5596" t="s">
        <v>27</v>
      </c>
      <c r="J5596" t="s">
        <v>262</v>
      </c>
      <c r="K5596" t="str">
        <f>"43237"</f>
        <v>43237</v>
      </c>
    </row>
    <row r="5597" spans="1:11" x14ac:dyDescent="0.25">
      <c r="A5597">
        <v>2024</v>
      </c>
      <c r="B5597" t="s">
        <v>7306</v>
      </c>
      <c r="C5597" t="s">
        <v>7303</v>
      </c>
      <c r="D5597" t="s">
        <v>1163</v>
      </c>
      <c r="E5597" t="s">
        <v>20</v>
      </c>
      <c r="F5597" t="str">
        <f>"45201"</f>
        <v>45201</v>
      </c>
      <c r="G5597" t="str">
        <f t="shared" si="198"/>
        <v>716166</v>
      </c>
      <c r="H5597" s="2">
        <f>550</f>
        <v>550</v>
      </c>
      <c r="I5597" t="s">
        <v>27</v>
      </c>
      <c r="J5597" t="s">
        <v>262</v>
      </c>
      <c r="K5597" t="str">
        <f>"43245"</f>
        <v>43245</v>
      </c>
    </row>
    <row r="5598" spans="1:11" x14ac:dyDescent="0.25">
      <c r="A5598">
        <v>2024</v>
      </c>
      <c r="B5598" t="s">
        <v>7306</v>
      </c>
      <c r="C5598" t="s">
        <v>7304</v>
      </c>
      <c r="D5598" t="s">
        <v>1163</v>
      </c>
      <c r="E5598" t="s">
        <v>20</v>
      </c>
      <c r="F5598" t="str">
        <f>"45201"</f>
        <v>45201</v>
      </c>
      <c r="G5598" t="str">
        <f t="shared" si="198"/>
        <v>716166</v>
      </c>
      <c r="H5598" s="2">
        <f>82.85</f>
        <v>82.85</v>
      </c>
      <c r="I5598" t="s">
        <v>27</v>
      </c>
      <c r="J5598" t="s">
        <v>262</v>
      </c>
      <c r="K5598" t="str">
        <f>"40917"</f>
        <v>40917</v>
      </c>
    </row>
    <row r="5599" spans="1:11" x14ac:dyDescent="0.25">
      <c r="A5599">
        <v>2024</v>
      </c>
      <c r="B5599" t="s">
        <v>7306</v>
      </c>
      <c r="C5599" t="s">
        <v>7303</v>
      </c>
      <c r="D5599" t="s">
        <v>1163</v>
      </c>
      <c r="E5599" t="s">
        <v>20</v>
      </c>
      <c r="F5599" t="str">
        <f>"45202"</f>
        <v>45202</v>
      </c>
      <c r="G5599" t="str">
        <f t="shared" si="198"/>
        <v>716166</v>
      </c>
      <c r="H5599" s="2">
        <f>112.05</f>
        <v>112.05</v>
      </c>
      <c r="I5599" t="s">
        <v>27</v>
      </c>
      <c r="J5599" t="s">
        <v>262</v>
      </c>
      <c r="K5599" t="str">
        <f>"41072"</f>
        <v>41072</v>
      </c>
    </row>
    <row r="5600" spans="1:11" x14ac:dyDescent="0.25">
      <c r="A5600">
        <v>2024</v>
      </c>
      <c r="B5600" t="s">
        <v>7306</v>
      </c>
      <c r="C5600" t="s">
        <v>7303</v>
      </c>
      <c r="D5600" t="s">
        <v>1163</v>
      </c>
      <c r="E5600" t="s">
        <v>20</v>
      </c>
      <c r="F5600" t="str">
        <f>"45201"</f>
        <v>45201</v>
      </c>
      <c r="G5600" t="str">
        <f t="shared" si="198"/>
        <v>716166</v>
      </c>
      <c r="H5600" s="2">
        <f>550</f>
        <v>550</v>
      </c>
      <c r="I5600" t="s">
        <v>27</v>
      </c>
      <c r="J5600" t="s">
        <v>262</v>
      </c>
      <c r="K5600" t="str">
        <f>"41100"</f>
        <v>41100</v>
      </c>
    </row>
    <row r="5601" spans="1:11" x14ac:dyDescent="0.25">
      <c r="A5601">
        <v>2024</v>
      </c>
      <c r="B5601" t="s">
        <v>7306</v>
      </c>
      <c r="C5601" t="s">
        <v>7303</v>
      </c>
      <c r="D5601" t="s">
        <v>1163</v>
      </c>
      <c r="E5601" t="s">
        <v>20</v>
      </c>
      <c r="F5601" t="str">
        <f>"45202"</f>
        <v>45202</v>
      </c>
      <c r="G5601" t="str">
        <f t="shared" si="198"/>
        <v>716166</v>
      </c>
      <c r="H5601" s="2">
        <f>550</f>
        <v>550</v>
      </c>
      <c r="I5601" t="s">
        <v>27</v>
      </c>
      <c r="J5601" t="s">
        <v>262</v>
      </c>
      <c r="K5601" t="str">
        <f>"41393"</f>
        <v>41393</v>
      </c>
    </row>
    <row r="5602" spans="1:11" x14ac:dyDescent="0.25">
      <c r="A5602">
        <v>2024</v>
      </c>
      <c r="B5602" t="s">
        <v>7306</v>
      </c>
      <c r="C5602" t="s">
        <v>7303</v>
      </c>
      <c r="D5602" t="s">
        <v>1163</v>
      </c>
      <c r="E5602" t="s">
        <v>20</v>
      </c>
      <c r="F5602" t="str">
        <f>"45201"</f>
        <v>45201</v>
      </c>
      <c r="G5602" t="str">
        <f t="shared" si="198"/>
        <v>716166</v>
      </c>
      <c r="H5602" s="2">
        <f>548.55</f>
        <v>548.54999999999995</v>
      </c>
      <c r="I5602" t="s">
        <v>27</v>
      </c>
      <c r="J5602" t="s">
        <v>262</v>
      </c>
      <c r="K5602" t="str">
        <f>"41420"</f>
        <v>41420</v>
      </c>
    </row>
    <row r="5603" spans="1:11" x14ac:dyDescent="0.25">
      <c r="A5603">
        <v>2024</v>
      </c>
      <c r="B5603" t="s">
        <v>7306</v>
      </c>
      <c r="C5603" t="s">
        <v>7303</v>
      </c>
      <c r="D5603" t="s">
        <v>1163</v>
      </c>
      <c r="E5603" t="s">
        <v>20</v>
      </c>
      <c r="F5603" t="str">
        <f>"45201"</f>
        <v>45201</v>
      </c>
      <c r="G5603" t="str">
        <f t="shared" si="198"/>
        <v>716166</v>
      </c>
      <c r="H5603" s="2">
        <f>550</f>
        <v>550</v>
      </c>
      <c r="I5603" t="s">
        <v>27</v>
      </c>
      <c r="J5603" t="s">
        <v>262</v>
      </c>
      <c r="K5603" t="str">
        <f>"41146"</f>
        <v>41146</v>
      </c>
    </row>
    <row r="5604" spans="1:11" x14ac:dyDescent="0.25">
      <c r="A5604">
        <v>2024</v>
      </c>
      <c r="B5604" t="s">
        <v>7306</v>
      </c>
      <c r="C5604" t="s">
        <v>7309</v>
      </c>
      <c r="D5604" t="s">
        <v>1163</v>
      </c>
      <c r="E5604" t="s">
        <v>20</v>
      </c>
      <c r="F5604" t="str">
        <f>"45201"</f>
        <v>45201</v>
      </c>
      <c r="G5604" t="str">
        <f t="shared" si="198"/>
        <v>716166</v>
      </c>
      <c r="H5604" s="2">
        <f>550</f>
        <v>550</v>
      </c>
      <c r="I5604" t="s">
        <v>27</v>
      </c>
      <c r="J5604" t="s">
        <v>262</v>
      </c>
      <c r="K5604" t="str">
        <f>"41148"</f>
        <v>41148</v>
      </c>
    </row>
    <row r="5605" spans="1:11" x14ac:dyDescent="0.25">
      <c r="A5605">
        <v>2024</v>
      </c>
      <c r="B5605" t="s">
        <v>7306</v>
      </c>
      <c r="C5605" t="s">
        <v>7310</v>
      </c>
      <c r="D5605" t="s">
        <v>1163</v>
      </c>
      <c r="E5605" t="s">
        <v>20</v>
      </c>
      <c r="F5605" t="str">
        <f>"45202"</f>
        <v>45202</v>
      </c>
      <c r="G5605" t="str">
        <f t="shared" si="198"/>
        <v>716166</v>
      </c>
      <c r="H5605" s="2">
        <f>550</f>
        <v>550</v>
      </c>
      <c r="I5605" t="s">
        <v>27</v>
      </c>
      <c r="J5605" t="s">
        <v>262</v>
      </c>
      <c r="K5605" t="str">
        <f>"41691"</f>
        <v>41691</v>
      </c>
    </row>
    <row r="5606" spans="1:11" x14ac:dyDescent="0.25">
      <c r="A5606">
        <v>2024</v>
      </c>
      <c r="B5606" t="s">
        <v>7306</v>
      </c>
      <c r="C5606" t="s">
        <v>7310</v>
      </c>
      <c r="D5606" t="s">
        <v>1163</v>
      </c>
      <c r="E5606" t="s">
        <v>20</v>
      </c>
      <c r="F5606" t="str">
        <f>"45201"</f>
        <v>45201</v>
      </c>
      <c r="G5606" t="str">
        <f t="shared" si="198"/>
        <v>716166</v>
      </c>
      <c r="H5606" s="2">
        <f>550</f>
        <v>550</v>
      </c>
      <c r="I5606" t="s">
        <v>27</v>
      </c>
      <c r="J5606" t="s">
        <v>262</v>
      </c>
      <c r="K5606" t="str">
        <f>"41715"</f>
        <v>41715</v>
      </c>
    </row>
    <row r="5607" spans="1:11" x14ac:dyDescent="0.25">
      <c r="A5607">
        <v>2024</v>
      </c>
      <c r="B5607" t="s">
        <v>7306</v>
      </c>
      <c r="C5607" t="s">
        <v>7303</v>
      </c>
      <c r="D5607" t="s">
        <v>1163</v>
      </c>
      <c r="E5607" t="s">
        <v>20</v>
      </c>
      <c r="F5607" t="str">
        <f>"45201"</f>
        <v>45201</v>
      </c>
      <c r="G5607" t="str">
        <f t="shared" si="198"/>
        <v>716166</v>
      </c>
      <c r="H5607" s="2">
        <f>537.15</f>
        <v>537.15</v>
      </c>
      <c r="I5607" t="s">
        <v>27</v>
      </c>
      <c r="J5607" t="s">
        <v>262</v>
      </c>
      <c r="K5607" t="str">
        <f>"41739"</f>
        <v>41739</v>
      </c>
    </row>
    <row r="5608" spans="1:11" x14ac:dyDescent="0.25">
      <c r="A5608">
        <v>2024</v>
      </c>
      <c r="B5608" t="s">
        <v>7306</v>
      </c>
      <c r="C5608" t="s">
        <v>7311</v>
      </c>
      <c r="D5608" t="s">
        <v>1163</v>
      </c>
      <c r="E5608" t="s">
        <v>20</v>
      </c>
      <c r="F5608" t="str">
        <f>"45202"</f>
        <v>45202</v>
      </c>
      <c r="G5608" t="str">
        <f t="shared" si="198"/>
        <v>716166</v>
      </c>
      <c r="H5608" s="2">
        <f>548.55</f>
        <v>548.54999999999995</v>
      </c>
      <c r="I5608" t="s">
        <v>27</v>
      </c>
      <c r="J5608" t="s">
        <v>262</v>
      </c>
      <c r="K5608" t="str">
        <f>"42083"</f>
        <v>42083</v>
      </c>
    </row>
    <row r="5609" spans="1:11" x14ac:dyDescent="0.25">
      <c r="A5609">
        <v>2024</v>
      </c>
      <c r="B5609" t="s">
        <v>7306</v>
      </c>
      <c r="C5609" t="s">
        <v>7312</v>
      </c>
      <c r="D5609" t="s">
        <v>1163</v>
      </c>
      <c r="E5609" t="s">
        <v>20</v>
      </c>
      <c r="F5609" t="str">
        <f>"45202"</f>
        <v>45202</v>
      </c>
      <c r="G5609" t="str">
        <f t="shared" si="198"/>
        <v>716166</v>
      </c>
      <c r="H5609" s="2">
        <f>550</f>
        <v>550</v>
      </c>
      <c r="I5609" t="s">
        <v>27</v>
      </c>
      <c r="J5609" t="s">
        <v>262</v>
      </c>
      <c r="K5609" t="str">
        <f>"42084"</f>
        <v>42084</v>
      </c>
    </row>
    <row r="5610" spans="1:11" x14ac:dyDescent="0.25">
      <c r="A5610">
        <v>2024</v>
      </c>
      <c r="B5610" t="s">
        <v>7306</v>
      </c>
      <c r="C5610" t="s">
        <v>7303</v>
      </c>
      <c r="D5610" t="s">
        <v>1163</v>
      </c>
      <c r="E5610" t="s">
        <v>20</v>
      </c>
      <c r="F5610" t="str">
        <f>"45201"</f>
        <v>45201</v>
      </c>
      <c r="G5610" t="str">
        <f t="shared" si="198"/>
        <v>716166</v>
      </c>
      <c r="H5610" s="2">
        <f>550</f>
        <v>550</v>
      </c>
      <c r="I5610" t="s">
        <v>27</v>
      </c>
      <c r="J5610" t="s">
        <v>262</v>
      </c>
      <c r="K5610" t="str">
        <f>"42343"</f>
        <v>42343</v>
      </c>
    </row>
    <row r="5611" spans="1:11" x14ac:dyDescent="0.25">
      <c r="A5611">
        <v>2024</v>
      </c>
      <c r="B5611" t="s">
        <v>7306</v>
      </c>
      <c r="C5611" t="s">
        <v>7303</v>
      </c>
      <c r="D5611" t="s">
        <v>1163</v>
      </c>
      <c r="E5611" t="s">
        <v>20</v>
      </c>
      <c r="F5611" t="str">
        <f>"45201"</f>
        <v>45201</v>
      </c>
      <c r="G5611" t="str">
        <f t="shared" si="198"/>
        <v>716166</v>
      </c>
      <c r="H5611" s="2">
        <f>47.4</f>
        <v>47.4</v>
      </c>
      <c r="I5611" t="s">
        <v>27</v>
      </c>
      <c r="J5611" t="s">
        <v>262</v>
      </c>
      <c r="K5611" t="str">
        <f>"42781"</f>
        <v>42781</v>
      </c>
    </row>
    <row r="5612" spans="1:11" x14ac:dyDescent="0.25">
      <c r="A5612">
        <v>2024</v>
      </c>
      <c r="B5612" t="s">
        <v>7306</v>
      </c>
      <c r="C5612" t="s">
        <v>7313</v>
      </c>
      <c r="D5612" t="s">
        <v>1163</v>
      </c>
      <c r="E5612" t="s">
        <v>20</v>
      </c>
      <c r="F5612" t="str">
        <f>"45201"</f>
        <v>45201</v>
      </c>
      <c r="G5612" t="str">
        <f t="shared" si="198"/>
        <v>716166</v>
      </c>
      <c r="H5612" s="2">
        <f>546.3</f>
        <v>546.29999999999995</v>
      </c>
      <c r="I5612" t="s">
        <v>27</v>
      </c>
      <c r="J5612" t="s">
        <v>262</v>
      </c>
      <c r="K5612" t="str">
        <f>"43082"</f>
        <v>43082</v>
      </c>
    </row>
    <row r="5613" spans="1:11" x14ac:dyDescent="0.25">
      <c r="A5613">
        <v>2024</v>
      </c>
      <c r="B5613" t="s">
        <v>7306</v>
      </c>
      <c r="C5613" t="s">
        <v>7303</v>
      </c>
      <c r="D5613" t="s">
        <v>1163</v>
      </c>
      <c r="E5613" t="s">
        <v>20</v>
      </c>
      <c r="F5613" t="str">
        <f>"45201"</f>
        <v>45201</v>
      </c>
      <c r="G5613" t="str">
        <f t="shared" si="198"/>
        <v>716166</v>
      </c>
      <c r="H5613" s="2">
        <f>302.25</f>
        <v>302.25</v>
      </c>
      <c r="I5613" t="s">
        <v>27</v>
      </c>
      <c r="J5613" t="s">
        <v>262</v>
      </c>
      <c r="K5613" t="str">
        <f>"43084"</f>
        <v>43084</v>
      </c>
    </row>
    <row r="5614" spans="1:11" x14ac:dyDescent="0.25">
      <c r="A5614">
        <v>2024</v>
      </c>
      <c r="B5614" t="s">
        <v>7306</v>
      </c>
      <c r="C5614" t="s">
        <v>7303</v>
      </c>
      <c r="D5614" t="s">
        <v>1163</v>
      </c>
      <c r="E5614" t="s">
        <v>20</v>
      </c>
      <c r="F5614" t="str">
        <f>"45202"</f>
        <v>45202</v>
      </c>
      <c r="G5614" t="str">
        <f t="shared" si="198"/>
        <v>716166</v>
      </c>
      <c r="H5614" s="2">
        <f>330</f>
        <v>330</v>
      </c>
      <c r="I5614" t="s">
        <v>27</v>
      </c>
      <c r="J5614" t="s">
        <v>262</v>
      </c>
      <c r="K5614" t="str">
        <f>"43079"</f>
        <v>43079</v>
      </c>
    </row>
    <row r="5615" spans="1:11" x14ac:dyDescent="0.25">
      <c r="A5615">
        <v>2024</v>
      </c>
      <c r="B5615" t="s">
        <v>7306</v>
      </c>
      <c r="C5615" t="s">
        <v>7303</v>
      </c>
      <c r="D5615" t="s">
        <v>1163</v>
      </c>
      <c r="E5615" t="s">
        <v>20</v>
      </c>
      <c r="F5615" t="str">
        <f>"45201"</f>
        <v>45201</v>
      </c>
      <c r="G5615" t="str">
        <f t="shared" si="198"/>
        <v>716166</v>
      </c>
      <c r="H5615" s="2">
        <f>393.85</f>
        <v>393.85</v>
      </c>
      <c r="I5615" t="s">
        <v>27</v>
      </c>
      <c r="J5615" t="s">
        <v>262</v>
      </c>
      <c r="K5615" t="str">
        <f>"42350"</f>
        <v>42350</v>
      </c>
    </row>
    <row r="5616" spans="1:11" x14ac:dyDescent="0.25">
      <c r="A5616">
        <v>2024</v>
      </c>
      <c r="B5616" t="s">
        <v>7306</v>
      </c>
      <c r="C5616" t="s">
        <v>7303</v>
      </c>
      <c r="D5616" t="s">
        <v>1163</v>
      </c>
      <c r="E5616" t="s">
        <v>20</v>
      </c>
      <c r="F5616" t="str">
        <f>"45201"</f>
        <v>45201</v>
      </c>
      <c r="G5616" t="str">
        <f t="shared" si="198"/>
        <v>716166</v>
      </c>
      <c r="H5616" s="2">
        <f>401.35</f>
        <v>401.35</v>
      </c>
      <c r="I5616" t="s">
        <v>27</v>
      </c>
      <c r="J5616" t="s">
        <v>262</v>
      </c>
      <c r="K5616" t="str">
        <f>"42351"</f>
        <v>42351</v>
      </c>
    </row>
    <row r="5617" spans="1:11" x14ac:dyDescent="0.25">
      <c r="A5617">
        <v>2024</v>
      </c>
      <c r="B5617" t="s">
        <v>7306</v>
      </c>
      <c r="C5617" t="s">
        <v>7304</v>
      </c>
      <c r="D5617" t="s">
        <v>1163</v>
      </c>
      <c r="E5617" t="s">
        <v>20</v>
      </c>
      <c r="F5617" t="str">
        <f>"45201"</f>
        <v>45201</v>
      </c>
      <c r="G5617" t="str">
        <f t="shared" si="198"/>
        <v>716166</v>
      </c>
      <c r="H5617" s="2">
        <f>548.55</f>
        <v>548.54999999999995</v>
      </c>
      <c r="I5617" t="s">
        <v>27</v>
      </c>
      <c r="J5617" t="s">
        <v>262</v>
      </c>
      <c r="K5617" t="str">
        <f>"42637"</f>
        <v>42637</v>
      </c>
    </row>
    <row r="5618" spans="1:11" x14ac:dyDescent="0.25">
      <c r="A5618">
        <v>2024</v>
      </c>
      <c r="B5618" t="s">
        <v>7306</v>
      </c>
      <c r="C5618" t="s">
        <v>1162</v>
      </c>
      <c r="D5618" t="s">
        <v>1163</v>
      </c>
      <c r="E5618" t="s">
        <v>20</v>
      </c>
      <c r="F5618" t="str">
        <f>"45201"</f>
        <v>45201</v>
      </c>
      <c r="G5618" t="str">
        <f t="shared" si="198"/>
        <v>716166</v>
      </c>
      <c r="H5618" s="2">
        <f>409.35</f>
        <v>409.35</v>
      </c>
      <c r="I5618" t="s">
        <v>27</v>
      </c>
      <c r="J5618" t="s">
        <v>262</v>
      </c>
      <c r="K5618" t="str">
        <f>"42642"</f>
        <v>42642</v>
      </c>
    </row>
    <row r="5619" spans="1:11" x14ac:dyDescent="0.25">
      <c r="A5619">
        <v>2024</v>
      </c>
      <c r="B5619" t="s">
        <v>7316</v>
      </c>
      <c r="C5619" t="s">
        <v>7317</v>
      </c>
      <c r="D5619" t="s">
        <v>19</v>
      </c>
      <c r="E5619" t="s">
        <v>20</v>
      </c>
      <c r="F5619" t="str">
        <f>"43614"</f>
        <v>43614</v>
      </c>
      <c r="G5619" t="str">
        <f>"716165"</f>
        <v>716165</v>
      </c>
      <c r="H5619" s="2">
        <f>10</f>
        <v>10</v>
      </c>
      <c r="I5619" t="s">
        <v>27</v>
      </c>
      <c r="J5619" t="s">
        <v>34</v>
      </c>
      <c r="K5619" t="str">
        <f>"124310"</f>
        <v>124310</v>
      </c>
    </row>
    <row r="5620" spans="1:11" x14ac:dyDescent="0.25">
      <c r="A5620">
        <v>2024</v>
      </c>
      <c r="B5620" t="s">
        <v>7325</v>
      </c>
      <c r="C5620" t="s">
        <v>7326</v>
      </c>
      <c r="D5620" t="s">
        <v>19</v>
      </c>
      <c r="E5620" t="s">
        <v>20</v>
      </c>
      <c r="F5620" t="str">
        <f>"43606"</f>
        <v>43606</v>
      </c>
      <c r="G5620" t="str">
        <f>"Je12122024"</f>
        <v>Je12122024</v>
      </c>
      <c r="H5620" s="2">
        <f>20</f>
        <v>20</v>
      </c>
      <c r="I5620" t="s">
        <v>15</v>
      </c>
      <c r="J5620" t="s">
        <v>1326</v>
      </c>
      <c r="K5620" t="str">
        <f>"60137294"</f>
        <v>60137294</v>
      </c>
    </row>
    <row r="5621" spans="1:11" x14ac:dyDescent="0.25">
      <c r="A5621">
        <v>2024</v>
      </c>
      <c r="B5621" t="s">
        <v>7327</v>
      </c>
      <c r="C5621" t="s">
        <v>7328</v>
      </c>
      <c r="D5621" t="s">
        <v>19</v>
      </c>
      <c r="E5621" t="s">
        <v>20</v>
      </c>
      <c r="F5621" t="str">
        <f>"43609-1637"</f>
        <v>43609-1637</v>
      </c>
      <c r="G5621" t="str">
        <f>"716165"</f>
        <v>716165</v>
      </c>
      <c r="H5621" s="2">
        <f>30</f>
        <v>30</v>
      </c>
      <c r="I5621" t="s">
        <v>27</v>
      </c>
      <c r="J5621" t="s">
        <v>34</v>
      </c>
      <c r="K5621" t="str">
        <f>"123904"</f>
        <v>123904</v>
      </c>
    </row>
    <row r="5622" spans="1:11" x14ac:dyDescent="0.25">
      <c r="A5622">
        <v>2024</v>
      </c>
      <c r="B5622" t="s">
        <v>7342</v>
      </c>
      <c r="C5622" t="s">
        <v>7343</v>
      </c>
      <c r="D5622" t="s">
        <v>19</v>
      </c>
      <c r="E5622" t="s">
        <v>20</v>
      </c>
      <c r="F5622" t="str">
        <f>"43623"</f>
        <v>43623</v>
      </c>
      <c r="G5622" t="str">
        <f>"Je10112024"</f>
        <v>Je10112024</v>
      </c>
      <c r="H5622" s="2">
        <f>20</f>
        <v>20</v>
      </c>
      <c r="I5622" t="s">
        <v>15</v>
      </c>
      <c r="J5622" t="s">
        <v>205</v>
      </c>
      <c r="K5622" t="str">
        <f>"60127887"</f>
        <v>60127887</v>
      </c>
    </row>
    <row r="5623" spans="1:11" x14ac:dyDescent="0.25">
      <c r="A5623">
        <v>2024</v>
      </c>
      <c r="B5623" t="s">
        <v>7346</v>
      </c>
      <c r="C5623" t="s">
        <v>7347</v>
      </c>
      <c r="D5623" t="s">
        <v>19</v>
      </c>
      <c r="E5623" t="s">
        <v>20</v>
      </c>
      <c r="F5623" t="str">
        <f>"43613"</f>
        <v>43613</v>
      </c>
      <c r="G5623" t="str">
        <f>"716165"</f>
        <v>716165</v>
      </c>
      <c r="H5623" s="2">
        <f>20</f>
        <v>20</v>
      </c>
      <c r="I5623" t="s">
        <v>27</v>
      </c>
      <c r="J5623" t="s">
        <v>34</v>
      </c>
      <c r="K5623" t="str">
        <f>"123482"</f>
        <v>123482</v>
      </c>
    </row>
    <row r="5624" spans="1:11" x14ac:dyDescent="0.25">
      <c r="A5624">
        <v>2024</v>
      </c>
      <c r="B5624" t="s">
        <v>7355</v>
      </c>
      <c r="C5624" t="s">
        <v>7356</v>
      </c>
      <c r="D5624" t="s">
        <v>7357</v>
      </c>
      <c r="E5624" t="s">
        <v>20</v>
      </c>
      <c r="F5624" t="str">
        <f>"44514"</f>
        <v>44514</v>
      </c>
      <c r="G5624" t="str">
        <f>"Je03262024"</f>
        <v>Je03262024</v>
      </c>
      <c r="H5624" s="2">
        <f>82</f>
        <v>82</v>
      </c>
      <c r="I5624" t="s">
        <v>15</v>
      </c>
      <c r="J5624" t="s">
        <v>21</v>
      </c>
      <c r="K5624" t="str">
        <f>"60111860"</f>
        <v>60111860</v>
      </c>
    </row>
    <row r="5625" spans="1:11" x14ac:dyDescent="0.25">
      <c r="A5625">
        <v>2024</v>
      </c>
      <c r="B5625" t="s">
        <v>7360</v>
      </c>
      <c r="C5625" t="s">
        <v>7361</v>
      </c>
      <c r="D5625" t="s">
        <v>58</v>
      </c>
      <c r="E5625" t="s">
        <v>20</v>
      </c>
      <c r="F5625" t="str">
        <f>"43616-3705"</f>
        <v>43616-3705</v>
      </c>
      <c r="G5625" t="str">
        <f>"716165"</f>
        <v>716165</v>
      </c>
      <c r="H5625" s="2">
        <f>10</f>
        <v>10</v>
      </c>
      <c r="I5625" t="s">
        <v>27</v>
      </c>
      <c r="J5625" t="s">
        <v>34</v>
      </c>
      <c r="K5625" t="str">
        <f>"121949"</f>
        <v>121949</v>
      </c>
    </row>
    <row r="5626" spans="1:11" x14ac:dyDescent="0.25">
      <c r="A5626">
        <v>2024</v>
      </c>
      <c r="B5626" t="s">
        <v>7368</v>
      </c>
      <c r="C5626" t="s">
        <v>7369</v>
      </c>
      <c r="D5626" t="s">
        <v>19</v>
      </c>
      <c r="E5626" t="s">
        <v>20</v>
      </c>
      <c r="F5626" t="str">
        <f>"43606"</f>
        <v>43606</v>
      </c>
      <c r="G5626" t="str">
        <f>"Je10112024"</f>
        <v>Je10112024</v>
      </c>
      <c r="H5626" s="2">
        <f>4312.36</f>
        <v>4312.3599999999997</v>
      </c>
      <c r="I5626" t="s">
        <v>15</v>
      </c>
      <c r="J5626" t="s">
        <v>205</v>
      </c>
      <c r="K5626" t="str">
        <f>"60131068"</f>
        <v>60131068</v>
      </c>
    </row>
    <row r="5627" spans="1:11" x14ac:dyDescent="0.25">
      <c r="A5627">
        <v>2024</v>
      </c>
      <c r="B5627" t="s">
        <v>7374</v>
      </c>
      <c r="C5627" t="s">
        <v>7375</v>
      </c>
      <c r="D5627" t="s">
        <v>19</v>
      </c>
      <c r="E5627" t="s">
        <v>20</v>
      </c>
      <c r="F5627" t="str">
        <f>"43613-4940"</f>
        <v>43613-4940</v>
      </c>
      <c r="G5627" t="str">
        <f>"716165"</f>
        <v>716165</v>
      </c>
      <c r="H5627" s="2">
        <f>100</f>
        <v>100</v>
      </c>
      <c r="I5627" t="s">
        <v>27</v>
      </c>
      <c r="J5627" t="s">
        <v>34</v>
      </c>
      <c r="K5627" t="str">
        <f>"122798"</f>
        <v>122798</v>
      </c>
    </row>
    <row r="5628" spans="1:11" x14ac:dyDescent="0.25">
      <c r="A5628">
        <v>2024</v>
      </c>
      <c r="B5628" t="s">
        <v>7376</v>
      </c>
      <c r="C5628" t="s">
        <v>7377</v>
      </c>
      <c r="D5628" t="s">
        <v>19</v>
      </c>
      <c r="E5628" t="s">
        <v>20</v>
      </c>
      <c r="F5628" t="str">
        <f>"43615-3340"</f>
        <v>43615-3340</v>
      </c>
      <c r="G5628" t="str">
        <f>"716165"</f>
        <v>716165</v>
      </c>
      <c r="H5628" s="2">
        <f>30</f>
        <v>30</v>
      </c>
      <c r="I5628" t="s">
        <v>27</v>
      </c>
      <c r="J5628" t="s">
        <v>34</v>
      </c>
      <c r="K5628" t="str">
        <f>"121735"</f>
        <v>121735</v>
      </c>
    </row>
    <row r="5629" spans="1:11" x14ac:dyDescent="0.25">
      <c r="A5629">
        <v>2024</v>
      </c>
      <c r="B5629" t="s">
        <v>7380</v>
      </c>
      <c r="C5629" t="s">
        <v>7381</v>
      </c>
      <c r="D5629" t="s">
        <v>19</v>
      </c>
      <c r="E5629" t="s">
        <v>20</v>
      </c>
      <c r="F5629" t="str">
        <f>"43615"</f>
        <v>43615</v>
      </c>
      <c r="G5629" t="str">
        <f>"716165"</f>
        <v>716165</v>
      </c>
      <c r="H5629" s="2">
        <f>10</f>
        <v>10</v>
      </c>
      <c r="I5629" t="s">
        <v>27</v>
      </c>
      <c r="J5629" t="s">
        <v>34</v>
      </c>
      <c r="K5629" t="str">
        <f>"123139"</f>
        <v>123139</v>
      </c>
    </row>
    <row r="5630" spans="1:11" x14ac:dyDescent="0.25">
      <c r="A5630">
        <v>2024</v>
      </c>
      <c r="B5630" t="s">
        <v>7387</v>
      </c>
      <c r="C5630" t="s">
        <v>7388</v>
      </c>
      <c r="D5630" t="s">
        <v>19</v>
      </c>
      <c r="E5630" t="s">
        <v>20</v>
      </c>
      <c r="F5630" t="str">
        <f>"43612"</f>
        <v>43612</v>
      </c>
      <c r="G5630" t="str">
        <f>"716165"</f>
        <v>716165</v>
      </c>
      <c r="H5630" s="2">
        <f>10</f>
        <v>10</v>
      </c>
      <c r="I5630" t="s">
        <v>27</v>
      </c>
      <c r="J5630" t="s">
        <v>34</v>
      </c>
      <c r="K5630" t="str">
        <f>"121688"</f>
        <v>121688</v>
      </c>
    </row>
    <row r="5631" spans="1:11" x14ac:dyDescent="0.25">
      <c r="A5631">
        <v>2024</v>
      </c>
      <c r="B5631" t="s">
        <v>7393</v>
      </c>
      <c r="C5631" t="s">
        <v>7394</v>
      </c>
      <c r="D5631" t="s">
        <v>105</v>
      </c>
      <c r="E5631" t="s">
        <v>20</v>
      </c>
      <c r="F5631" t="str">
        <f>"43528"</f>
        <v>43528</v>
      </c>
      <c r="G5631" t="str">
        <f>"Je08072024"</f>
        <v>Je08072024</v>
      </c>
      <c r="H5631" s="2">
        <f>61.37</f>
        <v>61.37</v>
      </c>
      <c r="I5631" t="s">
        <v>15</v>
      </c>
      <c r="J5631" t="s">
        <v>1647</v>
      </c>
      <c r="K5631" t="str">
        <f>"60117707"</f>
        <v>60117707</v>
      </c>
    </row>
    <row r="5632" spans="1:11" x14ac:dyDescent="0.25">
      <c r="A5632">
        <v>2024</v>
      </c>
      <c r="B5632" t="s">
        <v>7414</v>
      </c>
      <c r="C5632" t="s">
        <v>7415</v>
      </c>
      <c r="D5632" t="s">
        <v>50</v>
      </c>
      <c r="E5632" t="s">
        <v>20</v>
      </c>
      <c r="F5632" t="str">
        <f>"43560-1750"</f>
        <v>43560-1750</v>
      </c>
      <c r="G5632" t="str">
        <f>"716165"</f>
        <v>716165</v>
      </c>
      <c r="H5632" s="2">
        <f>40</f>
        <v>40</v>
      </c>
      <c r="I5632" t="s">
        <v>27</v>
      </c>
      <c r="J5632" t="s">
        <v>34</v>
      </c>
      <c r="K5632" t="str">
        <f>"125175"</f>
        <v>125175</v>
      </c>
    </row>
    <row r="5633" spans="1:11" x14ac:dyDescent="0.25">
      <c r="A5633">
        <v>2024</v>
      </c>
      <c r="B5633" t="s">
        <v>7422</v>
      </c>
      <c r="C5633" t="s">
        <v>7423</v>
      </c>
      <c r="D5633" t="s">
        <v>19</v>
      </c>
      <c r="E5633" t="s">
        <v>20</v>
      </c>
      <c r="F5633" t="str">
        <f>"43612-1107"</f>
        <v>43612-1107</v>
      </c>
      <c r="G5633" t="str">
        <f>"716165"</f>
        <v>716165</v>
      </c>
      <c r="H5633" s="2">
        <f>10</f>
        <v>10</v>
      </c>
      <c r="I5633" t="s">
        <v>27</v>
      </c>
      <c r="J5633" t="s">
        <v>34</v>
      </c>
      <c r="K5633" t="str">
        <f>"123984"</f>
        <v>123984</v>
      </c>
    </row>
    <row r="5634" spans="1:11" x14ac:dyDescent="0.25">
      <c r="A5634">
        <v>2024</v>
      </c>
      <c r="B5634" t="s">
        <v>7430</v>
      </c>
      <c r="C5634" t="s">
        <v>7431</v>
      </c>
      <c r="D5634" t="s">
        <v>125</v>
      </c>
      <c r="E5634" t="s">
        <v>20</v>
      </c>
      <c r="F5634" t="str">
        <f>"43537"</f>
        <v>43537</v>
      </c>
      <c r="G5634" t="str">
        <f>"701123"</f>
        <v>701123</v>
      </c>
      <c r="H5634" s="2">
        <f>10</f>
        <v>10</v>
      </c>
      <c r="I5634" t="s">
        <v>148</v>
      </c>
      <c r="J5634" t="s">
        <v>7432</v>
      </c>
      <c r="K5634" t="str">
        <f>"26769"</f>
        <v>26769</v>
      </c>
    </row>
    <row r="5635" spans="1:11" x14ac:dyDescent="0.25">
      <c r="A5635">
        <v>2024</v>
      </c>
      <c r="B5635" t="s">
        <v>7438</v>
      </c>
      <c r="C5635" t="s">
        <v>7439</v>
      </c>
      <c r="D5635" t="s">
        <v>19</v>
      </c>
      <c r="E5635" t="s">
        <v>20</v>
      </c>
      <c r="F5635" t="str">
        <f>"43614-3846"</f>
        <v>43614-3846</v>
      </c>
      <c r="G5635" t="str">
        <f>"716165"</f>
        <v>716165</v>
      </c>
      <c r="H5635" s="2">
        <f>30</f>
        <v>30</v>
      </c>
      <c r="I5635" t="s">
        <v>27</v>
      </c>
      <c r="J5635" t="s">
        <v>34</v>
      </c>
      <c r="K5635" t="str">
        <f>"121689"</f>
        <v>121689</v>
      </c>
    </row>
    <row r="5636" spans="1:11" x14ac:dyDescent="0.25">
      <c r="A5636">
        <v>2024</v>
      </c>
      <c r="B5636" t="s">
        <v>7444</v>
      </c>
      <c r="C5636" t="s">
        <v>7445</v>
      </c>
      <c r="D5636" t="s">
        <v>50</v>
      </c>
      <c r="E5636" t="s">
        <v>20</v>
      </c>
      <c r="F5636" t="str">
        <f>"43560-6304"</f>
        <v>43560-6304</v>
      </c>
      <c r="G5636" t="str">
        <f>"716165"</f>
        <v>716165</v>
      </c>
      <c r="H5636" s="2">
        <f>10</f>
        <v>10</v>
      </c>
      <c r="I5636" t="s">
        <v>27</v>
      </c>
      <c r="J5636" t="s">
        <v>34</v>
      </c>
      <c r="K5636" t="str">
        <f>"125030"</f>
        <v>125030</v>
      </c>
    </row>
    <row r="5637" spans="1:11" x14ac:dyDescent="0.25">
      <c r="A5637">
        <v>2024</v>
      </c>
      <c r="B5637" t="s">
        <v>7450</v>
      </c>
      <c r="C5637" t="s">
        <v>7451</v>
      </c>
      <c r="D5637" t="s">
        <v>50</v>
      </c>
      <c r="E5637" t="s">
        <v>20</v>
      </c>
      <c r="F5637" t="str">
        <f>"43560-3929"</f>
        <v>43560-3929</v>
      </c>
      <c r="G5637" t="str">
        <f>"716165"</f>
        <v>716165</v>
      </c>
      <c r="H5637" s="2">
        <f>40</f>
        <v>40</v>
      </c>
      <c r="I5637" t="s">
        <v>27</v>
      </c>
      <c r="J5637" t="s">
        <v>34</v>
      </c>
      <c r="K5637" t="str">
        <f>"121554"</f>
        <v>121554</v>
      </c>
    </row>
    <row r="5638" spans="1:11" x14ac:dyDescent="0.25">
      <c r="A5638">
        <v>2024</v>
      </c>
      <c r="B5638" t="s">
        <v>7450</v>
      </c>
      <c r="C5638" t="s">
        <v>7451</v>
      </c>
      <c r="D5638" t="s">
        <v>50</v>
      </c>
      <c r="E5638" t="s">
        <v>20</v>
      </c>
      <c r="F5638" t="str">
        <f>"43560-3929"</f>
        <v>43560-3929</v>
      </c>
      <c r="G5638" t="str">
        <f>"716165"</f>
        <v>716165</v>
      </c>
      <c r="H5638" s="2">
        <f>40</f>
        <v>40</v>
      </c>
      <c r="I5638" t="s">
        <v>27</v>
      </c>
      <c r="J5638" t="s">
        <v>34</v>
      </c>
      <c r="K5638" t="str">
        <f>"121633"</f>
        <v>121633</v>
      </c>
    </row>
    <row r="5639" spans="1:11" x14ac:dyDescent="0.25">
      <c r="A5639">
        <v>2024</v>
      </c>
      <c r="B5639" t="s">
        <v>7459</v>
      </c>
      <c r="C5639" t="s">
        <v>7457</v>
      </c>
      <c r="D5639" t="s">
        <v>19</v>
      </c>
      <c r="E5639" t="s">
        <v>20</v>
      </c>
      <c r="F5639" t="str">
        <f>"43606-1225"</f>
        <v>43606-1225</v>
      </c>
      <c r="G5639" t="str">
        <f>"716165"</f>
        <v>716165</v>
      </c>
      <c r="H5639" s="2">
        <f>10</f>
        <v>10</v>
      </c>
      <c r="I5639" t="s">
        <v>27</v>
      </c>
      <c r="J5639" t="s">
        <v>34</v>
      </c>
      <c r="K5639" t="str">
        <f>"124906"</f>
        <v>124906</v>
      </c>
    </row>
    <row r="5640" spans="1:11" x14ac:dyDescent="0.25">
      <c r="A5640">
        <v>2024</v>
      </c>
      <c r="B5640" t="s">
        <v>7474</v>
      </c>
      <c r="C5640" t="s">
        <v>7475</v>
      </c>
      <c r="D5640" t="s">
        <v>19</v>
      </c>
      <c r="E5640" t="s">
        <v>20</v>
      </c>
      <c r="F5640" t="str">
        <f>"43612"</f>
        <v>43612</v>
      </c>
      <c r="G5640" t="str">
        <f>"716619"</f>
        <v>716619</v>
      </c>
      <c r="H5640" s="2">
        <f>11</f>
        <v>11</v>
      </c>
      <c r="I5640" t="s">
        <v>27</v>
      </c>
      <c r="J5640" t="s">
        <v>34</v>
      </c>
      <c r="K5640" t="str">
        <f>"44010177"</f>
        <v>44010177</v>
      </c>
    </row>
    <row r="5641" spans="1:11" x14ac:dyDescent="0.25">
      <c r="A5641">
        <v>2024</v>
      </c>
      <c r="B5641" t="s">
        <v>7484</v>
      </c>
      <c r="C5641" t="s">
        <v>7486</v>
      </c>
      <c r="D5641" t="s">
        <v>19</v>
      </c>
      <c r="E5641" t="s">
        <v>20</v>
      </c>
      <c r="F5641" t="str">
        <f>"43624"</f>
        <v>43624</v>
      </c>
      <c r="G5641" t="str">
        <f>"716166"</f>
        <v>716166</v>
      </c>
      <c r="H5641" s="2">
        <f>67.75</f>
        <v>67.75</v>
      </c>
      <c r="I5641" t="s">
        <v>27</v>
      </c>
      <c r="J5641" t="s">
        <v>262</v>
      </c>
      <c r="K5641" t="str">
        <f>"40918"</f>
        <v>40918</v>
      </c>
    </row>
    <row r="5642" spans="1:11" x14ac:dyDescent="0.25">
      <c r="A5642">
        <v>2024</v>
      </c>
      <c r="B5642" t="s">
        <v>7489</v>
      </c>
      <c r="C5642" t="s">
        <v>7490</v>
      </c>
      <c r="D5642" t="s">
        <v>19</v>
      </c>
      <c r="E5642" t="s">
        <v>20</v>
      </c>
      <c r="F5642" t="str">
        <f>"43623-1459"</f>
        <v>43623-1459</v>
      </c>
      <c r="G5642" t="str">
        <f t="shared" ref="G5642:G5648" si="199">"716165"</f>
        <v>716165</v>
      </c>
      <c r="H5642" s="2">
        <f>10</f>
        <v>10</v>
      </c>
      <c r="I5642" t="s">
        <v>27</v>
      </c>
      <c r="J5642" t="s">
        <v>34</v>
      </c>
      <c r="K5642" t="str">
        <f>"122040"</f>
        <v>122040</v>
      </c>
    </row>
    <row r="5643" spans="1:11" x14ac:dyDescent="0.25">
      <c r="A5643">
        <v>2024</v>
      </c>
      <c r="B5643" t="s">
        <v>7495</v>
      </c>
      <c r="C5643" t="s">
        <v>7496</v>
      </c>
      <c r="D5643" t="s">
        <v>125</v>
      </c>
      <c r="E5643" t="s">
        <v>20</v>
      </c>
      <c r="F5643" t="str">
        <f>"43537-2507"</f>
        <v>43537-2507</v>
      </c>
      <c r="G5643" t="str">
        <f t="shared" si="199"/>
        <v>716165</v>
      </c>
      <c r="H5643" s="2">
        <f>20</f>
        <v>20</v>
      </c>
      <c r="I5643" t="s">
        <v>27</v>
      </c>
      <c r="J5643" t="s">
        <v>34</v>
      </c>
      <c r="K5643" t="str">
        <f>"123657"</f>
        <v>123657</v>
      </c>
    </row>
    <row r="5644" spans="1:11" x14ac:dyDescent="0.25">
      <c r="A5644">
        <v>2024</v>
      </c>
      <c r="B5644" t="s">
        <v>7540</v>
      </c>
      <c r="C5644" t="s">
        <v>7541</v>
      </c>
      <c r="D5644" t="s">
        <v>50</v>
      </c>
      <c r="E5644" t="s">
        <v>20</v>
      </c>
      <c r="F5644" t="str">
        <f>"43560-3118"</f>
        <v>43560-3118</v>
      </c>
      <c r="G5644" t="str">
        <f t="shared" si="199"/>
        <v>716165</v>
      </c>
      <c r="H5644" s="2">
        <f>10</f>
        <v>10</v>
      </c>
      <c r="I5644" t="s">
        <v>27</v>
      </c>
      <c r="J5644" t="s">
        <v>34</v>
      </c>
      <c r="K5644" t="str">
        <f>"125020"</f>
        <v>125020</v>
      </c>
    </row>
    <row r="5645" spans="1:11" x14ac:dyDescent="0.25">
      <c r="A5645">
        <v>2024</v>
      </c>
      <c r="B5645" t="s">
        <v>7559</v>
      </c>
      <c r="C5645" t="s">
        <v>7560</v>
      </c>
      <c r="D5645" t="s">
        <v>19</v>
      </c>
      <c r="E5645" t="s">
        <v>20</v>
      </c>
      <c r="F5645" t="str">
        <f>"43612-4257"</f>
        <v>43612-4257</v>
      </c>
      <c r="G5645" t="str">
        <f t="shared" si="199"/>
        <v>716165</v>
      </c>
      <c r="H5645" s="2">
        <f>10</f>
        <v>10</v>
      </c>
      <c r="I5645" t="s">
        <v>27</v>
      </c>
      <c r="J5645" t="s">
        <v>34</v>
      </c>
      <c r="K5645" t="str">
        <f>"123282"</f>
        <v>123282</v>
      </c>
    </row>
    <row r="5646" spans="1:11" x14ac:dyDescent="0.25">
      <c r="A5646">
        <v>2024</v>
      </c>
      <c r="B5646" t="s">
        <v>7565</v>
      </c>
      <c r="C5646" t="s">
        <v>7566</v>
      </c>
      <c r="D5646" t="s">
        <v>19</v>
      </c>
      <c r="E5646" t="s">
        <v>20</v>
      </c>
      <c r="F5646" t="str">
        <f>"43617-1901"</f>
        <v>43617-1901</v>
      </c>
      <c r="G5646" t="str">
        <f t="shared" si="199"/>
        <v>716165</v>
      </c>
      <c r="H5646" s="2">
        <f>20</f>
        <v>20</v>
      </c>
      <c r="I5646" t="s">
        <v>27</v>
      </c>
      <c r="J5646" t="s">
        <v>34</v>
      </c>
      <c r="K5646" t="str">
        <f>"121486"</f>
        <v>121486</v>
      </c>
    </row>
    <row r="5647" spans="1:11" x14ac:dyDescent="0.25">
      <c r="A5647">
        <v>2024</v>
      </c>
      <c r="B5647" t="s">
        <v>7575</v>
      </c>
      <c r="C5647" t="s">
        <v>7576</v>
      </c>
      <c r="D5647" t="s">
        <v>19</v>
      </c>
      <c r="E5647" t="s">
        <v>20</v>
      </c>
      <c r="F5647" t="str">
        <f>"43605-1618"</f>
        <v>43605-1618</v>
      </c>
      <c r="G5647" t="str">
        <f t="shared" si="199"/>
        <v>716165</v>
      </c>
      <c r="H5647" s="2">
        <f>40</f>
        <v>40</v>
      </c>
      <c r="I5647" t="s">
        <v>27</v>
      </c>
      <c r="J5647" t="s">
        <v>34</v>
      </c>
      <c r="K5647" t="str">
        <f>"124726"</f>
        <v>124726</v>
      </c>
    </row>
    <row r="5648" spans="1:11" x14ac:dyDescent="0.25">
      <c r="A5648">
        <v>2024</v>
      </c>
      <c r="B5648" t="s">
        <v>7575</v>
      </c>
      <c r="C5648" t="s">
        <v>7576</v>
      </c>
      <c r="D5648" t="s">
        <v>19</v>
      </c>
      <c r="E5648" t="s">
        <v>20</v>
      </c>
      <c r="F5648" t="str">
        <f>"43605-1618"</f>
        <v>43605-1618</v>
      </c>
      <c r="G5648" t="str">
        <f t="shared" si="199"/>
        <v>716165</v>
      </c>
      <c r="H5648" s="2">
        <f>30</f>
        <v>30</v>
      </c>
      <c r="I5648" t="s">
        <v>27</v>
      </c>
      <c r="J5648" t="s">
        <v>34</v>
      </c>
      <c r="K5648" t="str">
        <f>"124770"</f>
        <v>124770</v>
      </c>
    </row>
    <row r="5649" spans="1:11" x14ac:dyDescent="0.25">
      <c r="A5649">
        <v>2024</v>
      </c>
      <c r="B5649" t="s">
        <v>7616</v>
      </c>
      <c r="C5649" t="s">
        <v>7617</v>
      </c>
      <c r="D5649" t="s">
        <v>19</v>
      </c>
      <c r="E5649" t="s">
        <v>20</v>
      </c>
      <c r="F5649" t="str">
        <f>"43617"</f>
        <v>43617</v>
      </c>
      <c r="G5649" t="str">
        <f>"716619"</f>
        <v>716619</v>
      </c>
      <c r="H5649" s="2">
        <f>6</f>
        <v>6</v>
      </c>
      <c r="I5649" t="s">
        <v>27</v>
      </c>
      <c r="J5649" t="s">
        <v>34</v>
      </c>
      <c r="K5649" t="str">
        <f>"22025506"</f>
        <v>22025506</v>
      </c>
    </row>
    <row r="5650" spans="1:11" x14ac:dyDescent="0.25">
      <c r="A5650">
        <v>2024</v>
      </c>
      <c r="B5650" t="s">
        <v>7652</v>
      </c>
      <c r="C5650" t="s">
        <v>7653</v>
      </c>
      <c r="D5650" t="s">
        <v>19</v>
      </c>
      <c r="E5650" t="s">
        <v>20</v>
      </c>
      <c r="F5650" t="str">
        <f>"43614-4027"</f>
        <v>43614-4027</v>
      </c>
      <c r="G5650" t="str">
        <f t="shared" ref="G5650:G5655" si="200">"716165"</f>
        <v>716165</v>
      </c>
      <c r="H5650" s="2">
        <f>30</f>
        <v>30</v>
      </c>
      <c r="I5650" t="s">
        <v>27</v>
      </c>
      <c r="J5650" t="s">
        <v>34</v>
      </c>
      <c r="K5650" t="str">
        <f>"122115"</f>
        <v>122115</v>
      </c>
    </row>
    <row r="5651" spans="1:11" x14ac:dyDescent="0.25">
      <c r="A5651">
        <v>2024</v>
      </c>
      <c r="B5651" t="s">
        <v>7661</v>
      </c>
      <c r="C5651" t="s">
        <v>7662</v>
      </c>
      <c r="D5651" t="s">
        <v>50</v>
      </c>
      <c r="E5651" t="s">
        <v>20</v>
      </c>
      <c r="F5651" t="str">
        <f>"43560-9253"</f>
        <v>43560-9253</v>
      </c>
      <c r="G5651" t="str">
        <f t="shared" si="200"/>
        <v>716165</v>
      </c>
      <c r="H5651" s="2">
        <f>10</f>
        <v>10</v>
      </c>
      <c r="I5651" t="s">
        <v>27</v>
      </c>
      <c r="J5651" t="s">
        <v>34</v>
      </c>
      <c r="K5651" t="str">
        <f>"123779"</f>
        <v>123779</v>
      </c>
    </row>
    <row r="5652" spans="1:11" x14ac:dyDescent="0.25">
      <c r="A5652">
        <v>2024</v>
      </c>
      <c r="B5652" t="s">
        <v>7697</v>
      </c>
      <c r="C5652" t="s">
        <v>7698</v>
      </c>
      <c r="D5652" t="s">
        <v>19</v>
      </c>
      <c r="E5652" t="s">
        <v>20</v>
      </c>
      <c r="F5652" t="str">
        <f>"43609-1861"</f>
        <v>43609-1861</v>
      </c>
      <c r="G5652" t="str">
        <f t="shared" si="200"/>
        <v>716165</v>
      </c>
      <c r="H5652" s="2">
        <f>40</f>
        <v>40</v>
      </c>
      <c r="I5652" t="s">
        <v>27</v>
      </c>
      <c r="J5652" t="s">
        <v>34</v>
      </c>
      <c r="K5652" t="str">
        <f>"121019"</f>
        <v>121019</v>
      </c>
    </row>
    <row r="5653" spans="1:11" x14ac:dyDescent="0.25">
      <c r="A5653">
        <v>2024</v>
      </c>
      <c r="B5653" t="s">
        <v>7710</v>
      </c>
      <c r="C5653" t="s">
        <v>7711</v>
      </c>
      <c r="D5653" t="s">
        <v>323</v>
      </c>
      <c r="E5653" t="s">
        <v>20</v>
      </c>
      <c r="F5653" t="str">
        <f>"43571-9323"</f>
        <v>43571-9323</v>
      </c>
      <c r="G5653" t="str">
        <f t="shared" si="200"/>
        <v>716165</v>
      </c>
      <c r="H5653" s="2">
        <f>10</f>
        <v>10</v>
      </c>
      <c r="I5653" t="s">
        <v>27</v>
      </c>
      <c r="J5653" t="s">
        <v>34</v>
      </c>
      <c r="K5653" t="str">
        <f>"121820"</f>
        <v>121820</v>
      </c>
    </row>
    <row r="5654" spans="1:11" x14ac:dyDescent="0.25">
      <c r="A5654">
        <v>2024</v>
      </c>
      <c r="B5654" t="s">
        <v>7724</v>
      </c>
      <c r="C5654" t="s">
        <v>7725</v>
      </c>
      <c r="D5654" t="s">
        <v>19</v>
      </c>
      <c r="E5654" t="s">
        <v>20</v>
      </c>
      <c r="F5654" t="str">
        <f>"43615-5230"</f>
        <v>43615-5230</v>
      </c>
      <c r="G5654" t="str">
        <f t="shared" si="200"/>
        <v>716165</v>
      </c>
      <c r="H5654" s="2">
        <f>10</f>
        <v>10</v>
      </c>
      <c r="I5654" t="s">
        <v>27</v>
      </c>
      <c r="J5654" t="s">
        <v>34</v>
      </c>
      <c r="K5654" t="str">
        <f>"124282"</f>
        <v>124282</v>
      </c>
    </row>
    <row r="5655" spans="1:11" x14ac:dyDescent="0.25">
      <c r="A5655">
        <v>2024</v>
      </c>
      <c r="B5655" t="s">
        <v>7736</v>
      </c>
      <c r="C5655" t="s">
        <v>7737</v>
      </c>
      <c r="D5655" t="s">
        <v>19</v>
      </c>
      <c r="E5655" t="s">
        <v>20</v>
      </c>
      <c r="F5655" t="str">
        <f>"43560"</f>
        <v>43560</v>
      </c>
      <c r="G5655" t="str">
        <f t="shared" si="200"/>
        <v>716165</v>
      </c>
      <c r="H5655" s="2">
        <f>10</f>
        <v>10</v>
      </c>
      <c r="I5655" t="s">
        <v>27</v>
      </c>
      <c r="J5655" t="s">
        <v>34</v>
      </c>
      <c r="K5655" t="str">
        <f>"124995"</f>
        <v>124995</v>
      </c>
    </row>
    <row r="5656" spans="1:11" x14ac:dyDescent="0.25">
      <c r="A5656">
        <v>2024</v>
      </c>
      <c r="B5656" t="s">
        <v>7738</v>
      </c>
      <c r="C5656" t="s">
        <v>7739</v>
      </c>
      <c r="D5656" t="s">
        <v>19</v>
      </c>
      <c r="E5656" t="s">
        <v>20</v>
      </c>
      <c r="F5656" t="str">
        <f>"43623"</f>
        <v>43623</v>
      </c>
      <c r="G5656" t="str">
        <f>"Je10112024"</f>
        <v>Je10112024</v>
      </c>
      <c r="H5656" s="2">
        <f>20</f>
        <v>20</v>
      </c>
      <c r="I5656" t="s">
        <v>15</v>
      </c>
      <c r="J5656" t="s">
        <v>205</v>
      </c>
      <c r="K5656" t="str">
        <f>"60127921"</f>
        <v>60127921</v>
      </c>
    </row>
    <row r="5657" spans="1:11" x14ac:dyDescent="0.25">
      <c r="A5657">
        <v>2024</v>
      </c>
      <c r="B5657" t="s">
        <v>7747</v>
      </c>
      <c r="C5657" t="s">
        <v>7748</v>
      </c>
      <c r="D5657" t="s">
        <v>19</v>
      </c>
      <c r="E5657" t="s">
        <v>20</v>
      </c>
      <c r="F5657" t="str">
        <f>"43613-3163"</f>
        <v>43613-3163</v>
      </c>
      <c r="G5657" t="str">
        <f>"716165"</f>
        <v>716165</v>
      </c>
      <c r="H5657" s="2">
        <f>10</f>
        <v>10</v>
      </c>
      <c r="I5657" t="s">
        <v>27</v>
      </c>
      <c r="J5657" t="s">
        <v>34</v>
      </c>
      <c r="K5657" t="str">
        <f>"123721"</f>
        <v>123721</v>
      </c>
    </row>
    <row r="5658" spans="1:11" x14ac:dyDescent="0.25">
      <c r="A5658">
        <v>2024</v>
      </c>
      <c r="B5658" t="s">
        <v>7751</v>
      </c>
      <c r="C5658" t="s">
        <v>7752</v>
      </c>
      <c r="D5658" t="s">
        <v>19</v>
      </c>
      <c r="E5658" t="s">
        <v>20</v>
      </c>
      <c r="F5658" t="str">
        <f>"43614-1150"</f>
        <v>43614-1150</v>
      </c>
      <c r="G5658" t="str">
        <f>"716165"</f>
        <v>716165</v>
      </c>
      <c r="H5658" s="2">
        <f>70</f>
        <v>70</v>
      </c>
      <c r="I5658" t="s">
        <v>27</v>
      </c>
      <c r="J5658" t="s">
        <v>34</v>
      </c>
      <c r="K5658" t="str">
        <f>"124092"</f>
        <v>124092</v>
      </c>
    </row>
    <row r="5659" spans="1:11" x14ac:dyDescent="0.25">
      <c r="A5659">
        <v>2024</v>
      </c>
      <c r="B5659" t="s">
        <v>7763</v>
      </c>
      <c r="C5659" t="s">
        <v>7764</v>
      </c>
      <c r="D5659" t="s">
        <v>19</v>
      </c>
      <c r="E5659" t="s">
        <v>20</v>
      </c>
      <c r="F5659" t="str">
        <f>"43611-3007"</f>
        <v>43611-3007</v>
      </c>
      <c r="G5659" t="str">
        <f>"716165"</f>
        <v>716165</v>
      </c>
      <c r="H5659" s="2">
        <f>10</f>
        <v>10</v>
      </c>
      <c r="I5659" t="s">
        <v>27</v>
      </c>
      <c r="J5659" t="s">
        <v>34</v>
      </c>
      <c r="K5659" t="str">
        <f>"123027"</f>
        <v>123027</v>
      </c>
    </row>
    <row r="5660" spans="1:11" x14ac:dyDescent="0.25">
      <c r="A5660">
        <v>2024</v>
      </c>
      <c r="B5660" t="s">
        <v>7765</v>
      </c>
      <c r="C5660" t="s">
        <v>7766</v>
      </c>
      <c r="D5660" t="s">
        <v>19</v>
      </c>
      <c r="E5660" t="s">
        <v>20</v>
      </c>
      <c r="F5660" t="str">
        <f>"43615"</f>
        <v>43615</v>
      </c>
      <c r="G5660" t="str">
        <f>"716165"</f>
        <v>716165</v>
      </c>
      <c r="H5660" s="2">
        <f>10</f>
        <v>10</v>
      </c>
      <c r="I5660" t="s">
        <v>27</v>
      </c>
      <c r="J5660" t="s">
        <v>34</v>
      </c>
      <c r="K5660" t="str">
        <f>"124746"</f>
        <v>124746</v>
      </c>
    </row>
    <row r="5661" spans="1:11" x14ac:dyDescent="0.25">
      <c r="A5661">
        <v>2024</v>
      </c>
      <c r="B5661" t="s">
        <v>7773</v>
      </c>
      <c r="C5661" t="s">
        <v>7774</v>
      </c>
      <c r="D5661" t="s">
        <v>64</v>
      </c>
      <c r="E5661" t="s">
        <v>20</v>
      </c>
      <c r="F5661" t="str">
        <f>"43566-1125"</f>
        <v>43566-1125</v>
      </c>
      <c r="G5661" t="str">
        <f>"716165"</f>
        <v>716165</v>
      </c>
      <c r="H5661" s="2">
        <f>10</f>
        <v>10</v>
      </c>
      <c r="I5661" t="s">
        <v>27</v>
      </c>
      <c r="J5661" t="s">
        <v>34</v>
      </c>
      <c r="K5661" t="str">
        <f>"123710"</f>
        <v>123710</v>
      </c>
    </row>
    <row r="5662" spans="1:11" x14ac:dyDescent="0.25">
      <c r="A5662">
        <v>2024</v>
      </c>
      <c r="B5662" t="s">
        <v>7775</v>
      </c>
      <c r="C5662" t="s">
        <v>7776</v>
      </c>
      <c r="D5662" t="s">
        <v>19</v>
      </c>
      <c r="E5662" t="s">
        <v>20</v>
      </c>
      <c r="F5662" t="str">
        <f>"43615"</f>
        <v>43615</v>
      </c>
      <c r="G5662" t="str">
        <f>"718470"</f>
        <v>718470</v>
      </c>
      <c r="H5662" s="2">
        <f>48.32</f>
        <v>48.32</v>
      </c>
      <c r="I5662" t="s">
        <v>27</v>
      </c>
      <c r="J5662" t="s">
        <v>34</v>
      </c>
      <c r="K5662" t="str">
        <f>"334659"</f>
        <v>334659</v>
      </c>
    </row>
    <row r="5663" spans="1:11" x14ac:dyDescent="0.25">
      <c r="A5663">
        <v>2024</v>
      </c>
      <c r="B5663" t="s">
        <v>7781</v>
      </c>
      <c r="C5663" t="s">
        <v>4981</v>
      </c>
      <c r="D5663" t="s">
        <v>4981</v>
      </c>
      <c r="E5663" t="s">
        <v>4982</v>
      </c>
      <c r="F5663" t="str">
        <f>"00000"</f>
        <v>00000</v>
      </c>
      <c r="G5663" t="str">
        <f>"719211"</f>
        <v>719211</v>
      </c>
      <c r="H5663" s="2">
        <f>450</f>
        <v>450</v>
      </c>
      <c r="I5663" t="s">
        <v>27</v>
      </c>
      <c r="J5663" t="s">
        <v>200</v>
      </c>
      <c r="K5663" t="str">
        <f>"N/A"</f>
        <v>N/A</v>
      </c>
    </row>
    <row r="5664" spans="1:11" x14ac:dyDescent="0.25">
      <c r="A5664">
        <v>2024</v>
      </c>
      <c r="B5664" t="s">
        <v>7786</v>
      </c>
      <c r="C5664" t="s">
        <v>7787</v>
      </c>
      <c r="D5664" t="s">
        <v>7788</v>
      </c>
      <c r="E5664" t="s">
        <v>14</v>
      </c>
      <c r="F5664" t="str">
        <f>"48843"</f>
        <v>48843</v>
      </c>
      <c r="G5664" t="str">
        <f>"719211"</f>
        <v>719211</v>
      </c>
      <c r="H5664" s="2">
        <f>90</f>
        <v>90</v>
      </c>
      <c r="I5664" t="s">
        <v>27</v>
      </c>
      <c r="J5664" t="s">
        <v>200</v>
      </c>
      <c r="K5664" t="str">
        <f>"N/A"</f>
        <v>N/A</v>
      </c>
    </row>
    <row r="5665" spans="1:11" x14ac:dyDescent="0.25">
      <c r="A5665">
        <v>2024</v>
      </c>
      <c r="B5665" t="s">
        <v>7789</v>
      </c>
      <c r="C5665" t="s">
        <v>7790</v>
      </c>
      <c r="D5665" t="s">
        <v>19</v>
      </c>
      <c r="E5665" t="s">
        <v>20</v>
      </c>
      <c r="F5665" t="str">
        <f>"43614-3273"</f>
        <v>43614-3273</v>
      </c>
      <c r="G5665" t="str">
        <f>"716165"</f>
        <v>716165</v>
      </c>
      <c r="H5665" s="2">
        <f>10</f>
        <v>10</v>
      </c>
      <c r="I5665" t="s">
        <v>27</v>
      </c>
      <c r="J5665" t="s">
        <v>34</v>
      </c>
      <c r="K5665" t="str">
        <f>"123981"</f>
        <v>123981</v>
      </c>
    </row>
    <row r="5666" spans="1:11" x14ac:dyDescent="0.25">
      <c r="A5666">
        <v>2024</v>
      </c>
      <c r="B5666" t="s">
        <v>7801</v>
      </c>
      <c r="C5666" t="s">
        <v>7802</v>
      </c>
      <c r="D5666" t="s">
        <v>19</v>
      </c>
      <c r="E5666" t="s">
        <v>20</v>
      </c>
      <c r="F5666" t="str">
        <f>"43607-3564"</f>
        <v>43607-3564</v>
      </c>
      <c r="G5666" t="str">
        <f>"716165"</f>
        <v>716165</v>
      </c>
      <c r="H5666" s="2">
        <f>10</f>
        <v>10</v>
      </c>
      <c r="I5666" t="s">
        <v>27</v>
      </c>
      <c r="J5666" t="s">
        <v>34</v>
      </c>
      <c r="K5666" t="str">
        <f>"124695"</f>
        <v>124695</v>
      </c>
    </row>
    <row r="5667" spans="1:11" x14ac:dyDescent="0.25">
      <c r="A5667">
        <v>2024</v>
      </c>
      <c r="B5667" t="s">
        <v>7809</v>
      </c>
      <c r="C5667" t="s">
        <v>7810</v>
      </c>
      <c r="D5667" t="s">
        <v>19</v>
      </c>
      <c r="E5667" t="s">
        <v>20</v>
      </c>
      <c r="F5667" t="str">
        <f>"43614-5514"</f>
        <v>43614-5514</v>
      </c>
      <c r="G5667" t="str">
        <f>"716165"</f>
        <v>716165</v>
      </c>
      <c r="H5667" s="2">
        <f>20</f>
        <v>20</v>
      </c>
      <c r="I5667" t="s">
        <v>27</v>
      </c>
      <c r="J5667" t="s">
        <v>34</v>
      </c>
      <c r="K5667" t="str">
        <f>"121622"</f>
        <v>121622</v>
      </c>
    </row>
    <row r="5668" spans="1:11" x14ac:dyDescent="0.25">
      <c r="A5668">
        <v>2024</v>
      </c>
      <c r="B5668" t="s">
        <v>7819</v>
      </c>
      <c r="C5668" t="s">
        <v>7820</v>
      </c>
      <c r="D5668" t="s">
        <v>19</v>
      </c>
      <c r="E5668" t="s">
        <v>20</v>
      </c>
      <c r="F5668" t="str">
        <f>"43605"</f>
        <v>43605</v>
      </c>
      <c r="G5668" t="str">
        <f>"716619"</f>
        <v>716619</v>
      </c>
      <c r="H5668" s="2">
        <f>3</f>
        <v>3</v>
      </c>
      <c r="I5668" t="s">
        <v>27</v>
      </c>
      <c r="J5668" t="s">
        <v>34</v>
      </c>
      <c r="K5668" t="str">
        <f>"44010150"</f>
        <v>44010150</v>
      </c>
    </row>
    <row r="5669" spans="1:11" x14ac:dyDescent="0.25">
      <c r="A5669">
        <v>2024</v>
      </c>
      <c r="B5669" t="s">
        <v>7821</v>
      </c>
      <c r="C5669" t="s">
        <v>7822</v>
      </c>
      <c r="D5669" t="s">
        <v>125</v>
      </c>
      <c r="E5669" t="s">
        <v>20</v>
      </c>
      <c r="F5669" t="str">
        <f>"43537-3128"</f>
        <v>43537-3128</v>
      </c>
      <c r="G5669" t="str">
        <f>"716165"</f>
        <v>716165</v>
      </c>
      <c r="H5669" s="2">
        <f>20</f>
        <v>20</v>
      </c>
      <c r="I5669" t="s">
        <v>27</v>
      </c>
      <c r="J5669" t="s">
        <v>34</v>
      </c>
      <c r="K5669" t="str">
        <f>"122436"</f>
        <v>122436</v>
      </c>
    </row>
    <row r="5670" spans="1:11" x14ac:dyDescent="0.25">
      <c r="A5670">
        <v>2024</v>
      </c>
      <c r="B5670" t="s">
        <v>7825</v>
      </c>
      <c r="C5670" t="s">
        <v>7826</v>
      </c>
      <c r="D5670" t="s">
        <v>19</v>
      </c>
      <c r="E5670" t="s">
        <v>20</v>
      </c>
      <c r="F5670" t="str">
        <f>"43623"</f>
        <v>43623</v>
      </c>
      <c r="G5670" t="str">
        <f>"716166"</f>
        <v>716166</v>
      </c>
      <c r="H5670" s="2">
        <f>5.34</f>
        <v>5.34</v>
      </c>
      <c r="I5670" t="s">
        <v>27</v>
      </c>
      <c r="J5670" t="s">
        <v>262</v>
      </c>
      <c r="K5670" t="str">
        <f>"42272"</f>
        <v>42272</v>
      </c>
    </row>
    <row r="5671" spans="1:11" x14ac:dyDescent="0.25">
      <c r="A5671">
        <v>2024</v>
      </c>
      <c r="B5671" t="s">
        <v>7827</v>
      </c>
      <c r="C5671" t="s">
        <v>7828</v>
      </c>
      <c r="D5671" t="s">
        <v>19</v>
      </c>
      <c r="E5671" t="s">
        <v>20</v>
      </c>
      <c r="F5671" t="str">
        <f>"43615-2064"</f>
        <v>43615-2064</v>
      </c>
      <c r="G5671" t="str">
        <f>"716165"</f>
        <v>716165</v>
      </c>
      <c r="H5671" s="2">
        <f>20</f>
        <v>20</v>
      </c>
      <c r="I5671" t="s">
        <v>27</v>
      </c>
      <c r="J5671" t="s">
        <v>34</v>
      </c>
      <c r="K5671" t="str">
        <f>"121645"</f>
        <v>121645</v>
      </c>
    </row>
    <row r="5672" spans="1:11" x14ac:dyDescent="0.25">
      <c r="A5672">
        <v>2024</v>
      </c>
      <c r="B5672" t="s">
        <v>7829</v>
      </c>
      <c r="C5672" t="s">
        <v>7830</v>
      </c>
      <c r="D5672" t="s">
        <v>19</v>
      </c>
      <c r="E5672" t="s">
        <v>20</v>
      </c>
      <c r="F5672" t="str">
        <f>"43610"</f>
        <v>43610</v>
      </c>
      <c r="G5672" t="str">
        <f>"716165"</f>
        <v>716165</v>
      </c>
      <c r="H5672" s="2">
        <f>10</f>
        <v>10</v>
      </c>
      <c r="I5672" t="s">
        <v>27</v>
      </c>
      <c r="J5672" t="s">
        <v>34</v>
      </c>
      <c r="K5672" t="str">
        <f>"124240"</f>
        <v>124240</v>
      </c>
    </row>
    <row r="5673" spans="1:11" x14ac:dyDescent="0.25">
      <c r="A5673">
        <v>2024</v>
      </c>
      <c r="B5673" t="s">
        <v>7837</v>
      </c>
      <c r="C5673" t="s">
        <v>7838</v>
      </c>
      <c r="D5673" t="s">
        <v>19</v>
      </c>
      <c r="E5673" t="s">
        <v>20</v>
      </c>
      <c r="F5673" t="str">
        <f>"43614-3329"</f>
        <v>43614-3329</v>
      </c>
      <c r="G5673" t="str">
        <f>"716165"</f>
        <v>716165</v>
      </c>
      <c r="H5673" s="2">
        <f>10</f>
        <v>10</v>
      </c>
      <c r="I5673" t="s">
        <v>27</v>
      </c>
      <c r="J5673" t="s">
        <v>34</v>
      </c>
      <c r="K5673" t="str">
        <f>"121530"</f>
        <v>121530</v>
      </c>
    </row>
    <row r="5674" spans="1:11" x14ac:dyDescent="0.25">
      <c r="A5674">
        <v>2024</v>
      </c>
      <c r="B5674" t="s">
        <v>7839</v>
      </c>
      <c r="C5674" t="s">
        <v>7840</v>
      </c>
      <c r="D5674" t="s">
        <v>7841</v>
      </c>
      <c r="E5674" t="s">
        <v>14</v>
      </c>
      <c r="F5674" t="str">
        <f>"48080"</f>
        <v>48080</v>
      </c>
      <c r="G5674" t="str">
        <f>"701123"</f>
        <v>701123</v>
      </c>
      <c r="H5674" s="2">
        <f>284.05</f>
        <v>284.05</v>
      </c>
      <c r="I5674" t="s">
        <v>148</v>
      </c>
      <c r="J5674" t="s">
        <v>7842</v>
      </c>
      <c r="K5674" t="str">
        <f>"26769"</f>
        <v>26769</v>
      </c>
    </row>
    <row r="5675" spans="1:11" x14ac:dyDescent="0.25">
      <c r="A5675">
        <v>2024</v>
      </c>
      <c r="B5675" t="s">
        <v>7848</v>
      </c>
      <c r="C5675" t="s">
        <v>7849</v>
      </c>
      <c r="D5675" t="s">
        <v>422</v>
      </c>
      <c r="E5675" t="s">
        <v>20</v>
      </c>
      <c r="F5675" t="str">
        <f>"44102"</f>
        <v>44102</v>
      </c>
      <c r="G5675" t="str">
        <f>"716166"</f>
        <v>716166</v>
      </c>
      <c r="H5675" s="2">
        <f>3.94</f>
        <v>3.94</v>
      </c>
      <c r="I5675" t="s">
        <v>27</v>
      </c>
      <c r="J5675" t="s">
        <v>262</v>
      </c>
      <c r="K5675" t="str">
        <f>"42099"</f>
        <v>42099</v>
      </c>
    </row>
    <row r="5676" spans="1:11" x14ac:dyDescent="0.25">
      <c r="A5676">
        <v>2024</v>
      </c>
      <c r="B5676" t="s">
        <v>7858</v>
      </c>
      <c r="C5676" t="s">
        <v>7859</v>
      </c>
      <c r="D5676" t="s">
        <v>19</v>
      </c>
      <c r="E5676" t="s">
        <v>20</v>
      </c>
      <c r="F5676" t="str">
        <f>"43607"</f>
        <v>43607</v>
      </c>
      <c r="G5676" t="str">
        <f>"719211"</f>
        <v>719211</v>
      </c>
      <c r="H5676" s="2">
        <f>135</f>
        <v>135</v>
      </c>
      <c r="I5676" t="s">
        <v>27</v>
      </c>
      <c r="J5676" t="s">
        <v>200</v>
      </c>
      <c r="K5676" t="str">
        <f>"N/A"</f>
        <v>N/A</v>
      </c>
    </row>
    <row r="5677" spans="1:11" x14ac:dyDescent="0.25">
      <c r="A5677">
        <v>2024</v>
      </c>
      <c r="B5677" t="s">
        <v>7876</v>
      </c>
      <c r="C5677" t="s">
        <v>7877</v>
      </c>
      <c r="D5677" t="s">
        <v>50</v>
      </c>
      <c r="E5677" t="s">
        <v>20</v>
      </c>
      <c r="F5677" t="str">
        <f>"43560-1154"</f>
        <v>43560-1154</v>
      </c>
      <c r="G5677" t="str">
        <f>"716165"</f>
        <v>716165</v>
      </c>
      <c r="H5677" s="2">
        <f>80</f>
        <v>80</v>
      </c>
      <c r="I5677" t="s">
        <v>27</v>
      </c>
      <c r="J5677" t="s">
        <v>34</v>
      </c>
      <c r="K5677" t="str">
        <f>"124445"</f>
        <v>124445</v>
      </c>
    </row>
    <row r="5678" spans="1:11" x14ac:dyDescent="0.25">
      <c r="A5678">
        <v>2024</v>
      </c>
      <c r="B5678" t="s">
        <v>7884</v>
      </c>
      <c r="C5678" t="s">
        <v>7885</v>
      </c>
      <c r="D5678" t="s">
        <v>19</v>
      </c>
      <c r="E5678" t="s">
        <v>20</v>
      </c>
      <c r="F5678" t="str">
        <f>"43613-4730"</f>
        <v>43613-4730</v>
      </c>
      <c r="G5678" t="str">
        <f>"716165"</f>
        <v>716165</v>
      </c>
      <c r="H5678" s="2">
        <f>20</f>
        <v>20</v>
      </c>
      <c r="I5678" t="s">
        <v>27</v>
      </c>
      <c r="J5678" t="s">
        <v>34</v>
      </c>
      <c r="K5678" t="str">
        <f>"123673"</f>
        <v>123673</v>
      </c>
    </row>
    <row r="5679" spans="1:11" x14ac:dyDescent="0.25">
      <c r="A5679">
        <v>2024</v>
      </c>
      <c r="B5679" t="s">
        <v>7888</v>
      </c>
      <c r="C5679" t="s">
        <v>7889</v>
      </c>
      <c r="D5679" t="s">
        <v>125</v>
      </c>
      <c r="E5679" t="s">
        <v>20</v>
      </c>
      <c r="F5679" t="str">
        <f>"43537"</f>
        <v>43537</v>
      </c>
      <c r="G5679" t="str">
        <f>"716619"</f>
        <v>716619</v>
      </c>
      <c r="H5679" s="2">
        <f>3</f>
        <v>3</v>
      </c>
      <c r="I5679" t="s">
        <v>27</v>
      </c>
      <c r="J5679" t="s">
        <v>34</v>
      </c>
      <c r="K5679" t="str">
        <f>"22026558"</f>
        <v>22026558</v>
      </c>
    </row>
    <row r="5680" spans="1:11" x14ac:dyDescent="0.25">
      <c r="A5680">
        <v>2024</v>
      </c>
      <c r="B5680" t="s">
        <v>7890</v>
      </c>
      <c r="C5680" t="s">
        <v>7891</v>
      </c>
      <c r="D5680" t="s">
        <v>19</v>
      </c>
      <c r="E5680" t="s">
        <v>20</v>
      </c>
      <c r="F5680" t="str">
        <f>"43609-2034"</f>
        <v>43609-2034</v>
      </c>
      <c r="G5680" t="str">
        <f>"716165"</f>
        <v>716165</v>
      </c>
      <c r="H5680" s="2">
        <f>10</f>
        <v>10</v>
      </c>
      <c r="I5680" t="s">
        <v>27</v>
      </c>
      <c r="J5680" t="s">
        <v>34</v>
      </c>
      <c r="K5680" t="str">
        <f>"121691"</f>
        <v>121691</v>
      </c>
    </row>
    <row r="5681" spans="1:11" x14ac:dyDescent="0.25">
      <c r="A5681">
        <v>2024</v>
      </c>
      <c r="B5681" t="s">
        <v>7894</v>
      </c>
      <c r="C5681" t="s">
        <v>7895</v>
      </c>
      <c r="D5681" t="s">
        <v>19</v>
      </c>
      <c r="E5681" t="s">
        <v>20</v>
      </c>
      <c r="F5681" t="str">
        <f>"43608-1157"</f>
        <v>43608-1157</v>
      </c>
      <c r="G5681" t="str">
        <f>"716165"</f>
        <v>716165</v>
      </c>
      <c r="H5681" s="2">
        <f>20</f>
        <v>20</v>
      </c>
      <c r="I5681" t="s">
        <v>27</v>
      </c>
      <c r="J5681" t="s">
        <v>34</v>
      </c>
      <c r="K5681" t="str">
        <f>"124053"</f>
        <v>124053</v>
      </c>
    </row>
    <row r="5682" spans="1:11" x14ac:dyDescent="0.25">
      <c r="A5682">
        <v>2024</v>
      </c>
      <c r="B5682" t="s">
        <v>7896</v>
      </c>
      <c r="C5682" t="s">
        <v>7897</v>
      </c>
      <c r="D5682" t="s">
        <v>125</v>
      </c>
      <c r="E5682" t="s">
        <v>20</v>
      </c>
      <c r="F5682" t="str">
        <f>"43537"</f>
        <v>43537</v>
      </c>
      <c r="G5682" t="str">
        <f>"Je03262024"</f>
        <v>Je03262024</v>
      </c>
      <c r="H5682" s="2">
        <f>187.42</f>
        <v>187.42</v>
      </c>
      <c r="I5682" t="s">
        <v>15</v>
      </c>
      <c r="J5682" t="s">
        <v>21</v>
      </c>
      <c r="K5682" t="str">
        <f>"60113564"</f>
        <v>60113564</v>
      </c>
    </row>
    <row r="5683" spans="1:11" x14ac:dyDescent="0.25">
      <c r="A5683">
        <v>2024</v>
      </c>
      <c r="B5683" t="s">
        <v>7907</v>
      </c>
      <c r="C5683" t="s">
        <v>7908</v>
      </c>
      <c r="D5683" t="s">
        <v>19</v>
      </c>
      <c r="E5683" t="s">
        <v>20</v>
      </c>
      <c r="F5683" t="str">
        <f>"43611-2137"</f>
        <v>43611-2137</v>
      </c>
      <c r="G5683" t="str">
        <f>"716165"</f>
        <v>716165</v>
      </c>
      <c r="H5683" s="2">
        <f>10</f>
        <v>10</v>
      </c>
      <c r="I5683" t="s">
        <v>27</v>
      </c>
      <c r="J5683" t="s">
        <v>34</v>
      </c>
      <c r="K5683" t="str">
        <f>"121924"</f>
        <v>121924</v>
      </c>
    </row>
    <row r="5684" spans="1:11" x14ac:dyDescent="0.25">
      <c r="A5684">
        <v>2024</v>
      </c>
      <c r="B5684" t="s">
        <v>7936</v>
      </c>
      <c r="C5684" t="s">
        <v>7937</v>
      </c>
      <c r="D5684" t="s">
        <v>105</v>
      </c>
      <c r="E5684" t="s">
        <v>20</v>
      </c>
      <c r="F5684" t="str">
        <f>"43528"</f>
        <v>43528</v>
      </c>
      <c r="G5684" t="str">
        <f>"Je03262024"</f>
        <v>Je03262024</v>
      </c>
      <c r="H5684" s="2">
        <f>133.32</f>
        <v>133.32</v>
      </c>
      <c r="I5684" t="s">
        <v>15</v>
      </c>
      <c r="J5684" t="s">
        <v>21</v>
      </c>
      <c r="K5684" t="str">
        <f>"60113854"</f>
        <v>60113854</v>
      </c>
    </row>
    <row r="5685" spans="1:11" x14ac:dyDescent="0.25">
      <c r="A5685">
        <v>2024</v>
      </c>
      <c r="B5685" t="s">
        <v>7944</v>
      </c>
      <c r="C5685" t="s">
        <v>7945</v>
      </c>
      <c r="D5685" t="s">
        <v>1074</v>
      </c>
      <c r="E5685" t="s">
        <v>20</v>
      </c>
      <c r="F5685" t="str">
        <f>"43551"</f>
        <v>43551</v>
      </c>
      <c r="G5685" t="str">
        <f>"701123"</f>
        <v>701123</v>
      </c>
      <c r="H5685" s="2">
        <f>10</f>
        <v>10</v>
      </c>
      <c r="I5685" t="s">
        <v>148</v>
      </c>
      <c r="J5685" t="s">
        <v>7946</v>
      </c>
      <c r="K5685" t="str">
        <f>"26769"</f>
        <v>26769</v>
      </c>
    </row>
    <row r="5686" spans="1:11" x14ac:dyDescent="0.25">
      <c r="A5686">
        <v>2024</v>
      </c>
      <c r="B5686" t="s">
        <v>7959</v>
      </c>
      <c r="C5686" t="s">
        <v>7960</v>
      </c>
      <c r="D5686" t="s">
        <v>105</v>
      </c>
      <c r="E5686" t="s">
        <v>20</v>
      </c>
      <c r="F5686" t="str">
        <f>"43528-8088"</f>
        <v>43528-8088</v>
      </c>
      <c r="G5686" t="str">
        <f>"716165"</f>
        <v>716165</v>
      </c>
      <c r="H5686" s="2">
        <f>10</f>
        <v>10</v>
      </c>
      <c r="I5686" t="s">
        <v>27</v>
      </c>
      <c r="J5686" t="s">
        <v>34</v>
      </c>
      <c r="K5686" t="str">
        <f>"123788"</f>
        <v>123788</v>
      </c>
    </row>
    <row r="5687" spans="1:11" x14ac:dyDescent="0.25">
      <c r="A5687">
        <v>2024</v>
      </c>
      <c r="B5687" t="s">
        <v>7961</v>
      </c>
      <c r="C5687" t="s">
        <v>7962</v>
      </c>
      <c r="D5687" t="s">
        <v>125</v>
      </c>
      <c r="E5687" t="s">
        <v>20</v>
      </c>
      <c r="F5687" t="str">
        <f>"43537-0178"</f>
        <v>43537-0178</v>
      </c>
      <c r="G5687" t="str">
        <f>"716165"</f>
        <v>716165</v>
      </c>
      <c r="H5687" s="2">
        <f>20</f>
        <v>20</v>
      </c>
      <c r="I5687" t="s">
        <v>27</v>
      </c>
      <c r="J5687" t="s">
        <v>34</v>
      </c>
      <c r="K5687" t="str">
        <f>"124043"</f>
        <v>124043</v>
      </c>
    </row>
    <row r="5688" spans="1:11" x14ac:dyDescent="0.25">
      <c r="A5688">
        <v>2024</v>
      </c>
      <c r="B5688" t="s">
        <v>7963</v>
      </c>
      <c r="C5688" t="s">
        <v>7964</v>
      </c>
      <c r="D5688" t="s">
        <v>125</v>
      </c>
      <c r="E5688" t="s">
        <v>20</v>
      </c>
      <c r="F5688" t="str">
        <f>"43537-3236"</f>
        <v>43537-3236</v>
      </c>
      <c r="G5688" t="str">
        <f>"716165"</f>
        <v>716165</v>
      </c>
      <c r="H5688" s="2">
        <f>20</f>
        <v>20</v>
      </c>
      <c r="I5688" t="s">
        <v>27</v>
      </c>
      <c r="J5688" t="s">
        <v>34</v>
      </c>
      <c r="K5688" t="str">
        <f>"122498"</f>
        <v>122498</v>
      </c>
    </row>
    <row r="5689" spans="1:11" x14ac:dyDescent="0.25">
      <c r="A5689">
        <v>2024</v>
      </c>
      <c r="B5689" t="s">
        <v>7965</v>
      </c>
      <c r="C5689" t="s">
        <v>7966</v>
      </c>
      <c r="D5689" t="s">
        <v>125</v>
      </c>
      <c r="E5689" t="s">
        <v>20</v>
      </c>
      <c r="F5689" t="str">
        <f>"43537-2972"</f>
        <v>43537-2972</v>
      </c>
      <c r="G5689" t="str">
        <f>"716165"</f>
        <v>716165</v>
      </c>
      <c r="H5689" s="2">
        <f>10</f>
        <v>10</v>
      </c>
      <c r="I5689" t="s">
        <v>27</v>
      </c>
      <c r="J5689" t="s">
        <v>34</v>
      </c>
      <c r="K5689" t="str">
        <f>"121104"</f>
        <v>121104</v>
      </c>
    </row>
    <row r="5690" spans="1:11" x14ac:dyDescent="0.25">
      <c r="A5690">
        <v>2024</v>
      </c>
      <c r="B5690" t="s">
        <v>7972</v>
      </c>
      <c r="C5690" t="s">
        <v>7973</v>
      </c>
      <c r="D5690" t="s">
        <v>19</v>
      </c>
      <c r="E5690" t="s">
        <v>20</v>
      </c>
      <c r="F5690" t="str">
        <f>"43615-3075"</f>
        <v>43615-3075</v>
      </c>
      <c r="G5690" t="str">
        <f>"716165"</f>
        <v>716165</v>
      </c>
      <c r="H5690" s="2">
        <f>10</f>
        <v>10</v>
      </c>
      <c r="I5690" t="s">
        <v>27</v>
      </c>
      <c r="J5690" t="s">
        <v>34</v>
      </c>
      <c r="K5690" t="str">
        <f>"123781"</f>
        <v>123781</v>
      </c>
    </row>
    <row r="5691" spans="1:11" x14ac:dyDescent="0.25">
      <c r="A5691">
        <v>2024</v>
      </c>
      <c r="B5691" t="s">
        <v>7999</v>
      </c>
      <c r="C5691" t="s">
        <v>8000</v>
      </c>
      <c r="D5691" t="s">
        <v>8001</v>
      </c>
      <c r="E5691" t="s">
        <v>2386</v>
      </c>
      <c r="F5691" t="str">
        <f>"21297-1396"</f>
        <v>21297-1396</v>
      </c>
      <c r="G5691" t="str">
        <f>"Je12122024"</f>
        <v>Je12122024</v>
      </c>
      <c r="H5691" s="2">
        <f>229.84</f>
        <v>229.84</v>
      </c>
      <c r="I5691" t="s">
        <v>15</v>
      </c>
      <c r="J5691" t="s">
        <v>1326</v>
      </c>
      <c r="K5691" t="str">
        <f>"60136699"</f>
        <v>60136699</v>
      </c>
    </row>
    <row r="5692" spans="1:11" x14ac:dyDescent="0.25">
      <c r="A5692">
        <v>2024</v>
      </c>
      <c r="B5692" t="s">
        <v>8024</v>
      </c>
      <c r="C5692" t="s">
        <v>8025</v>
      </c>
      <c r="D5692" t="s">
        <v>50</v>
      </c>
      <c r="E5692" t="s">
        <v>20</v>
      </c>
      <c r="F5692" t="str">
        <f>"43560-2858"</f>
        <v>43560-2858</v>
      </c>
      <c r="G5692" t="str">
        <f>"716165"</f>
        <v>716165</v>
      </c>
      <c r="H5692" s="2">
        <f>20</f>
        <v>20</v>
      </c>
      <c r="I5692" t="s">
        <v>27</v>
      </c>
      <c r="J5692" t="s">
        <v>34</v>
      </c>
      <c r="K5692" t="str">
        <f>"122439"</f>
        <v>122439</v>
      </c>
    </row>
    <row r="5693" spans="1:11" x14ac:dyDescent="0.25">
      <c r="A5693">
        <v>2024</v>
      </c>
      <c r="B5693" t="s">
        <v>8028</v>
      </c>
      <c r="C5693" t="s">
        <v>8029</v>
      </c>
      <c r="D5693" t="s">
        <v>19</v>
      </c>
      <c r="E5693" t="s">
        <v>20</v>
      </c>
      <c r="F5693" t="str">
        <f>"43614-5658"</f>
        <v>43614-5658</v>
      </c>
      <c r="G5693" t="str">
        <f>"716165"</f>
        <v>716165</v>
      </c>
      <c r="H5693" s="2">
        <f>10</f>
        <v>10</v>
      </c>
      <c r="I5693" t="s">
        <v>27</v>
      </c>
      <c r="J5693" t="s">
        <v>34</v>
      </c>
      <c r="K5693" t="str">
        <f>"121437"</f>
        <v>121437</v>
      </c>
    </row>
    <row r="5694" spans="1:11" x14ac:dyDescent="0.25">
      <c r="A5694">
        <v>2024</v>
      </c>
      <c r="B5694" t="s">
        <v>8038</v>
      </c>
      <c r="C5694" t="s">
        <v>8039</v>
      </c>
      <c r="D5694" t="s">
        <v>8040</v>
      </c>
      <c r="E5694" t="s">
        <v>216</v>
      </c>
      <c r="F5694" t="str">
        <f>"46240"</f>
        <v>46240</v>
      </c>
      <c r="G5694" t="str">
        <f>"716166"</f>
        <v>716166</v>
      </c>
      <c r="H5694" s="2">
        <f>12</f>
        <v>12</v>
      </c>
      <c r="I5694" t="s">
        <v>27</v>
      </c>
      <c r="J5694" t="s">
        <v>262</v>
      </c>
      <c r="K5694" t="str">
        <f>"43547"</f>
        <v>43547</v>
      </c>
    </row>
    <row r="5695" spans="1:11" x14ac:dyDescent="0.25">
      <c r="A5695">
        <v>2024</v>
      </c>
      <c r="B5695" t="s">
        <v>8047</v>
      </c>
      <c r="C5695" t="s">
        <v>8048</v>
      </c>
      <c r="D5695" t="s">
        <v>105</v>
      </c>
      <c r="E5695" t="s">
        <v>20</v>
      </c>
      <c r="F5695" t="str">
        <f>"43528"</f>
        <v>43528</v>
      </c>
      <c r="G5695" t="str">
        <f>"716166"</f>
        <v>716166</v>
      </c>
      <c r="H5695" s="2">
        <f>20</f>
        <v>20</v>
      </c>
      <c r="I5695" t="s">
        <v>27</v>
      </c>
      <c r="J5695" t="s">
        <v>262</v>
      </c>
      <c r="K5695" t="str">
        <f>"43416"</f>
        <v>43416</v>
      </c>
    </row>
    <row r="5696" spans="1:11" x14ac:dyDescent="0.25">
      <c r="A5696">
        <v>2024</v>
      </c>
      <c r="B5696" t="s">
        <v>8049</v>
      </c>
      <c r="C5696" t="s">
        <v>8050</v>
      </c>
      <c r="D5696" t="s">
        <v>19</v>
      </c>
      <c r="E5696" t="s">
        <v>20</v>
      </c>
      <c r="F5696" t="str">
        <f>"43612-2318"</f>
        <v>43612-2318</v>
      </c>
      <c r="G5696" t="str">
        <f t="shared" ref="G5696:G5703" si="201">"716165"</f>
        <v>716165</v>
      </c>
      <c r="H5696" s="2">
        <f>20</f>
        <v>20</v>
      </c>
      <c r="I5696" t="s">
        <v>27</v>
      </c>
      <c r="J5696" t="s">
        <v>34</v>
      </c>
      <c r="K5696" t="str">
        <f>"123321"</f>
        <v>123321</v>
      </c>
    </row>
    <row r="5697" spans="1:11" x14ac:dyDescent="0.25">
      <c r="A5697">
        <v>2024</v>
      </c>
      <c r="B5697" t="s">
        <v>8051</v>
      </c>
      <c r="C5697" t="s">
        <v>8052</v>
      </c>
      <c r="D5697" t="s">
        <v>125</v>
      </c>
      <c r="E5697" t="s">
        <v>20</v>
      </c>
      <c r="F5697" t="str">
        <f>"43537-3767"</f>
        <v>43537-3767</v>
      </c>
      <c r="G5697" t="str">
        <f t="shared" si="201"/>
        <v>716165</v>
      </c>
      <c r="H5697" s="2">
        <f>10</f>
        <v>10</v>
      </c>
      <c r="I5697" t="s">
        <v>27</v>
      </c>
      <c r="J5697" t="s">
        <v>34</v>
      </c>
      <c r="K5697" t="str">
        <f>"124736"</f>
        <v>124736</v>
      </c>
    </row>
    <row r="5698" spans="1:11" x14ac:dyDescent="0.25">
      <c r="A5698">
        <v>2024</v>
      </c>
      <c r="B5698" t="s">
        <v>8053</v>
      </c>
      <c r="C5698" t="s">
        <v>8054</v>
      </c>
      <c r="D5698" t="s">
        <v>58</v>
      </c>
      <c r="E5698" t="s">
        <v>20</v>
      </c>
      <c r="F5698" t="str">
        <f>"43616-2703"</f>
        <v>43616-2703</v>
      </c>
      <c r="G5698" t="str">
        <f t="shared" si="201"/>
        <v>716165</v>
      </c>
      <c r="H5698" s="2">
        <f>10</f>
        <v>10</v>
      </c>
      <c r="I5698" t="s">
        <v>27</v>
      </c>
      <c r="J5698" t="s">
        <v>34</v>
      </c>
      <c r="K5698" t="str">
        <f>"124484"</f>
        <v>124484</v>
      </c>
    </row>
    <row r="5699" spans="1:11" x14ac:dyDescent="0.25">
      <c r="A5699">
        <v>2024</v>
      </c>
      <c r="B5699" t="s">
        <v>8060</v>
      </c>
      <c r="C5699" t="s">
        <v>8061</v>
      </c>
      <c r="D5699" t="s">
        <v>323</v>
      </c>
      <c r="E5699" t="s">
        <v>20</v>
      </c>
      <c r="F5699" t="str">
        <f>"43571-9852"</f>
        <v>43571-9852</v>
      </c>
      <c r="G5699" t="str">
        <f t="shared" si="201"/>
        <v>716165</v>
      </c>
      <c r="H5699" s="2">
        <f>10</f>
        <v>10</v>
      </c>
      <c r="I5699" t="s">
        <v>27</v>
      </c>
      <c r="J5699" t="s">
        <v>34</v>
      </c>
      <c r="K5699" t="str">
        <f>"123201"</f>
        <v>123201</v>
      </c>
    </row>
    <row r="5700" spans="1:11" x14ac:dyDescent="0.25">
      <c r="A5700">
        <v>2024</v>
      </c>
      <c r="B5700" t="s">
        <v>8062</v>
      </c>
      <c r="C5700" t="s">
        <v>8063</v>
      </c>
      <c r="D5700" t="s">
        <v>19</v>
      </c>
      <c r="E5700" t="s">
        <v>20</v>
      </c>
      <c r="F5700" t="str">
        <f>"43612-1035"</f>
        <v>43612-1035</v>
      </c>
      <c r="G5700" t="str">
        <f t="shared" si="201"/>
        <v>716165</v>
      </c>
      <c r="H5700" s="2">
        <f>20</f>
        <v>20</v>
      </c>
      <c r="I5700" t="s">
        <v>27</v>
      </c>
      <c r="J5700" t="s">
        <v>34</v>
      </c>
      <c r="K5700" t="str">
        <f>"122481"</f>
        <v>122481</v>
      </c>
    </row>
    <row r="5701" spans="1:11" x14ac:dyDescent="0.25">
      <c r="A5701">
        <v>2024</v>
      </c>
      <c r="B5701" t="s">
        <v>8064</v>
      </c>
      <c r="C5701" t="s">
        <v>762</v>
      </c>
      <c r="D5701" t="s">
        <v>19</v>
      </c>
      <c r="E5701" t="s">
        <v>20</v>
      </c>
      <c r="F5701" t="str">
        <f>"43605-1926"</f>
        <v>43605-1926</v>
      </c>
      <c r="G5701" t="str">
        <f t="shared" si="201"/>
        <v>716165</v>
      </c>
      <c r="H5701" s="2">
        <f>20</f>
        <v>20</v>
      </c>
      <c r="I5701" t="s">
        <v>27</v>
      </c>
      <c r="J5701" t="s">
        <v>34</v>
      </c>
      <c r="K5701" t="str">
        <f>"123716"</f>
        <v>123716</v>
      </c>
    </row>
    <row r="5702" spans="1:11" x14ac:dyDescent="0.25">
      <c r="A5702">
        <v>2024</v>
      </c>
      <c r="B5702" t="s">
        <v>8076</v>
      </c>
      <c r="C5702" t="s">
        <v>8077</v>
      </c>
      <c r="D5702" t="s">
        <v>105</v>
      </c>
      <c r="E5702" t="s">
        <v>20</v>
      </c>
      <c r="F5702" t="str">
        <f>"43528-9556"</f>
        <v>43528-9556</v>
      </c>
      <c r="G5702" t="str">
        <f t="shared" si="201"/>
        <v>716165</v>
      </c>
      <c r="H5702" s="2">
        <f>10</f>
        <v>10</v>
      </c>
      <c r="I5702" t="s">
        <v>27</v>
      </c>
      <c r="J5702" t="s">
        <v>34</v>
      </c>
      <c r="K5702" t="str">
        <f>"125092"</f>
        <v>125092</v>
      </c>
    </row>
    <row r="5703" spans="1:11" x14ac:dyDescent="0.25">
      <c r="A5703">
        <v>2024</v>
      </c>
      <c r="B5703" t="s">
        <v>8103</v>
      </c>
      <c r="C5703" t="s">
        <v>8104</v>
      </c>
      <c r="D5703" t="s">
        <v>50</v>
      </c>
      <c r="E5703" t="s">
        <v>20</v>
      </c>
      <c r="F5703" t="str">
        <f>"43560-1519"</f>
        <v>43560-1519</v>
      </c>
      <c r="G5703" t="str">
        <f t="shared" si="201"/>
        <v>716165</v>
      </c>
      <c r="H5703" s="2">
        <f>10</f>
        <v>10</v>
      </c>
      <c r="I5703" t="s">
        <v>27</v>
      </c>
      <c r="J5703" t="s">
        <v>34</v>
      </c>
      <c r="K5703" t="str">
        <f>"121101"</f>
        <v>121101</v>
      </c>
    </row>
    <row r="5704" spans="1:11" x14ac:dyDescent="0.25">
      <c r="A5704">
        <v>2024</v>
      </c>
      <c r="B5704" t="s">
        <v>8113</v>
      </c>
      <c r="C5704" t="s">
        <v>8114</v>
      </c>
      <c r="D5704" t="s">
        <v>19</v>
      </c>
      <c r="E5704" t="s">
        <v>20</v>
      </c>
      <c r="F5704" t="str">
        <f>"43620"</f>
        <v>43620</v>
      </c>
      <c r="G5704" t="str">
        <f>"716166"</f>
        <v>716166</v>
      </c>
      <c r="H5704" s="2">
        <f>34.78</f>
        <v>34.78</v>
      </c>
      <c r="I5704" t="s">
        <v>27</v>
      </c>
      <c r="J5704" t="s">
        <v>262</v>
      </c>
      <c r="K5704" t="str">
        <f>"42739"</f>
        <v>42739</v>
      </c>
    </row>
    <row r="5705" spans="1:11" x14ac:dyDescent="0.25">
      <c r="A5705">
        <v>2024</v>
      </c>
      <c r="B5705" t="s">
        <v>8115</v>
      </c>
      <c r="C5705" t="s">
        <v>8116</v>
      </c>
      <c r="D5705" t="s">
        <v>19</v>
      </c>
      <c r="E5705" t="s">
        <v>20</v>
      </c>
      <c r="F5705" t="str">
        <f>"43615"</f>
        <v>43615</v>
      </c>
      <c r="G5705" t="str">
        <f>"Je10112024"</f>
        <v>Je10112024</v>
      </c>
      <c r="H5705" s="2">
        <f>35.15</f>
        <v>35.15</v>
      </c>
      <c r="I5705" t="s">
        <v>15</v>
      </c>
      <c r="J5705" t="s">
        <v>205</v>
      </c>
      <c r="K5705" t="str">
        <f>"60127039"</f>
        <v>60127039</v>
      </c>
    </row>
    <row r="5706" spans="1:11" x14ac:dyDescent="0.25">
      <c r="A5706">
        <v>2024</v>
      </c>
      <c r="B5706" t="s">
        <v>8127</v>
      </c>
      <c r="C5706" t="s">
        <v>8128</v>
      </c>
      <c r="D5706" t="s">
        <v>45</v>
      </c>
      <c r="E5706" t="s">
        <v>20</v>
      </c>
      <c r="F5706" t="str">
        <f>"43542"</f>
        <v>43542</v>
      </c>
      <c r="G5706" t="str">
        <f>"Je08072024"</f>
        <v>Je08072024</v>
      </c>
      <c r="H5706" s="2">
        <f>243.49</f>
        <v>243.49</v>
      </c>
      <c r="I5706" t="s">
        <v>15</v>
      </c>
      <c r="J5706" t="s">
        <v>1647</v>
      </c>
      <c r="K5706" t="str">
        <f>"60120104"</f>
        <v>60120104</v>
      </c>
    </row>
    <row r="5707" spans="1:11" x14ac:dyDescent="0.25">
      <c r="A5707">
        <v>2024</v>
      </c>
      <c r="B5707" t="s">
        <v>8133</v>
      </c>
      <c r="C5707" t="s">
        <v>8134</v>
      </c>
      <c r="D5707" t="s">
        <v>19</v>
      </c>
      <c r="E5707" t="s">
        <v>20</v>
      </c>
      <c r="F5707" t="str">
        <f>"43607"</f>
        <v>43607</v>
      </c>
      <c r="G5707" t="str">
        <f>"Je12122024"</f>
        <v>Je12122024</v>
      </c>
      <c r="H5707" s="2">
        <f>20</f>
        <v>20</v>
      </c>
      <c r="I5707" t="s">
        <v>15</v>
      </c>
      <c r="J5707" t="s">
        <v>1326</v>
      </c>
      <c r="K5707" t="str">
        <f>"60137357"</f>
        <v>60137357</v>
      </c>
    </row>
    <row r="5708" spans="1:11" x14ac:dyDescent="0.25">
      <c r="A5708">
        <v>2024</v>
      </c>
      <c r="B5708" t="s">
        <v>8144</v>
      </c>
      <c r="C5708" t="s">
        <v>8145</v>
      </c>
      <c r="D5708" t="s">
        <v>50</v>
      </c>
      <c r="E5708" t="s">
        <v>20</v>
      </c>
      <c r="F5708" t="str">
        <f>"43560-3219"</f>
        <v>43560-3219</v>
      </c>
      <c r="G5708" t="str">
        <f>"716165"</f>
        <v>716165</v>
      </c>
      <c r="H5708" s="2">
        <f>10</f>
        <v>10</v>
      </c>
      <c r="I5708" t="s">
        <v>27</v>
      </c>
      <c r="J5708" t="s">
        <v>34</v>
      </c>
      <c r="K5708" t="str">
        <f>"123457"</f>
        <v>123457</v>
      </c>
    </row>
    <row r="5709" spans="1:11" x14ac:dyDescent="0.25">
      <c r="A5709">
        <v>2024</v>
      </c>
      <c r="B5709" t="s">
        <v>8146</v>
      </c>
      <c r="C5709" t="s">
        <v>8147</v>
      </c>
      <c r="D5709" t="s">
        <v>203</v>
      </c>
      <c r="E5709" t="s">
        <v>204</v>
      </c>
      <c r="F5709" t="str">
        <f>"31193-6279"</f>
        <v>31193-6279</v>
      </c>
      <c r="G5709" t="str">
        <f>"Je10112024"</f>
        <v>Je10112024</v>
      </c>
      <c r="H5709" s="2">
        <f>269.38</f>
        <v>269.38</v>
      </c>
      <c r="I5709" t="s">
        <v>15</v>
      </c>
      <c r="J5709" t="s">
        <v>205</v>
      </c>
      <c r="K5709" t="str">
        <f>"60129354"</f>
        <v>60129354</v>
      </c>
    </row>
    <row r="5710" spans="1:11" x14ac:dyDescent="0.25">
      <c r="A5710">
        <v>2024</v>
      </c>
      <c r="B5710" t="s">
        <v>8170</v>
      </c>
      <c r="C5710" t="s">
        <v>8171</v>
      </c>
      <c r="D5710" t="s">
        <v>19</v>
      </c>
      <c r="E5710" t="s">
        <v>20</v>
      </c>
      <c r="F5710" t="str">
        <f>"43623-1040"</f>
        <v>43623-1040</v>
      </c>
      <c r="G5710" t="str">
        <f>"716165"</f>
        <v>716165</v>
      </c>
      <c r="H5710" s="2">
        <f>10</f>
        <v>10</v>
      </c>
      <c r="I5710" t="s">
        <v>27</v>
      </c>
      <c r="J5710" t="s">
        <v>34</v>
      </c>
      <c r="K5710" t="str">
        <f>"122876"</f>
        <v>122876</v>
      </c>
    </row>
    <row r="5711" spans="1:11" x14ac:dyDescent="0.25">
      <c r="A5711">
        <v>2024</v>
      </c>
      <c r="B5711" t="s">
        <v>8172</v>
      </c>
      <c r="C5711" t="s">
        <v>8173</v>
      </c>
      <c r="D5711" t="s">
        <v>19</v>
      </c>
      <c r="E5711" t="s">
        <v>20</v>
      </c>
      <c r="F5711" t="str">
        <f>"43614"</f>
        <v>43614</v>
      </c>
      <c r="G5711" t="str">
        <f>"718470"</f>
        <v>718470</v>
      </c>
      <c r="H5711" s="2">
        <f>1.49</f>
        <v>1.49</v>
      </c>
      <c r="I5711" t="s">
        <v>27</v>
      </c>
      <c r="J5711" t="s">
        <v>34</v>
      </c>
      <c r="K5711" t="str">
        <f>"334475"</f>
        <v>334475</v>
      </c>
    </row>
    <row r="5712" spans="1:11" x14ac:dyDescent="0.25">
      <c r="A5712">
        <v>2024</v>
      </c>
      <c r="B5712" t="s">
        <v>8176</v>
      </c>
      <c r="C5712" t="s">
        <v>8177</v>
      </c>
      <c r="D5712" t="s">
        <v>19</v>
      </c>
      <c r="E5712" t="s">
        <v>20</v>
      </c>
      <c r="F5712" t="str">
        <f>"43604"</f>
        <v>43604</v>
      </c>
      <c r="G5712" t="str">
        <f>"719211"</f>
        <v>719211</v>
      </c>
      <c r="H5712" s="2">
        <f>8.46</f>
        <v>8.4600000000000009</v>
      </c>
      <c r="I5712" t="s">
        <v>27</v>
      </c>
      <c r="J5712" t="s">
        <v>200</v>
      </c>
      <c r="K5712" t="str">
        <f>"N/A"</f>
        <v>N/A</v>
      </c>
    </row>
    <row r="5713" spans="1:11" x14ac:dyDescent="0.25">
      <c r="A5713">
        <v>2024</v>
      </c>
      <c r="B5713" t="s">
        <v>8191</v>
      </c>
      <c r="C5713" t="s">
        <v>8192</v>
      </c>
      <c r="D5713" t="s">
        <v>50</v>
      </c>
      <c r="E5713" t="s">
        <v>20</v>
      </c>
      <c r="F5713" t="str">
        <f>"43560-4107"</f>
        <v>43560-4107</v>
      </c>
      <c r="G5713" t="str">
        <f>"716165"</f>
        <v>716165</v>
      </c>
      <c r="H5713" s="2">
        <f>10</f>
        <v>10</v>
      </c>
      <c r="I5713" t="s">
        <v>27</v>
      </c>
      <c r="J5713" t="s">
        <v>34</v>
      </c>
      <c r="K5713" t="str">
        <f>"124431"</f>
        <v>124431</v>
      </c>
    </row>
    <row r="5714" spans="1:11" x14ac:dyDescent="0.25">
      <c r="A5714">
        <v>2024</v>
      </c>
      <c r="B5714" t="s">
        <v>8199</v>
      </c>
      <c r="C5714" t="s">
        <v>8200</v>
      </c>
      <c r="D5714" t="s">
        <v>19</v>
      </c>
      <c r="E5714" t="s">
        <v>20</v>
      </c>
      <c r="F5714" t="str">
        <f>"43604"</f>
        <v>43604</v>
      </c>
      <c r="G5714" t="str">
        <f>"718470"</f>
        <v>718470</v>
      </c>
      <c r="H5714" s="2">
        <f>30.18</f>
        <v>30.18</v>
      </c>
      <c r="I5714" t="s">
        <v>27</v>
      </c>
      <c r="J5714" t="s">
        <v>34</v>
      </c>
      <c r="K5714" t="str">
        <f>"334474"</f>
        <v>334474</v>
      </c>
    </row>
    <row r="5715" spans="1:11" x14ac:dyDescent="0.25">
      <c r="A5715">
        <v>2024</v>
      </c>
      <c r="B5715" t="s">
        <v>8201</v>
      </c>
      <c r="C5715" t="s">
        <v>8202</v>
      </c>
      <c r="D5715" t="s">
        <v>19</v>
      </c>
      <c r="E5715" t="s">
        <v>20</v>
      </c>
      <c r="F5715" t="str">
        <f>"43623-2839"</f>
        <v>43623-2839</v>
      </c>
      <c r="G5715" t="str">
        <f>"716165"</f>
        <v>716165</v>
      </c>
      <c r="H5715" s="2">
        <f>20</f>
        <v>20</v>
      </c>
      <c r="I5715" t="s">
        <v>27</v>
      </c>
      <c r="J5715" t="s">
        <v>34</v>
      </c>
      <c r="K5715" t="str">
        <f>"122440"</f>
        <v>122440</v>
      </c>
    </row>
    <row r="5716" spans="1:11" x14ac:dyDescent="0.25">
      <c r="A5716">
        <v>2024</v>
      </c>
      <c r="B5716" t="s">
        <v>8215</v>
      </c>
      <c r="C5716" t="s">
        <v>8216</v>
      </c>
      <c r="D5716" t="s">
        <v>19</v>
      </c>
      <c r="E5716" t="s">
        <v>20</v>
      </c>
      <c r="F5716" t="str">
        <f>"43612-1125"</f>
        <v>43612-1125</v>
      </c>
      <c r="G5716" t="str">
        <f>"716165"</f>
        <v>716165</v>
      </c>
      <c r="H5716" s="2">
        <f>20</f>
        <v>20</v>
      </c>
      <c r="I5716" t="s">
        <v>27</v>
      </c>
      <c r="J5716" t="s">
        <v>34</v>
      </c>
      <c r="K5716" t="str">
        <f>"121555"</f>
        <v>121555</v>
      </c>
    </row>
    <row r="5717" spans="1:11" x14ac:dyDescent="0.25">
      <c r="A5717">
        <v>2024</v>
      </c>
      <c r="B5717" t="s">
        <v>8221</v>
      </c>
      <c r="C5717" t="s">
        <v>8222</v>
      </c>
      <c r="D5717" t="s">
        <v>19</v>
      </c>
      <c r="E5717" t="s">
        <v>20</v>
      </c>
      <c r="F5717" t="str">
        <f>"43614"</f>
        <v>43614</v>
      </c>
      <c r="G5717" t="str">
        <f>"Je03262024"</f>
        <v>Je03262024</v>
      </c>
      <c r="H5717" s="2">
        <f>26.39</f>
        <v>26.39</v>
      </c>
      <c r="I5717" t="s">
        <v>15</v>
      </c>
      <c r="J5717" t="s">
        <v>21</v>
      </c>
      <c r="K5717" t="str">
        <f>"60110886"</f>
        <v>60110886</v>
      </c>
    </row>
    <row r="5718" spans="1:11" x14ac:dyDescent="0.25">
      <c r="A5718">
        <v>2024</v>
      </c>
      <c r="B5718" t="s">
        <v>8231</v>
      </c>
      <c r="C5718" t="s">
        <v>8232</v>
      </c>
      <c r="D5718" t="s">
        <v>19</v>
      </c>
      <c r="E5718" t="s">
        <v>20</v>
      </c>
      <c r="F5718" t="str">
        <f>"43623-1155"</f>
        <v>43623-1155</v>
      </c>
      <c r="G5718" t="str">
        <f>"716165"</f>
        <v>716165</v>
      </c>
      <c r="H5718" s="2">
        <f>10</f>
        <v>10</v>
      </c>
      <c r="I5718" t="s">
        <v>27</v>
      </c>
      <c r="J5718" t="s">
        <v>34</v>
      </c>
      <c r="K5718" t="str">
        <f>"124322"</f>
        <v>124322</v>
      </c>
    </row>
    <row r="5719" spans="1:11" x14ac:dyDescent="0.25">
      <c r="A5719">
        <v>2024</v>
      </c>
      <c r="B5719" t="s">
        <v>8233</v>
      </c>
      <c r="C5719" t="s">
        <v>8234</v>
      </c>
      <c r="D5719" t="s">
        <v>19</v>
      </c>
      <c r="E5719" t="s">
        <v>20</v>
      </c>
      <c r="F5719" t="str">
        <f>"43612-3408"</f>
        <v>43612-3408</v>
      </c>
      <c r="G5719" t="str">
        <f>"716165"</f>
        <v>716165</v>
      </c>
      <c r="H5719" s="2">
        <f>20</f>
        <v>20</v>
      </c>
      <c r="I5719" t="s">
        <v>27</v>
      </c>
      <c r="J5719" t="s">
        <v>34</v>
      </c>
      <c r="K5719" t="str">
        <f>"124867"</f>
        <v>124867</v>
      </c>
    </row>
    <row r="5720" spans="1:11" x14ac:dyDescent="0.25">
      <c r="A5720">
        <v>2024</v>
      </c>
      <c r="B5720" t="s">
        <v>8235</v>
      </c>
      <c r="C5720" t="s">
        <v>8236</v>
      </c>
      <c r="D5720" t="s">
        <v>19</v>
      </c>
      <c r="E5720" t="s">
        <v>20</v>
      </c>
      <c r="F5720" t="str">
        <f>"43614-3801"</f>
        <v>43614-3801</v>
      </c>
      <c r="G5720" t="str">
        <f>"716165"</f>
        <v>716165</v>
      </c>
      <c r="H5720" s="2">
        <f>10</f>
        <v>10</v>
      </c>
      <c r="I5720" t="s">
        <v>27</v>
      </c>
      <c r="J5720" t="s">
        <v>34</v>
      </c>
      <c r="K5720" t="str">
        <f>"124972"</f>
        <v>124972</v>
      </c>
    </row>
    <row r="5721" spans="1:11" x14ac:dyDescent="0.25">
      <c r="A5721">
        <v>2024</v>
      </c>
      <c r="B5721" t="s">
        <v>8237</v>
      </c>
      <c r="C5721" t="s">
        <v>8238</v>
      </c>
      <c r="D5721" t="s">
        <v>19</v>
      </c>
      <c r="E5721" t="s">
        <v>20</v>
      </c>
      <c r="F5721" t="str">
        <f>"43614-5435"</f>
        <v>43614-5435</v>
      </c>
      <c r="G5721" t="str">
        <f>"716165"</f>
        <v>716165</v>
      </c>
      <c r="H5721" s="2">
        <f>20</f>
        <v>20</v>
      </c>
      <c r="I5721" t="s">
        <v>27</v>
      </c>
      <c r="J5721" t="s">
        <v>34</v>
      </c>
      <c r="K5721" t="str">
        <f>"124862"</f>
        <v>124862</v>
      </c>
    </row>
    <row r="5722" spans="1:11" x14ac:dyDescent="0.25">
      <c r="A5722">
        <v>2024</v>
      </c>
      <c r="B5722" t="s">
        <v>8239</v>
      </c>
      <c r="C5722" t="s">
        <v>8240</v>
      </c>
      <c r="D5722" t="s">
        <v>125</v>
      </c>
      <c r="E5722" t="s">
        <v>20</v>
      </c>
      <c r="F5722" t="str">
        <f>"43537-3503"</f>
        <v>43537-3503</v>
      </c>
      <c r="G5722" t="str">
        <f>"716165"</f>
        <v>716165</v>
      </c>
      <c r="H5722" s="2">
        <f>10</f>
        <v>10</v>
      </c>
      <c r="I5722" t="s">
        <v>27</v>
      </c>
      <c r="J5722" t="s">
        <v>34</v>
      </c>
      <c r="K5722" t="str">
        <f>"121462"</f>
        <v>121462</v>
      </c>
    </row>
    <row r="5723" spans="1:11" x14ac:dyDescent="0.25">
      <c r="A5723">
        <v>2024</v>
      </c>
      <c r="B5723" t="s">
        <v>8245</v>
      </c>
      <c r="C5723" t="s">
        <v>8246</v>
      </c>
      <c r="D5723" t="s">
        <v>8247</v>
      </c>
      <c r="E5723" t="s">
        <v>20</v>
      </c>
      <c r="F5723" t="str">
        <f>"45212"</f>
        <v>45212</v>
      </c>
      <c r="G5723" t="str">
        <f>"716166"</f>
        <v>716166</v>
      </c>
      <c r="H5723" s="2">
        <f>149.05</f>
        <v>149.05000000000001</v>
      </c>
      <c r="I5723" t="s">
        <v>27</v>
      </c>
      <c r="J5723" t="s">
        <v>262</v>
      </c>
      <c r="K5723" t="str">
        <f>"41636"</f>
        <v>41636</v>
      </c>
    </row>
    <row r="5724" spans="1:11" x14ac:dyDescent="0.25">
      <c r="A5724">
        <v>2024</v>
      </c>
      <c r="B5724" t="s">
        <v>8248</v>
      </c>
      <c r="C5724" t="s">
        <v>8249</v>
      </c>
      <c r="D5724" t="s">
        <v>125</v>
      </c>
      <c r="E5724" t="s">
        <v>20</v>
      </c>
      <c r="F5724" t="str">
        <f>"43537-2349"</f>
        <v>43537-2349</v>
      </c>
      <c r="G5724" t="str">
        <f>"716165"</f>
        <v>716165</v>
      </c>
      <c r="H5724" s="2">
        <f>20</f>
        <v>20</v>
      </c>
      <c r="I5724" t="s">
        <v>27</v>
      </c>
      <c r="J5724" t="s">
        <v>34</v>
      </c>
      <c r="K5724" t="str">
        <f>"123611"</f>
        <v>123611</v>
      </c>
    </row>
    <row r="5725" spans="1:11" x14ac:dyDescent="0.25">
      <c r="A5725">
        <v>2024</v>
      </c>
      <c r="B5725" t="s">
        <v>8252</v>
      </c>
      <c r="C5725" t="s">
        <v>8253</v>
      </c>
      <c r="D5725" t="s">
        <v>58</v>
      </c>
      <c r="E5725" t="s">
        <v>20</v>
      </c>
      <c r="F5725" t="str">
        <f>"43616-2807"</f>
        <v>43616-2807</v>
      </c>
      <c r="G5725" t="str">
        <f>"716165"</f>
        <v>716165</v>
      </c>
      <c r="H5725" s="2">
        <f>10</f>
        <v>10</v>
      </c>
      <c r="I5725" t="s">
        <v>27</v>
      </c>
      <c r="J5725" t="s">
        <v>34</v>
      </c>
      <c r="K5725" t="str">
        <f>"124360"</f>
        <v>124360</v>
      </c>
    </row>
    <row r="5726" spans="1:11" x14ac:dyDescent="0.25">
      <c r="A5726">
        <v>2024</v>
      </c>
      <c r="B5726" t="s">
        <v>8258</v>
      </c>
      <c r="C5726" t="s">
        <v>8259</v>
      </c>
      <c r="D5726" t="s">
        <v>105</v>
      </c>
      <c r="E5726" t="s">
        <v>20</v>
      </c>
      <c r="F5726" t="str">
        <f>"43528-7960"</f>
        <v>43528-7960</v>
      </c>
      <c r="G5726" t="str">
        <f>"Je08072024"</f>
        <v>Je08072024</v>
      </c>
      <c r="H5726" s="2">
        <f>246.03</f>
        <v>246.03</v>
      </c>
      <c r="I5726" t="s">
        <v>15</v>
      </c>
      <c r="J5726" t="s">
        <v>1647</v>
      </c>
      <c r="K5726" t="str">
        <f>"60115891"</f>
        <v>60115891</v>
      </c>
    </row>
    <row r="5727" spans="1:11" x14ac:dyDescent="0.25">
      <c r="A5727">
        <v>2024</v>
      </c>
      <c r="B5727" t="s">
        <v>8299</v>
      </c>
      <c r="C5727" t="s">
        <v>8300</v>
      </c>
      <c r="D5727" t="s">
        <v>111</v>
      </c>
      <c r="E5727" t="s">
        <v>20</v>
      </c>
      <c r="F5727" t="str">
        <f>"43215"</f>
        <v>43215</v>
      </c>
      <c r="G5727" t="str">
        <f>"716166"</f>
        <v>716166</v>
      </c>
      <c r="H5727" s="2">
        <f>12</f>
        <v>12</v>
      </c>
      <c r="I5727" t="s">
        <v>27</v>
      </c>
      <c r="J5727" t="s">
        <v>262</v>
      </c>
      <c r="K5727" t="str">
        <f>"42660"</f>
        <v>42660</v>
      </c>
    </row>
    <row r="5728" spans="1:11" x14ac:dyDescent="0.25">
      <c r="A5728">
        <v>2024</v>
      </c>
      <c r="B5728" t="s">
        <v>8302</v>
      </c>
      <c r="C5728" t="s">
        <v>8303</v>
      </c>
      <c r="D5728" t="s">
        <v>105</v>
      </c>
      <c r="E5728" t="s">
        <v>20</v>
      </c>
      <c r="F5728" t="str">
        <f>"43528-8116"</f>
        <v>43528-8116</v>
      </c>
      <c r="G5728" t="str">
        <f>"716165"</f>
        <v>716165</v>
      </c>
      <c r="H5728" s="2">
        <f>10</f>
        <v>10</v>
      </c>
      <c r="I5728" t="s">
        <v>27</v>
      </c>
      <c r="J5728" t="s">
        <v>34</v>
      </c>
      <c r="K5728" t="str">
        <f>"122964"</f>
        <v>122964</v>
      </c>
    </row>
    <row r="5729" spans="1:11" x14ac:dyDescent="0.25">
      <c r="A5729">
        <v>2024</v>
      </c>
      <c r="B5729" t="s">
        <v>8321</v>
      </c>
      <c r="C5729" t="s">
        <v>8322</v>
      </c>
      <c r="D5729" t="s">
        <v>19</v>
      </c>
      <c r="E5729" t="s">
        <v>20</v>
      </c>
      <c r="F5729" t="str">
        <f>"43604-1463"</f>
        <v>43604-1463</v>
      </c>
      <c r="G5729" t="str">
        <f>"716165"</f>
        <v>716165</v>
      </c>
      <c r="H5729" s="2">
        <f>10</f>
        <v>10</v>
      </c>
      <c r="I5729" t="s">
        <v>27</v>
      </c>
      <c r="J5729" t="s">
        <v>34</v>
      </c>
      <c r="K5729" t="str">
        <f>"121096"</f>
        <v>121096</v>
      </c>
    </row>
    <row r="5730" spans="1:11" x14ac:dyDescent="0.25">
      <c r="A5730">
        <v>2024</v>
      </c>
      <c r="B5730" t="s">
        <v>8325</v>
      </c>
      <c r="C5730" t="s">
        <v>8326</v>
      </c>
      <c r="D5730" t="s">
        <v>19</v>
      </c>
      <c r="E5730" t="s">
        <v>20</v>
      </c>
      <c r="F5730" t="str">
        <f>"43612"</f>
        <v>43612</v>
      </c>
      <c r="G5730" t="str">
        <f>"718470"</f>
        <v>718470</v>
      </c>
      <c r="H5730" s="2">
        <f>10.65</f>
        <v>10.65</v>
      </c>
      <c r="I5730" t="s">
        <v>27</v>
      </c>
      <c r="J5730" t="s">
        <v>34</v>
      </c>
      <c r="K5730" t="str">
        <f>"334497"</f>
        <v>334497</v>
      </c>
    </row>
    <row r="5731" spans="1:11" x14ac:dyDescent="0.25">
      <c r="A5731">
        <v>2024</v>
      </c>
      <c r="B5731" t="s">
        <v>8339</v>
      </c>
      <c r="C5731" t="s">
        <v>8340</v>
      </c>
      <c r="D5731" t="s">
        <v>19</v>
      </c>
      <c r="E5731" t="s">
        <v>20</v>
      </c>
      <c r="F5731" t="str">
        <f>"43606-1971"</f>
        <v>43606-1971</v>
      </c>
      <c r="G5731" t="str">
        <f>"716165"</f>
        <v>716165</v>
      </c>
      <c r="H5731" s="2">
        <f>100</f>
        <v>100</v>
      </c>
      <c r="I5731" t="s">
        <v>27</v>
      </c>
      <c r="J5731" t="s">
        <v>34</v>
      </c>
      <c r="K5731" t="str">
        <f>"122442"</f>
        <v>122442</v>
      </c>
    </row>
    <row r="5732" spans="1:11" x14ac:dyDescent="0.25">
      <c r="A5732">
        <v>2024</v>
      </c>
      <c r="B5732" t="s">
        <v>8342</v>
      </c>
      <c r="C5732" t="s">
        <v>8343</v>
      </c>
      <c r="D5732" t="s">
        <v>380</v>
      </c>
      <c r="E5732" t="s">
        <v>20</v>
      </c>
      <c r="F5732" t="str">
        <f>"44406"</f>
        <v>44406</v>
      </c>
      <c r="G5732" t="str">
        <f>"716166"</f>
        <v>716166</v>
      </c>
      <c r="H5732" s="2">
        <f>20</f>
        <v>20</v>
      </c>
      <c r="I5732" t="s">
        <v>27</v>
      </c>
      <c r="J5732" t="s">
        <v>262</v>
      </c>
      <c r="K5732" t="str">
        <f>"41471"</f>
        <v>41471</v>
      </c>
    </row>
    <row r="5733" spans="1:11" x14ac:dyDescent="0.25">
      <c r="A5733">
        <v>2024</v>
      </c>
      <c r="B5733" t="s">
        <v>8345</v>
      </c>
      <c r="C5733" t="s">
        <v>8343</v>
      </c>
      <c r="D5733" t="s">
        <v>380</v>
      </c>
      <c r="E5733" t="s">
        <v>20</v>
      </c>
      <c r="F5733" t="str">
        <f>"44406"</f>
        <v>44406</v>
      </c>
      <c r="G5733" t="str">
        <f>"716166"</f>
        <v>716166</v>
      </c>
      <c r="H5733" s="2">
        <f>3.25</f>
        <v>3.25</v>
      </c>
      <c r="I5733" t="s">
        <v>27</v>
      </c>
      <c r="J5733" t="s">
        <v>262</v>
      </c>
      <c r="K5733" t="str">
        <f>"41246"</f>
        <v>41246</v>
      </c>
    </row>
    <row r="5734" spans="1:11" x14ac:dyDescent="0.25">
      <c r="A5734">
        <v>2024</v>
      </c>
      <c r="B5734" t="s">
        <v>8346</v>
      </c>
      <c r="C5734" t="s">
        <v>8347</v>
      </c>
      <c r="D5734" t="s">
        <v>19</v>
      </c>
      <c r="E5734" t="s">
        <v>20</v>
      </c>
      <c r="F5734" t="str">
        <f>"43623"</f>
        <v>43623</v>
      </c>
      <c r="G5734" t="str">
        <f>"716166"</f>
        <v>716166</v>
      </c>
      <c r="H5734" s="2">
        <f>20</f>
        <v>20</v>
      </c>
      <c r="I5734" t="s">
        <v>27</v>
      </c>
      <c r="J5734" t="s">
        <v>262</v>
      </c>
      <c r="K5734" t="str">
        <f>"43495"</f>
        <v>43495</v>
      </c>
    </row>
    <row r="5735" spans="1:11" x14ac:dyDescent="0.25">
      <c r="A5735">
        <v>2024</v>
      </c>
      <c r="B5735" t="s">
        <v>8348</v>
      </c>
      <c r="C5735" t="s">
        <v>8349</v>
      </c>
      <c r="D5735" t="s">
        <v>19</v>
      </c>
      <c r="E5735" t="s">
        <v>20</v>
      </c>
      <c r="F5735" t="str">
        <f>"43609-1574"</f>
        <v>43609-1574</v>
      </c>
      <c r="G5735" t="str">
        <f>"716165"</f>
        <v>716165</v>
      </c>
      <c r="H5735" s="2">
        <f>10</f>
        <v>10</v>
      </c>
      <c r="I5735" t="s">
        <v>27</v>
      </c>
      <c r="J5735" t="s">
        <v>34</v>
      </c>
      <c r="K5735" t="str">
        <f>"121011"</f>
        <v>121011</v>
      </c>
    </row>
    <row r="5736" spans="1:11" x14ac:dyDescent="0.25">
      <c r="A5736">
        <v>2024</v>
      </c>
      <c r="B5736" t="s">
        <v>8350</v>
      </c>
      <c r="C5736" t="s">
        <v>8351</v>
      </c>
      <c r="D5736" t="s">
        <v>58</v>
      </c>
      <c r="E5736" t="s">
        <v>20</v>
      </c>
      <c r="F5736" t="str">
        <f>"43616-3720"</f>
        <v>43616-3720</v>
      </c>
      <c r="G5736" t="str">
        <f>"716165"</f>
        <v>716165</v>
      </c>
      <c r="H5736" s="2">
        <f>20</f>
        <v>20</v>
      </c>
      <c r="I5736" t="s">
        <v>27</v>
      </c>
      <c r="J5736" t="s">
        <v>34</v>
      </c>
      <c r="K5736" t="str">
        <f>"124786"</f>
        <v>124786</v>
      </c>
    </row>
    <row r="5737" spans="1:11" x14ac:dyDescent="0.25">
      <c r="A5737">
        <v>2024</v>
      </c>
      <c r="B5737" t="s">
        <v>8371</v>
      </c>
      <c r="C5737" t="s">
        <v>8372</v>
      </c>
      <c r="D5737" t="s">
        <v>19</v>
      </c>
      <c r="E5737" t="s">
        <v>20</v>
      </c>
      <c r="F5737" t="str">
        <f>"43604"</f>
        <v>43604</v>
      </c>
      <c r="G5737" t="str">
        <f>"Je03262024"</f>
        <v>Je03262024</v>
      </c>
      <c r="H5737" s="2">
        <f>495</f>
        <v>495</v>
      </c>
      <c r="I5737" t="s">
        <v>15</v>
      </c>
      <c r="J5737" t="s">
        <v>21</v>
      </c>
      <c r="K5737" t="str">
        <f>"60082868"</f>
        <v>60082868</v>
      </c>
    </row>
    <row r="5738" spans="1:11" x14ac:dyDescent="0.25">
      <c r="A5738">
        <v>2024</v>
      </c>
      <c r="B5738" t="s">
        <v>8373</v>
      </c>
      <c r="C5738" t="s">
        <v>8374</v>
      </c>
      <c r="D5738" t="s">
        <v>19</v>
      </c>
      <c r="E5738" t="s">
        <v>20</v>
      </c>
      <c r="F5738" t="str">
        <f>"43604"</f>
        <v>43604</v>
      </c>
      <c r="G5738" t="str">
        <f>"716166"</f>
        <v>716166</v>
      </c>
      <c r="H5738" s="2">
        <f>14</f>
        <v>14</v>
      </c>
      <c r="I5738" t="s">
        <v>27</v>
      </c>
      <c r="J5738" t="s">
        <v>262</v>
      </c>
      <c r="K5738" t="str">
        <f>"41558"</f>
        <v>41558</v>
      </c>
    </row>
    <row r="5739" spans="1:11" x14ac:dyDescent="0.25">
      <c r="A5739">
        <v>2024</v>
      </c>
      <c r="B5739" t="s">
        <v>8375</v>
      </c>
      <c r="C5739" t="s">
        <v>8376</v>
      </c>
      <c r="D5739" t="s">
        <v>64</v>
      </c>
      <c r="E5739" t="s">
        <v>20</v>
      </c>
      <c r="F5739" t="str">
        <f>"43566-9644"</f>
        <v>43566-9644</v>
      </c>
      <c r="G5739" t="str">
        <f t="shared" ref="G5739:G5745" si="202">"716165"</f>
        <v>716165</v>
      </c>
      <c r="H5739" s="2">
        <f>20</f>
        <v>20</v>
      </c>
      <c r="I5739" t="s">
        <v>27</v>
      </c>
      <c r="J5739" t="s">
        <v>34</v>
      </c>
      <c r="K5739" t="str">
        <f>"123539"</f>
        <v>123539</v>
      </c>
    </row>
    <row r="5740" spans="1:11" x14ac:dyDescent="0.25">
      <c r="A5740">
        <v>2024</v>
      </c>
      <c r="B5740" t="s">
        <v>8384</v>
      </c>
      <c r="C5740" t="s">
        <v>8385</v>
      </c>
      <c r="D5740" t="s">
        <v>45</v>
      </c>
      <c r="E5740" t="s">
        <v>20</v>
      </c>
      <c r="F5740" t="str">
        <f>"43542-9610"</f>
        <v>43542-9610</v>
      </c>
      <c r="G5740" t="str">
        <f t="shared" si="202"/>
        <v>716165</v>
      </c>
      <c r="H5740" s="2">
        <f>10</f>
        <v>10</v>
      </c>
      <c r="I5740" t="s">
        <v>27</v>
      </c>
      <c r="J5740" t="s">
        <v>34</v>
      </c>
      <c r="K5740" t="str">
        <f>"124358"</f>
        <v>124358</v>
      </c>
    </row>
    <row r="5741" spans="1:11" x14ac:dyDescent="0.25">
      <c r="A5741">
        <v>2024</v>
      </c>
      <c r="B5741" t="s">
        <v>8407</v>
      </c>
      <c r="C5741" t="s">
        <v>8408</v>
      </c>
      <c r="D5741" t="s">
        <v>58</v>
      </c>
      <c r="E5741" t="s">
        <v>20</v>
      </c>
      <c r="F5741" t="str">
        <f>"43616-2220"</f>
        <v>43616-2220</v>
      </c>
      <c r="G5741" t="str">
        <f t="shared" si="202"/>
        <v>716165</v>
      </c>
      <c r="H5741" s="2">
        <f>10</f>
        <v>10</v>
      </c>
      <c r="I5741" t="s">
        <v>27</v>
      </c>
      <c r="J5741" t="s">
        <v>34</v>
      </c>
      <c r="K5741" t="str">
        <f>"125141"</f>
        <v>125141</v>
      </c>
    </row>
    <row r="5742" spans="1:11" x14ac:dyDescent="0.25">
      <c r="A5742">
        <v>2024</v>
      </c>
      <c r="B5742" t="s">
        <v>8417</v>
      </c>
      <c r="C5742" t="s">
        <v>7662</v>
      </c>
      <c r="D5742" t="s">
        <v>50</v>
      </c>
      <c r="E5742" t="s">
        <v>20</v>
      </c>
      <c r="F5742" t="str">
        <f>"43560-9253"</f>
        <v>43560-9253</v>
      </c>
      <c r="G5742" t="str">
        <f t="shared" si="202"/>
        <v>716165</v>
      </c>
      <c r="H5742" s="2">
        <f>30</f>
        <v>30</v>
      </c>
      <c r="I5742" t="s">
        <v>27</v>
      </c>
      <c r="J5742" t="s">
        <v>34</v>
      </c>
      <c r="K5742" t="str">
        <f>"124765"</f>
        <v>124765</v>
      </c>
    </row>
    <row r="5743" spans="1:11" x14ac:dyDescent="0.25">
      <c r="A5743">
        <v>2024</v>
      </c>
      <c r="B5743" t="s">
        <v>8417</v>
      </c>
      <c r="C5743" t="s">
        <v>7662</v>
      </c>
      <c r="D5743" t="s">
        <v>50</v>
      </c>
      <c r="E5743" t="s">
        <v>20</v>
      </c>
      <c r="F5743" t="str">
        <f>"43560-9253"</f>
        <v>43560-9253</v>
      </c>
      <c r="G5743" t="str">
        <f t="shared" si="202"/>
        <v>716165</v>
      </c>
      <c r="H5743" s="2">
        <f>40</f>
        <v>40</v>
      </c>
      <c r="I5743" t="s">
        <v>27</v>
      </c>
      <c r="J5743" t="s">
        <v>34</v>
      </c>
      <c r="K5743" t="str">
        <f>"124664"</f>
        <v>124664</v>
      </c>
    </row>
    <row r="5744" spans="1:11" x14ac:dyDescent="0.25">
      <c r="A5744">
        <v>2024</v>
      </c>
      <c r="B5744" t="s">
        <v>8422</v>
      </c>
      <c r="C5744" t="s">
        <v>8423</v>
      </c>
      <c r="D5744" t="s">
        <v>50</v>
      </c>
      <c r="E5744" t="s">
        <v>20</v>
      </c>
      <c r="F5744" t="str">
        <f>"43560-1308"</f>
        <v>43560-1308</v>
      </c>
      <c r="G5744" t="str">
        <f t="shared" si="202"/>
        <v>716165</v>
      </c>
      <c r="H5744" s="2">
        <f>10</f>
        <v>10</v>
      </c>
      <c r="I5744" t="s">
        <v>27</v>
      </c>
      <c r="J5744" t="s">
        <v>34</v>
      </c>
      <c r="K5744" t="str">
        <f>"121826"</f>
        <v>121826</v>
      </c>
    </row>
    <row r="5745" spans="1:11" x14ac:dyDescent="0.25">
      <c r="A5745">
        <v>2024</v>
      </c>
      <c r="B5745" t="s">
        <v>8426</v>
      </c>
      <c r="C5745" t="s">
        <v>8427</v>
      </c>
      <c r="D5745" t="s">
        <v>19</v>
      </c>
      <c r="E5745" t="s">
        <v>20</v>
      </c>
      <c r="F5745" t="str">
        <f>"43612-3353"</f>
        <v>43612-3353</v>
      </c>
      <c r="G5745" t="str">
        <f t="shared" si="202"/>
        <v>716165</v>
      </c>
      <c r="H5745" s="2">
        <f>20</f>
        <v>20</v>
      </c>
      <c r="I5745" t="s">
        <v>27</v>
      </c>
      <c r="J5745" t="s">
        <v>34</v>
      </c>
      <c r="K5745" t="str">
        <f>"124511"</f>
        <v>124511</v>
      </c>
    </row>
    <row r="5746" spans="1:11" x14ac:dyDescent="0.25">
      <c r="A5746">
        <v>2024</v>
      </c>
      <c r="B5746" t="s">
        <v>8440</v>
      </c>
      <c r="C5746" t="s">
        <v>8441</v>
      </c>
      <c r="D5746" t="s">
        <v>4977</v>
      </c>
      <c r="E5746" t="s">
        <v>20</v>
      </c>
      <c r="F5746" t="str">
        <f>"44122"</f>
        <v>44122</v>
      </c>
      <c r="G5746" t="str">
        <f>"701123"</f>
        <v>701123</v>
      </c>
      <c r="H5746" s="2">
        <f>10</f>
        <v>10</v>
      </c>
      <c r="I5746" t="s">
        <v>148</v>
      </c>
      <c r="J5746" t="s">
        <v>8442</v>
      </c>
      <c r="K5746" t="str">
        <f>"26769"</f>
        <v>26769</v>
      </c>
    </row>
    <row r="5747" spans="1:11" x14ac:dyDescent="0.25">
      <c r="A5747">
        <v>2024</v>
      </c>
      <c r="B5747" t="s">
        <v>8451</v>
      </c>
      <c r="C5747" t="s">
        <v>8452</v>
      </c>
      <c r="D5747" t="s">
        <v>19</v>
      </c>
      <c r="E5747" t="s">
        <v>20</v>
      </c>
      <c r="F5747" t="str">
        <f>"43623-3407"</f>
        <v>43623-3407</v>
      </c>
      <c r="G5747" t="str">
        <f t="shared" ref="G5747:G5752" si="203">"716165"</f>
        <v>716165</v>
      </c>
      <c r="H5747" s="2">
        <f>10</f>
        <v>10</v>
      </c>
      <c r="I5747" t="s">
        <v>27</v>
      </c>
      <c r="J5747" t="s">
        <v>34</v>
      </c>
      <c r="K5747" t="str">
        <f>"124231"</f>
        <v>124231</v>
      </c>
    </row>
    <row r="5748" spans="1:11" x14ac:dyDescent="0.25">
      <c r="A5748">
        <v>2024</v>
      </c>
      <c r="B5748" t="s">
        <v>8455</v>
      </c>
      <c r="C5748" t="s">
        <v>8456</v>
      </c>
      <c r="D5748" t="s">
        <v>19</v>
      </c>
      <c r="E5748" t="s">
        <v>20</v>
      </c>
      <c r="F5748" t="str">
        <f>"43615-1657"</f>
        <v>43615-1657</v>
      </c>
      <c r="G5748" t="str">
        <f t="shared" si="203"/>
        <v>716165</v>
      </c>
      <c r="H5748" s="2">
        <f>10</f>
        <v>10</v>
      </c>
      <c r="I5748" t="s">
        <v>27</v>
      </c>
      <c r="J5748" t="s">
        <v>34</v>
      </c>
      <c r="K5748" t="str">
        <f>"121234"</f>
        <v>121234</v>
      </c>
    </row>
    <row r="5749" spans="1:11" x14ac:dyDescent="0.25">
      <c r="A5749">
        <v>2024</v>
      </c>
      <c r="B5749" t="s">
        <v>8459</v>
      </c>
      <c r="C5749" t="s">
        <v>8460</v>
      </c>
      <c r="D5749" t="s">
        <v>19</v>
      </c>
      <c r="E5749" t="s">
        <v>20</v>
      </c>
      <c r="F5749" t="str">
        <f>"43607-1317"</f>
        <v>43607-1317</v>
      </c>
      <c r="G5749" t="str">
        <f t="shared" si="203"/>
        <v>716165</v>
      </c>
      <c r="H5749" s="2">
        <f>10</f>
        <v>10</v>
      </c>
      <c r="I5749" t="s">
        <v>27</v>
      </c>
      <c r="J5749" t="s">
        <v>34</v>
      </c>
      <c r="K5749" t="str">
        <f>"123812"</f>
        <v>123812</v>
      </c>
    </row>
    <row r="5750" spans="1:11" x14ac:dyDescent="0.25">
      <c r="A5750">
        <v>2024</v>
      </c>
      <c r="B5750" t="s">
        <v>8468</v>
      </c>
      <c r="C5750" t="s">
        <v>8469</v>
      </c>
      <c r="D5750" t="s">
        <v>19</v>
      </c>
      <c r="E5750" t="s">
        <v>20</v>
      </c>
      <c r="F5750" t="str">
        <f>"43623-2007"</f>
        <v>43623-2007</v>
      </c>
      <c r="G5750" t="str">
        <f t="shared" si="203"/>
        <v>716165</v>
      </c>
      <c r="H5750" s="2">
        <f>10</f>
        <v>10</v>
      </c>
      <c r="I5750" t="s">
        <v>27</v>
      </c>
      <c r="J5750" t="s">
        <v>34</v>
      </c>
      <c r="K5750" t="str">
        <f>"121045"</f>
        <v>121045</v>
      </c>
    </row>
    <row r="5751" spans="1:11" x14ac:dyDescent="0.25">
      <c r="A5751">
        <v>2024</v>
      </c>
      <c r="B5751" t="s">
        <v>8470</v>
      </c>
      <c r="C5751" t="s">
        <v>8471</v>
      </c>
      <c r="D5751" t="s">
        <v>58</v>
      </c>
      <c r="E5751" t="s">
        <v>20</v>
      </c>
      <c r="F5751" t="str">
        <f>"43616-4581"</f>
        <v>43616-4581</v>
      </c>
      <c r="G5751" t="str">
        <f t="shared" si="203"/>
        <v>716165</v>
      </c>
      <c r="H5751" s="2">
        <f>10</f>
        <v>10</v>
      </c>
      <c r="I5751" t="s">
        <v>27</v>
      </c>
      <c r="J5751" t="s">
        <v>34</v>
      </c>
      <c r="K5751" t="str">
        <f>"123043"</f>
        <v>123043</v>
      </c>
    </row>
    <row r="5752" spans="1:11" x14ac:dyDescent="0.25">
      <c r="A5752">
        <v>2024</v>
      </c>
      <c r="B5752" t="s">
        <v>8491</v>
      </c>
      <c r="C5752" t="s">
        <v>8492</v>
      </c>
      <c r="D5752" t="s">
        <v>105</v>
      </c>
      <c r="E5752" t="s">
        <v>20</v>
      </c>
      <c r="F5752" t="str">
        <f>"43528-9210"</f>
        <v>43528-9210</v>
      </c>
      <c r="G5752" t="str">
        <f t="shared" si="203"/>
        <v>716165</v>
      </c>
      <c r="H5752" s="2">
        <f>20</f>
        <v>20</v>
      </c>
      <c r="I5752" t="s">
        <v>27</v>
      </c>
      <c r="J5752" t="s">
        <v>34</v>
      </c>
      <c r="K5752" t="str">
        <f>"121597"</f>
        <v>121597</v>
      </c>
    </row>
    <row r="5753" spans="1:11" x14ac:dyDescent="0.25">
      <c r="A5753">
        <v>2024</v>
      </c>
      <c r="B5753" t="s">
        <v>8497</v>
      </c>
      <c r="C5753" t="s">
        <v>8498</v>
      </c>
      <c r="D5753" t="s">
        <v>771</v>
      </c>
      <c r="E5753" t="s">
        <v>20</v>
      </c>
      <c r="F5753" t="str">
        <f>"43460"</f>
        <v>43460</v>
      </c>
      <c r="G5753" t="str">
        <f>"716619"</f>
        <v>716619</v>
      </c>
      <c r="H5753" s="2">
        <f>2</f>
        <v>2</v>
      </c>
      <c r="I5753" t="s">
        <v>27</v>
      </c>
      <c r="J5753" t="s">
        <v>34</v>
      </c>
      <c r="K5753" t="str">
        <f>"33012329"</f>
        <v>33012329</v>
      </c>
    </row>
    <row r="5754" spans="1:11" x14ac:dyDescent="0.25">
      <c r="A5754">
        <v>2024</v>
      </c>
      <c r="B5754" t="s">
        <v>8513</v>
      </c>
      <c r="C5754" t="s">
        <v>8514</v>
      </c>
      <c r="D5754" t="s">
        <v>50</v>
      </c>
      <c r="E5754" t="s">
        <v>20</v>
      </c>
      <c r="F5754" t="str">
        <f>"43560-9256"</f>
        <v>43560-9256</v>
      </c>
      <c r="G5754" t="str">
        <f>"716165"</f>
        <v>716165</v>
      </c>
      <c r="H5754" s="2">
        <f>10</f>
        <v>10</v>
      </c>
      <c r="I5754" t="s">
        <v>27</v>
      </c>
      <c r="J5754" t="s">
        <v>34</v>
      </c>
      <c r="K5754" t="str">
        <f>"124955"</f>
        <v>124955</v>
      </c>
    </row>
    <row r="5755" spans="1:11" x14ac:dyDescent="0.25">
      <c r="A5755">
        <v>2024</v>
      </c>
      <c r="B5755" t="s">
        <v>8515</v>
      </c>
      <c r="C5755" t="s">
        <v>8516</v>
      </c>
      <c r="D5755" t="s">
        <v>8517</v>
      </c>
      <c r="E5755" t="s">
        <v>216</v>
      </c>
      <c r="F5755" t="str">
        <f>"46360"</f>
        <v>46360</v>
      </c>
      <c r="G5755" t="str">
        <f>"716619"</f>
        <v>716619</v>
      </c>
      <c r="H5755" s="2">
        <f>9</f>
        <v>9</v>
      </c>
      <c r="I5755" t="s">
        <v>27</v>
      </c>
      <c r="J5755" t="s">
        <v>34</v>
      </c>
      <c r="K5755" t="str">
        <f>"33012521"</f>
        <v>33012521</v>
      </c>
    </row>
    <row r="5756" spans="1:11" x14ac:dyDescent="0.25">
      <c r="A5756">
        <v>2024</v>
      </c>
      <c r="B5756" t="s">
        <v>8550</v>
      </c>
      <c r="C5756" t="s">
        <v>8551</v>
      </c>
      <c r="D5756" t="s">
        <v>19</v>
      </c>
      <c r="E5756" t="s">
        <v>20</v>
      </c>
      <c r="F5756" t="str">
        <f>"43615-3615"</f>
        <v>43615-3615</v>
      </c>
      <c r="G5756" t="str">
        <f>"716165"</f>
        <v>716165</v>
      </c>
      <c r="H5756" s="2">
        <f>10</f>
        <v>10</v>
      </c>
      <c r="I5756" t="s">
        <v>27</v>
      </c>
      <c r="J5756" t="s">
        <v>34</v>
      </c>
      <c r="K5756" t="str">
        <f>"121700"</f>
        <v>121700</v>
      </c>
    </row>
    <row r="5757" spans="1:11" x14ac:dyDescent="0.25">
      <c r="A5757">
        <v>2024</v>
      </c>
      <c r="B5757" t="s">
        <v>8570</v>
      </c>
      <c r="C5757" t="s">
        <v>8571</v>
      </c>
      <c r="D5757" t="s">
        <v>50</v>
      </c>
      <c r="E5757" t="s">
        <v>20</v>
      </c>
      <c r="F5757" t="str">
        <f>"43560-1410"</f>
        <v>43560-1410</v>
      </c>
      <c r="G5757" t="str">
        <f>"716165"</f>
        <v>716165</v>
      </c>
      <c r="H5757" s="2">
        <f>10</f>
        <v>10</v>
      </c>
      <c r="I5757" t="s">
        <v>27</v>
      </c>
      <c r="J5757" t="s">
        <v>34</v>
      </c>
      <c r="K5757" t="str">
        <f>"122322"</f>
        <v>122322</v>
      </c>
    </row>
    <row r="5758" spans="1:11" x14ac:dyDescent="0.25">
      <c r="A5758">
        <v>2024</v>
      </c>
      <c r="B5758" t="s">
        <v>8576</v>
      </c>
      <c r="C5758" t="s">
        <v>8577</v>
      </c>
      <c r="D5758" t="s">
        <v>19</v>
      </c>
      <c r="E5758" t="s">
        <v>20</v>
      </c>
      <c r="F5758" t="str">
        <f>"43623"</f>
        <v>43623</v>
      </c>
      <c r="G5758" t="str">
        <f>"Je03262024"</f>
        <v>Je03262024</v>
      </c>
      <c r="H5758" s="2">
        <f>290.19</f>
        <v>290.19</v>
      </c>
      <c r="I5758" t="s">
        <v>15</v>
      </c>
      <c r="J5758" t="s">
        <v>21</v>
      </c>
      <c r="K5758" t="str">
        <f>"60108911"</f>
        <v>60108911</v>
      </c>
    </row>
    <row r="5759" spans="1:11" x14ac:dyDescent="0.25">
      <c r="A5759">
        <v>2024</v>
      </c>
      <c r="B5759" t="s">
        <v>8580</v>
      </c>
      <c r="C5759" t="s">
        <v>8581</v>
      </c>
      <c r="D5759" t="s">
        <v>105</v>
      </c>
      <c r="E5759" t="s">
        <v>20</v>
      </c>
      <c r="F5759" t="str">
        <f>"43528-9649"</f>
        <v>43528-9649</v>
      </c>
      <c r="G5759" t="str">
        <f t="shared" ref="G5759:G5765" si="204">"716165"</f>
        <v>716165</v>
      </c>
      <c r="H5759" s="2">
        <f>10</f>
        <v>10</v>
      </c>
      <c r="I5759" t="s">
        <v>27</v>
      </c>
      <c r="J5759" t="s">
        <v>34</v>
      </c>
      <c r="K5759" t="str">
        <f>"124747"</f>
        <v>124747</v>
      </c>
    </row>
    <row r="5760" spans="1:11" x14ac:dyDescent="0.25">
      <c r="A5760">
        <v>2024</v>
      </c>
      <c r="B5760" t="s">
        <v>8586</v>
      </c>
      <c r="C5760" t="s">
        <v>8587</v>
      </c>
      <c r="D5760" t="s">
        <v>19</v>
      </c>
      <c r="E5760" t="s">
        <v>20</v>
      </c>
      <c r="F5760" t="str">
        <f>"43606"</f>
        <v>43606</v>
      </c>
      <c r="G5760" t="str">
        <f t="shared" si="204"/>
        <v>716165</v>
      </c>
      <c r="H5760" s="2">
        <f>10</f>
        <v>10</v>
      </c>
      <c r="I5760" t="s">
        <v>27</v>
      </c>
      <c r="J5760" t="s">
        <v>34</v>
      </c>
      <c r="K5760" t="str">
        <f>"121339"</f>
        <v>121339</v>
      </c>
    </row>
    <row r="5761" spans="1:11" x14ac:dyDescent="0.25">
      <c r="A5761">
        <v>2024</v>
      </c>
      <c r="B5761" t="s">
        <v>8588</v>
      </c>
      <c r="C5761" t="s">
        <v>8589</v>
      </c>
      <c r="D5761" t="s">
        <v>50</v>
      </c>
      <c r="E5761" t="s">
        <v>20</v>
      </c>
      <c r="F5761" t="str">
        <f>"43560-1911"</f>
        <v>43560-1911</v>
      </c>
      <c r="G5761" t="str">
        <f t="shared" si="204"/>
        <v>716165</v>
      </c>
      <c r="H5761" s="2">
        <f>10</f>
        <v>10</v>
      </c>
      <c r="I5761" t="s">
        <v>27</v>
      </c>
      <c r="J5761" t="s">
        <v>34</v>
      </c>
      <c r="K5761" t="str">
        <f>"124908"</f>
        <v>124908</v>
      </c>
    </row>
    <row r="5762" spans="1:11" x14ac:dyDescent="0.25">
      <c r="A5762">
        <v>2024</v>
      </c>
      <c r="B5762" t="s">
        <v>8592</v>
      </c>
      <c r="C5762" t="s">
        <v>8593</v>
      </c>
      <c r="D5762" t="s">
        <v>58</v>
      </c>
      <c r="E5762" t="s">
        <v>20</v>
      </c>
      <c r="F5762" t="str">
        <f>"43616"</f>
        <v>43616</v>
      </c>
      <c r="G5762" t="str">
        <f t="shared" si="204"/>
        <v>716165</v>
      </c>
      <c r="H5762" s="2">
        <f>10</f>
        <v>10</v>
      </c>
      <c r="I5762" t="s">
        <v>27</v>
      </c>
      <c r="J5762" t="s">
        <v>34</v>
      </c>
      <c r="K5762" t="str">
        <f>"121236"</f>
        <v>121236</v>
      </c>
    </row>
    <row r="5763" spans="1:11" x14ac:dyDescent="0.25">
      <c r="A5763">
        <v>2024</v>
      </c>
      <c r="B5763" t="s">
        <v>8598</v>
      </c>
      <c r="C5763" t="s">
        <v>8599</v>
      </c>
      <c r="D5763" t="s">
        <v>19</v>
      </c>
      <c r="E5763" t="s">
        <v>20</v>
      </c>
      <c r="F5763" t="str">
        <f>"43607-2253"</f>
        <v>43607-2253</v>
      </c>
      <c r="G5763" t="str">
        <f t="shared" si="204"/>
        <v>716165</v>
      </c>
      <c r="H5763" s="2">
        <f>20</f>
        <v>20</v>
      </c>
      <c r="I5763" t="s">
        <v>27</v>
      </c>
      <c r="J5763" t="s">
        <v>34</v>
      </c>
      <c r="K5763" t="str">
        <f>"121828"</f>
        <v>121828</v>
      </c>
    </row>
    <row r="5764" spans="1:11" x14ac:dyDescent="0.25">
      <c r="A5764">
        <v>2024</v>
      </c>
      <c r="B5764" t="s">
        <v>8604</v>
      </c>
      <c r="C5764" t="s">
        <v>8605</v>
      </c>
      <c r="D5764" t="s">
        <v>19</v>
      </c>
      <c r="E5764" t="s">
        <v>20</v>
      </c>
      <c r="F5764" t="str">
        <f>"43609-2108"</f>
        <v>43609-2108</v>
      </c>
      <c r="G5764" t="str">
        <f t="shared" si="204"/>
        <v>716165</v>
      </c>
      <c r="H5764" s="2">
        <f>10</f>
        <v>10</v>
      </c>
      <c r="I5764" t="s">
        <v>27</v>
      </c>
      <c r="J5764" t="s">
        <v>34</v>
      </c>
      <c r="K5764" t="str">
        <f>"123737"</f>
        <v>123737</v>
      </c>
    </row>
    <row r="5765" spans="1:11" x14ac:dyDescent="0.25">
      <c r="A5765">
        <v>2024</v>
      </c>
      <c r="B5765" t="s">
        <v>8617</v>
      </c>
      <c r="C5765" t="s">
        <v>8618</v>
      </c>
      <c r="D5765" t="s">
        <v>19</v>
      </c>
      <c r="E5765" t="s">
        <v>20</v>
      </c>
      <c r="F5765" t="str">
        <f>"43623-3153"</f>
        <v>43623-3153</v>
      </c>
      <c r="G5765" t="str">
        <f t="shared" si="204"/>
        <v>716165</v>
      </c>
      <c r="H5765" s="2">
        <f>10</f>
        <v>10</v>
      </c>
      <c r="I5765" t="s">
        <v>27</v>
      </c>
      <c r="J5765" t="s">
        <v>34</v>
      </c>
      <c r="K5765" t="str">
        <f>"124299"</f>
        <v>124299</v>
      </c>
    </row>
    <row r="5766" spans="1:11" x14ac:dyDescent="0.25">
      <c r="A5766">
        <v>2024</v>
      </c>
      <c r="B5766" t="s">
        <v>8619</v>
      </c>
      <c r="C5766" t="s">
        <v>8620</v>
      </c>
      <c r="D5766" t="s">
        <v>19</v>
      </c>
      <c r="E5766" t="s">
        <v>20</v>
      </c>
      <c r="F5766" t="str">
        <f>"43604"</f>
        <v>43604</v>
      </c>
      <c r="G5766" t="str">
        <f>"716166"</f>
        <v>716166</v>
      </c>
      <c r="H5766" s="2">
        <f>17.6</f>
        <v>17.600000000000001</v>
      </c>
      <c r="I5766" t="s">
        <v>27</v>
      </c>
      <c r="J5766" t="s">
        <v>262</v>
      </c>
      <c r="K5766" t="str">
        <f>"42066"</f>
        <v>42066</v>
      </c>
    </row>
    <row r="5767" spans="1:11" x14ac:dyDescent="0.25">
      <c r="A5767">
        <v>2024</v>
      </c>
      <c r="B5767" t="s">
        <v>8637</v>
      </c>
      <c r="C5767" t="s">
        <v>8638</v>
      </c>
      <c r="D5767" t="s">
        <v>19</v>
      </c>
      <c r="E5767" t="s">
        <v>20</v>
      </c>
      <c r="F5767" t="str">
        <f>"43611-1636"</f>
        <v>43611-1636</v>
      </c>
      <c r="G5767" t="str">
        <f>"716165"</f>
        <v>716165</v>
      </c>
      <c r="H5767" s="2">
        <f>20</f>
        <v>20</v>
      </c>
      <c r="I5767" t="s">
        <v>27</v>
      </c>
      <c r="J5767" t="s">
        <v>34</v>
      </c>
      <c r="K5767" t="str">
        <f>"124083"</f>
        <v>124083</v>
      </c>
    </row>
    <row r="5768" spans="1:11" x14ac:dyDescent="0.25">
      <c r="A5768">
        <v>2024</v>
      </c>
      <c r="B5768" t="s">
        <v>8649</v>
      </c>
      <c r="C5768" t="s">
        <v>8650</v>
      </c>
      <c r="D5768" t="s">
        <v>105</v>
      </c>
      <c r="E5768" t="s">
        <v>20</v>
      </c>
      <c r="F5768" t="str">
        <f>"43528"</f>
        <v>43528</v>
      </c>
      <c r="G5768" t="str">
        <f>"716619"</f>
        <v>716619</v>
      </c>
      <c r="H5768" s="2">
        <f>5</f>
        <v>5</v>
      </c>
      <c r="I5768" t="s">
        <v>27</v>
      </c>
      <c r="J5768" t="s">
        <v>34</v>
      </c>
      <c r="K5768" t="str">
        <f>"22026236"</f>
        <v>22026236</v>
      </c>
    </row>
    <row r="5769" spans="1:11" x14ac:dyDescent="0.25">
      <c r="A5769">
        <v>2024</v>
      </c>
      <c r="B5769" t="s">
        <v>8651</v>
      </c>
      <c r="C5769" t="s">
        <v>8650</v>
      </c>
      <c r="D5769" t="s">
        <v>105</v>
      </c>
      <c r="E5769" t="s">
        <v>20</v>
      </c>
      <c r="F5769" t="str">
        <f>"43528"</f>
        <v>43528</v>
      </c>
      <c r="G5769" t="str">
        <f>"716619"</f>
        <v>716619</v>
      </c>
      <c r="H5769" s="2">
        <f>5</f>
        <v>5</v>
      </c>
      <c r="I5769" t="s">
        <v>27</v>
      </c>
      <c r="J5769" t="s">
        <v>34</v>
      </c>
      <c r="K5769" t="str">
        <f>"33012725"</f>
        <v>33012725</v>
      </c>
    </row>
    <row r="5770" spans="1:11" x14ac:dyDescent="0.25">
      <c r="A5770">
        <v>2024</v>
      </c>
      <c r="B5770" t="s">
        <v>8654</v>
      </c>
      <c r="C5770" t="s">
        <v>8655</v>
      </c>
      <c r="D5770" t="s">
        <v>105</v>
      </c>
      <c r="E5770" t="s">
        <v>20</v>
      </c>
      <c r="F5770" t="str">
        <f>"43528"</f>
        <v>43528</v>
      </c>
      <c r="G5770" t="str">
        <f>"716619"</f>
        <v>716619</v>
      </c>
      <c r="H5770" s="2">
        <f>10</f>
        <v>10</v>
      </c>
      <c r="I5770" t="s">
        <v>27</v>
      </c>
      <c r="J5770" t="s">
        <v>34</v>
      </c>
      <c r="K5770" t="str">
        <f>"22025606"</f>
        <v>22025606</v>
      </c>
    </row>
    <row r="5771" spans="1:11" x14ac:dyDescent="0.25">
      <c r="A5771">
        <v>2024</v>
      </c>
      <c r="B5771" t="s">
        <v>8689</v>
      </c>
      <c r="C5771" t="s">
        <v>8691</v>
      </c>
      <c r="D5771" t="s">
        <v>8692</v>
      </c>
      <c r="E5771" t="s">
        <v>887</v>
      </c>
      <c r="F5771" t="str">
        <f>"38305"</f>
        <v>38305</v>
      </c>
      <c r="G5771" t="str">
        <f>"718470"</f>
        <v>718470</v>
      </c>
      <c r="H5771" s="2">
        <f>2.49</f>
        <v>2.4900000000000002</v>
      </c>
      <c r="I5771" t="s">
        <v>27</v>
      </c>
      <c r="J5771" t="s">
        <v>34</v>
      </c>
      <c r="K5771" t="str">
        <f>"334682"</f>
        <v>334682</v>
      </c>
    </row>
    <row r="5772" spans="1:11" x14ac:dyDescent="0.25">
      <c r="A5772">
        <v>2024</v>
      </c>
      <c r="B5772" t="s">
        <v>8713</v>
      </c>
      <c r="C5772" t="s">
        <v>8714</v>
      </c>
      <c r="D5772" t="s">
        <v>50</v>
      </c>
      <c r="E5772" t="s">
        <v>20</v>
      </c>
      <c r="F5772" t="str">
        <f>"43560-9280"</f>
        <v>43560-9280</v>
      </c>
      <c r="G5772" t="str">
        <f>"716165"</f>
        <v>716165</v>
      </c>
      <c r="H5772" s="2">
        <f>10</f>
        <v>10</v>
      </c>
      <c r="I5772" t="s">
        <v>27</v>
      </c>
      <c r="J5772" t="s">
        <v>34</v>
      </c>
      <c r="K5772" t="str">
        <f>"123932"</f>
        <v>123932</v>
      </c>
    </row>
    <row r="5773" spans="1:11" x14ac:dyDescent="0.25">
      <c r="A5773">
        <v>2024</v>
      </c>
      <c r="B5773" t="s">
        <v>8717</v>
      </c>
      <c r="C5773" t="s">
        <v>5784</v>
      </c>
      <c r="D5773" t="s">
        <v>19</v>
      </c>
      <c r="E5773" t="s">
        <v>20</v>
      </c>
      <c r="F5773" t="str">
        <f>"43617-1902"</f>
        <v>43617-1902</v>
      </c>
      <c r="G5773" t="str">
        <f>"716165"</f>
        <v>716165</v>
      </c>
      <c r="H5773" s="2">
        <f>20</f>
        <v>20</v>
      </c>
      <c r="I5773" t="s">
        <v>27</v>
      </c>
      <c r="J5773" t="s">
        <v>34</v>
      </c>
      <c r="K5773" t="str">
        <f>"123750"</f>
        <v>123750</v>
      </c>
    </row>
    <row r="5774" spans="1:11" x14ac:dyDescent="0.25">
      <c r="A5774">
        <v>2024</v>
      </c>
      <c r="B5774" t="s">
        <v>8720</v>
      </c>
      <c r="C5774" t="s">
        <v>8721</v>
      </c>
      <c r="D5774" t="s">
        <v>19</v>
      </c>
      <c r="E5774" t="s">
        <v>20</v>
      </c>
      <c r="F5774" t="str">
        <f>"43613"</f>
        <v>43613</v>
      </c>
      <c r="G5774" t="str">
        <f>"701123"</f>
        <v>701123</v>
      </c>
      <c r="H5774" s="2">
        <f>13.9</f>
        <v>13.9</v>
      </c>
      <c r="I5774" t="s">
        <v>148</v>
      </c>
      <c r="J5774" t="s">
        <v>8722</v>
      </c>
      <c r="K5774" t="str">
        <f>"26769"</f>
        <v>26769</v>
      </c>
    </row>
    <row r="5775" spans="1:11" x14ac:dyDescent="0.25">
      <c r="A5775">
        <v>2024</v>
      </c>
      <c r="B5775" t="s">
        <v>8738</v>
      </c>
      <c r="C5775" t="s">
        <v>8739</v>
      </c>
      <c r="D5775" t="s">
        <v>323</v>
      </c>
      <c r="E5775" t="s">
        <v>20</v>
      </c>
      <c r="F5775" t="str">
        <f>"43571-9492"</f>
        <v>43571-9492</v>
      </c>
      <c r="G5775" t="str">
        <f>"716165"</f>
        <v>716165</v>
      </c>
      <c r="H5775" s="2">
        <f>10</f>
        <v>10</v>
      </c>
      <c r="I5775" t="s">
        <v>27</v>
      </c>
      <c r="J5775" t="s">
        <v>34</v>
      </c>
      <c r="K5775" t="str">
        <f>"123273"</f>
        <v>123273</v>
      </c>
    </row>
    <row r="5776" spans="1:11" x14ac:dyDescent="0.25">
      <c r="A5776">
        <v>2024</v>
      </c>
      <c r="B5776" t="s">
        <v>8745</v>
      </c>
      <c r="C5776" t="s">
        <v>8746</v>
      </c>
      <c r="D5776" t="s">
        <v>125</v>
      </c>
      <c r="E5776" t="s">
        <v>20</v>
      </c>
      <c r="F5776" t="str">
        <f>"43537-3630"</f>
        <v>43537-3630</v>
      </c>
      <c r="G5776" t="str">
        <f>"716165"</f>
        <v>716165</v>
      </c>
      <c r="H5776" s="2">
        <f>10</f>
        <v>10</v>
      </c>
      <c r="I5776" t="s">
        <v>27</v>
      </c>
      <c r="J5776" t="s">
        <v>34</v>
      </c>
      <c r="K5776" t="str">
        <f>"124970"</f>
        <v>124970</v>
      </c>
    </row>
    <row r="5777" spans="1:11" x14ac:dyDescent="0.25">
      <c r="A5777">
        <v>2024</v>
      </c>
      <c r="B5777" t="s">
        <v>8755</v>
      </c>
      <c r="C5777" t="s">
        <v>8756</v>
      </c>
      <c r="D5777" t="s">
        <v>19</v>
      </c>
      <c r="E5777" t="s">
        <v>20</v>
      </c>
      <c r="F5777" t="str">
        <f>"43604"</f>
        <v>43604</v>
      </c>
      <c r="G5777" t="str">
        <f>"719211"</f>
        <v>719211</v>
      </c>
      <c r="H5777" s="2">
        <f>789.81</f>
        <v>789.81</v>
      </c>
      <c r="I5777" t="s">
        <v>27</v>
      </c>
      <c r="J5777" t="s">
        <v>200</v>
      </c>
      <c r="K5777" t="str">
        <f>"N/A"</f>
        <v>N/A</v>
      </c>
    </row>
    <row r="5778" spans="1:11" x14ac:dyDescent="0.25">
      <c r="A5778">
        <v>2024</v>
      </c>
      <c r="B5778" t="s">
        <v>8767</v>
      </c>
      <c r="C5778" t="s">
        <v>8768</v>
      </c>
      <c r="D5778" t="s">
        <v>19</v>
      </c>
      <c r="E5778" t="s">
        <v>20</v>
      </c>
      <c r="F5778" t="str">
        <f>"43617-1850"</f>
        <v>43617-1850</v>
      </c>
      <c r="G5778" t="str">
        <f>"716165"</f>
        <v>716165</v>
      </c>
      <c r="H5778" s="2">
        <f>10</f>
        <v>10</v>
      </c>
      <c r="I5778" t="s">
        <v>27</v>
      </c>
      <c r="J5778" t="s">
        <v>34</v>
      </c>
      <c r="K5778" t="str">
        <f>"123918"</f>
        <v>123918</v>
      </c>
    </row>
    <row r="5779" spans="1:11" x14ac:dyDescent="0.25">
      <c r="A5779">
        <v>2024</v>
      </c>
      <c r="B5779" t="s">
        <v>8771</v>
      </c>
      <c r="C5779" t="s">
        <v>8772</v>
      </c>
      <c r="D5779" t="s">
        <v>19</v>
      </c>
      <c r="E5779" t="s">
        <v>20</v>
      </c>
      <c r="F5779" t="str">
        <f>"43610"</f>
        <v>43610</v>
      </c>
      <c r="G5779" t="str">
        <f>"Je12122024"</f>
        <v>Je12122024</v>
      </c>
      <c r="H5779" s="2">
        <f>230.67</f>
        <v>230.67</v>
      </c>
      <c r="I5779" t="s">
        <v>15</v>
      </c>
      <c r="J5779" t="s">
        <v>1326</v>
      </c>
      <c r="K5779" t="str">
        <f>"60140572"</f>
        <v>60140572</v>
      </c>
    </row>
    <row r="5780" spans="1:11" x14ac:dyDescent="0.25">
      <c r="A5780">
        <v>2024</v>
      </c>
      <c r="B5780" t="s">
        <v>8801</v>
      </c>
      <c r="C5780" t="s">
        <v>8802</v>
      </c>
      <c r="D5780" t="s">
        <v>19</v>
      </c>
      <c r="E5780" t="s">
        <v>20</v>
      </c>
      <c r="F5780" t="str">
        <f>"43623-3920"</f>
        <v>43623-3920</v>
      </c>
      <c r="G5780" t="str">
        <f t="shared" ref="G5780:G5788" si="205">"716165"</f>
        <v>716165</v>
      </c>
      <c r="H5780" s="2">
        <f>40</f>
        <v>40</v>
      </c>
      <c r="I5780" t="s">
        <v>27</v>
      </c>
      <c r="J5780" t="s">
        <v>34</v>
      </c>
      <c r="K5780" t="str">
        <f>"123653"</f>
        <v>123653</v>
      </c>
    </row>
    <row r="5781" spans="1:11" x14ac:dyDescent="0.25">
      <c r="A5781">
        <v>2024</v>
      </c>
      <c r="B5781" t="s">
        <v>8801</v>
      </c>
      <c r="C5781" t="s">
        <v>8802</v>
      </c>
      <c r="D5781" t="s">
        <v>19</v>
      </c>
      <c r="E5781" t="s">
        <v>20</v>
      </c>
      <c r="F5781" t="str">
        <f>"43623-3920"</f>
        <v>43623-3920</v>
      </c>
      <c r="G5781" t="str">
        <f t="shared" si="205"/>
        <v>716165</v>
      </c>
      <c r="H5781" s="2">
        <f>40</f>
        <v>40</v>
      </c>
      <c r="I5781" t="s">
        <v>27</v>
      </c>
      <c r="J5781" t="s">
        <v>34</v>
      </c>
      <c r="K5781" t="str">
        <f>"123558"</f>
        <v>123558</v>
      </c>
    </row>
    <row r="5782" spans="1:11" x14ac:dyDescent="0.25">
      <c r="A5782">
        <v>2024</v>
      </c>
      <c r="B5782" t="s">
        <v>8805</v>
      </c>
      <c r="C5782" t="s">
        <v>8806</v>
      </c>
      <c r="D5782" t="s">
        <v>19</v>
      </c>
      <c r="E5782" t="s">
        <v>20</v>
      </c>
      <c r="F5782" t="str">
        <f>"43613-4326"</f>
        <v>43613-4326</v>
      </c>
      <c r="G5782" t="str">
        <f t="shared" si="205"/>
        <v>716165</v>
      </c>
      <c r="H5782" s="2">
        <f>10</f>
        <v>10</v>
      </c>
      <c r="I5782" t="s">
        <v>27</v>
      </c>
      <c r="J5782" t="s">
        <v>34</v>
      </c>
      <c r="K5782" t="str">
        <f>"122599"</f>
        <v>122599</v>
      </c>
    </row>
    <row r="5783" spans="1:11" x14ac:dyDescent="0.25">
      <c r="A5783">
        <v>2024</v>
      </c>
      <c r="B5783" t="s">
        <v>8828</v>
      </c>
      <c r="C5783" t="s">
        <v>8829</v>
      </c>
      <c r="D5783" t="s">
        <v>19</v>
      </c>
      <c r="E5783" t="s">
        <v>20</v>
      </c>
      <c r="F5783" t="str">
        <f>"43612-2013"</f>
        <v>43612-2013</v>
      </c>
      <c r="G5783" t="str">
        <f t="shared" si="205"/>
        <v>716165</v>
      </c>
      <c r="H5783" s="2">
        <f>20</f>
        <v>20</v>
      </c>
      <c r="I5783" t="s">
        <v>27</v>
      </c>
      <c r="J5783" t="s">
        <v>34</v>
      </c>
      <c r="K5783" t="str">
        <f>"123332"</f>
        <v>123332</v>
      </c>
    </row>
    <row r="5784" spans="1:11" x14ac:dyDescent="0.25">
      <c r="A5784">
        <v>2024</v>
      </c>
      <c r="B5784" t="s">
        <v>8830</v>
      </c>
      <c r="C5784" t="s">
        <v>8831</v>
      </c>
      <c r="D5784" t="s">
        <v>50</v>
      </c>
      <c r="E5784" t="s">
        <v>20</v>
      </c>
      <c r="F5784" t="str">
        <f>"43560-8601"</f>
        <v>43560-8601</v>
      </c>
      <c r="G5784" t="str">
        <f t="shared" si="205"/>
        <v>716165</v>
      </c>
      <c r="H5784" s="2">
        <f>10</f>
        <v>10</v>
      </c>
      <c r="I5784" t="s">
        <v>27</v>
      </c>
      <c r="J5784" t="s">
        <v>34</v>
      </c>
      <c r="K5784" t="str">
        <f>"122005"</f>
        <v>122005</v>
      </c>
    </row>
    <row r="5785" spans="1:11" x14ac:dyDescent="0.25">
      <c r="A5785">
        <v>2024</v>
      </c>
      <c r="B5785" t="s">
        <v>8832</v>
      </c>
      <c r="C5785" t="s">
        <v>8833</v>
      </c>
      <c r="D5785" t="s">
        <v>58</v>
      </c>
      <c r="E5785" t="s">
        <v>20</v>
      </c>
      <c r="F5785" t="str">
        <f>"43616-1616"</f>
        <v>43616-1616</v>
      </c>
      <c r="G5785" t="str">
        <f t="shared" si="205"/>
        <v>716165</v>
      </c>
      <c r="H5785" s="2">
        <f>10</f>
        <v>10</v>
      </c>
      <c r="I5785" t="s">
        <v>27</v>
      </c>
      <c r="J5785" t="s">
        <v>34</v>
      </c>
      <c r="K5785" t="str">
        <f>"124934"</f>
        <v>124934</v>
      </c>
    </row>
    <row r="5786" spans="1:11" x14ac:dyDescent="0.25">
      <c r="A5786">
        <v>2024</v>
      </c>
      <c r="B5786" t="s">
        <v>8834</v>
      </c>
      <c r="C5786" t="s">
        <v>8835</v>
      </c>
      <c r="D5786" t="s">
        <v>19</v>
      </c>
      <c r="E5786" t="s">
        <v>20</v>
      </c>
      <c r="F5786" t="str">
        <f>"43623-2209"</f>
        <v>43623-2209</v>
      </c>
      <c r="G5786" t="str">
        <f t="shared" si="205"/>
        <v>716165</v>
      </c>
      <c r="H5786" s="2">
        <f>60</f>
        <v>60</v>
      </c>
      <c r="I5786" t="s">
        <v>27</v>
      </c>
      <c r="J5786" t="s">
        <v>34</v>
      </c>
      <c r="K5786" t="str">
        <f>"121638"</f>
        <v>121638</v>
      </c>
    </row>
    <row r="5787" spans="1:11" x14ac:dyDescent="0.25">
      <c r="A5787">
        <v>2024</v>
      </c>
      <c r="B5787" t="s">
        <v>8841</v>
      </c>
      <c r="C5787" t="s">
        <v>8842</v>
      </c>
      <c r="D5787" t="s">
        <v>19</v>
      </c>
      <c r="E5787" t="s">
        <v>20</v>
      </c>
      <c r="F5787" t="str">
        <f>"43613-4411"</f>
        <v>43613-4411</v>
      </c>
      <c r="G5787" t="str">
        <f t="shared" si="205"/>
        <v>716165</v>
      </c>
      <c r="H5787" s="2">
        <f>20</f>
        <v>20</v>
      </c>
      <c r="I5787" t="s">
        <v>27</v>
      </c>
      <c r="J5787" t="s">
        <v>34</v>
      </c>
      <c r="K5787" t="str">
        <f>"121702"</f>
        <v>121702</v>
      </c>
    </row>
    <row r="5788" spans="1:11" x14ac:dyDescent="0.25">
      <c r="A5788">
        <v>2024</v>
      </c>
      <c r="B5788" t="s">
        <v>8847</v>
      </c>
      <c r="C5788" t="s">
        <v>8848</v>
      </c>
      <c r="D5788" t="s">
        <v>19</v>
      </c>
      <c r="E5788" t="s">
        <v>20</v>
      </c>
      <c r="F5788" t="str">
        <f>"43620-1113"</f>
        <v>43620-1113</v>
      </c>
      <c r="G5788" t="str">
        <f t="shared" si="205"/>
        <v>716165</v>
      </c>
      <c r="H5788" s="2">
        <f>10</f>
        <v>10</v>
      </c>
      <c r="I5788" t="s">
        <v>27</v>
      </c>
      <c r="J5788" t="s">
        <v>34</v>
      </c>
      <c r="K5788" t="str">
        <f>"122997"</f>
        <v>122997</v>
      </c>
    </row>
    <row r="5789" spans="1:11" x14ac:dyDescent="0.25">
      <c r="A5789">
        <v>2024</v>
      </c>
      <c r="B5789" t="s">
        <v>8853</v>
      </c>
      <c r="C5789" t="s">
        <v>8854</v>
      </c>
      <c r="D5789" t="s">
        <v>19</v>
      </c>
      <c r="E5789" t="s">
        <v>20</v>
      </c>
      <c r="F5789" t="str">
        <f>"43613"</f>
        <v>43613</v>
      </c>
      <c r="G5789" t="str">
        <f>"701123"</f>
        <v>701123</v>
      </c>
      <c r="H5789" s="2">
        <f>13</f>
        <v>13</v>
      </c>
      <c r="I5789" t="s">
        <v>148</v>
      </c>
      <c r="J5789" t="s">
        <v>8855</v>
      </c>
      <c r="K5789" t="str">
        <f>"26769"</f>
        <v>26769</v>
      </c>
    </row>
    <row r="5790" spans="1:11" x14ac:dyDescent="0.25">
      <c r="A5790">
        <v>2024</v>
      </c>
      <c r="B5790" t="s">
        <v>8873</v>
      </c>
      <c r="C5790" t="s">
        <v>8874</v>
      </c>
      <c r="D5790" t="s">
        <v>19</v>
      </c>
      <c r="E5790" t="s">
        <v>20</v>
      </c>
      <c r="F5790" t="str">
        <f>"43614-5131"</f>
        <v>43614-5131</v>
      </c>
      <c r="G5790" t="str">
        <f>"716165"</f>
        <v>716165</v>
      </c>
      <c r="H5790" s="2">
        <f>10</f>
        <v>10</v>
      </c>
      <c r="I5790" t="s">
        <v>27</v>
      </c>
      <c r="J5790" t="s">
        <v>34</v>
      </c>
      <c r="K5790" t="str">
        <f>"125129"</f>
        <v>125129</v>
      </c>
    </row>
    <row r="5791" spans="1:11" x14ac:dyDescent="0.25">
      <c r="A5791">
        <v>2024</v>
      </c>
      <c r="B5791" t="s">
        <v>8892</v>
      </c>
      <c r="C5791" t="s">
        <v>8893</v>
      </c>
      <c r="D5791" t="s">
        <v>19</v>
      </c>
      <c r="E5791" t="s">
        <v>20</v>
      </c>
      <c r="F5791" t="str">
        <f>"43607-2338"</f>
        <v>43607-2338</v>
      </c>
      <c r="G5791" t="str">
        <f>"716165"</f>
        <v>716165</v>
      </c>
      <c r="H5791" s="2">
        <f>20</f>
        <v>20</v>
      </c>
      <c r="I5791" t="s">
        <v>27</v>
      </c>
      <c r="J5791" t="s">
        <v>34</v>
      </c>
      <c r="K5791" t="str">
        <f>"122046"</f>
        <v>122046</v>
      </c>
    </row>
    <row r="5792" spans="1:11" x14ac:dyDescent="0.25">
      <c r="A5792">
        <v>2024</v>
      </c>
      <c r="B5792" t="s">
        <v>8898</v>
      </c>
      <c r="C5792" t="s">
        <v>8899</v>
      </c>
      <c r="D5792" t="s">
        <v>19</v>
      </c>
      <c r="E5792" t="s">
        <v>20</v>
      </c>
      <c r="F5792" t="str">
        <f>"43614"</f>
        <v>43614</v>
      </c>
      <c r="G5792" t="str">
        <f>"719211"</f>
        <v>719211</v>
      </c>
      <c r="H5792" s="2">
        <f>900</f>
        <v>900</v>
      </c>
      <c r="I5792" t="s">
        <v>27</v>
      </c>
      <c r="J5792" t="s">
        <v>200</v>
      </c>
      <c r="K5792" t="str">
        <f>"N/A"</f>
        <v>N/A</v>
      </c>
    </row>
    <row r="5793" spans="1:11" x14ac:dyDescent="0.25">
      <c r="A5793">
        <v>2024</v>
      </c>
      <c r="B5793" t="s">
        <v>8921</v>
      </c>
      <c r="C5793" t="s">
        <v>8922</v>
      </c>
      <c r="D5793" t="s">
        <v>19</v>
      </c>
      <c r="E5793" t="s">
        <v>20</v>
      </c>
      <c r="F5793" t="str">
        <f>"43623-1343"</f>
        <v>43623-1343</v>
      </c>
      <c r="G5793" t="str">
        <f>"716165"</f>
        <v>716165</v>
      </c>
      <c r="H5793" s="2">
        <f>20</f>
        <v>20</v>
      </c>
      <c r="I5793" t="s">
        <v>27</v>
      </c>
      <c r="J5793" t="s">
        <v>34</v>
      </c>
      <c r="K5793" t="str">
        <f>"124110"</f>
        <v>124110</v>
      </c>
    </row>
    <row r="5794" spans="1:11" x14ac:dyDescent="0.25">
      <c r="A5794">
        <v>2024</v>
      </c>
      <c r="B5794" t="s">
        <v>8933</v>
      </c>
      <c r="C5794" t="s">
        <v>8934</v>
      </c>
      <c r="D5794" t="s">
        <v>19</v>
      </c>
      <c r="E5794" t="s">
        <v>20</v>
      </c>
      <c r="F5794" t="str">
        <f>"43614-2216"</f>
        <v>43614-2216</v>
      </c>
      <c r="G5794" t="str">
        <f>"716165"</f>
        <v>716165</v>
      </c>
      <c r="H5794" s="2">
        <f>10</f>
        <v>10</v>
      </c>
      <c r="I5794" t="s">
        <v>27</v>
      </c>
      <c r="J5794" t="s">
        <v>34</v>
      </c>
      <c r="K5794" t="str">
        <f>"121340"</f>
        <v>121340</v>
      </c>
    </row>
    <row r="5795" spans="1:11" x14ac:dyDescent="0.25">
      <c r="A5795">
        <v>2024</v>
      </c>
      <c r="B5795" t="s">
        <v>8946</v>
      </c>
      <c r="C5795" t="s">
        <v>8947</v>
      </c>
      <c r="D5795" t="s">
        <v>19</v>
      </c>
      <c r="E5795" t="s">
        <v>20</v>
      </c>
      <c r="F5795" t="str">
        <f>"43604"</f>
        <v>43604</v>
      </c>
      <c r="G5795" t="str">
        <f>"716166"</f>
        <v>716166</v>
      </c>
      <c r="H5795" s="2">
        <f>20</f>
        <v>20</v>
      </c>
      <c r="I5795" t="s">
        <v>27</v>
      </c>
      <c r="J5795" t="s">
        <v>262</v>
      </c>
      <c r="K5795" t="str">
        <f>"43551"</f>
        <v>43551</v>
      </c>
    </row>
    <row r="5796" spans="1:11" x14ac:dyDescent="0.25">
      <c r="A5796">
        <v>2024</v>
      </c>
      <c r="B5796" t="s">
        <v>8971</v>
      </c>
      <c r="C5796" t="s">
        <v>8972</v>
      </c>
      <c r="D5796" t="s">
        <v>19</v>
      </c>
      <c r="E5796" t="s">
        <v>20</v>
      </c>
      <c r="F5796" t="str">
        <f>"43607"</f>
        <v>43607</v>
      </c>
      <c r="G5796" t="str">
        <f>"716619"</f>
        <v>716619</v>
      </c>
      <c r="H5796" s="2">
        <f>3</f>
        <v>3</v>
      </c>
      <c r="I5796" t="s">
        <v>27</v>
      </c>
      <c r="J5796" t="s">
        <v>34</v>
      </c>
      <c r="K5796" t="str">
        <f>"33012817"</f>
        <v>33012817</v>
      </c>
    </row>
    <row r="5797" spans="1:11" x14ac:dyDescent="0.25">
      <c r="A5797">
        <v>2024</v>
      </c>
      <c r="B5797" t="s">
        <v>9044</v>
      </c>
      <c r="C5797" t="s">
        <v>9045</v>
      </c>
      <c r="D5797" t="s">
        <v>50</v>
      </c>
      <c r="E5797" t="s">
        <v>20</v>
      </c>
      <c r="F5797" t="str">
        <f>"43560-1841"</f>
        <v>43560-1841</v>
      </c>
      <c r="G5797" t="str">
        <f>"716165"</f>
        <v>716165</v>
      </c>
      <c r="H5797" s="2">
        <f>50</f>
        <v>50</v>
      </c>
      <c r="I5797" t="s">
        <v>27</v>
      </c>
      <c r="J5797" t="s">
        <v>34</v>
      </c>
      <c r="K5797" t="str">
        <f>"122076"</f>
        <v>122076</v>
      </c>
    </row>
    <row r="5798" spans="1:11" x14ac:dyDescent="0.25">
      <c r="A5798">
        <v>2024</v>
      </c>
      <c r="B5798" t="s">
        <v>9049</v>
      </c>
      <c r="C5798" t="s">
        <v>9050</v>
      </c>
      <c r="D5798" t="s">
        <v>9051</v>
      </c>
      <c r="E5798" t="s">
        <v>20</v>
      </c>
      <c r="F5798" t="str">
        <f>"43449"</f>
        <v>43449</v>
      </c>
      <c r="G5798" t="str">
        <f>"Je03262024"</f>
        <v>Je03262024</v>
      </c>
      <c r="H5798" s="2">
        <f>25</f>
        <v>25</v>
      </c>
      <c r="I5798" t="s">
        <v>15</v>
      </c>
      <c r="J5798" t="s">
        <v>21</v>
      </c>
      <c r="K5798" t="str">
        <f>"60110979"</f>
        <v>60110979</v>
      </c>
    </row>
    <row r="5799" spans="1:11" x14ac:dyDescent="0.25">
      <c r="A5799">
        <v>2024</v>
      </c>
      <c r="B5799" t="s">
        <v>9052</v>
      </c>
      <c r="C5799" t="s">
        <v>9053</v>
      </c>
      <c r="D5799" t="s">
        <v>125</v>
      </c>
      <c r="E5799" t="s">
        <v>20</v>
      </c>
      <c r="F5799" t="str">
        <f>"43537-7803"</f>
        <v>43537-7803</v>
      </c>
      <c r="G5799" t="str">
        <f>"716165"</f>
        <v>716165</v>
      </c>
      <c r="H5799" s="2">
        <f>100</f>
        <v>100</v>
      </c>
      <c r="I5799" t="s">
        <v>27</v>
      </c>
      <c r="J5799" t="s">
        <v>34</v>
      </c>
      <c r="K5799" t="str">
        <f>"122187"</f>
        <v>122187</v>
      </c>
    </row>
    <row r="5800" spans="1:11" x14ac:dyDescent="0.25">
      <c r="A5800">
        <v>2024</v>
      </c>
      <c r="B5800" t="s">
        <v>9059</v>
      </c>
      <c r="C5800" t="s">
        <v>9062</v>
      </c>
      <c r="D5800" t="s">
        <v>19</v>
      </c>
      <c r="E5800" t="s">
        <v>20</v>
      </c>
      <c r="F5800" t="str">
        <f>"43604"</f>
        <v>43604</v>
      </c>
      <c r="G5800" t="str">
        <f>"718470"</f>
        <v>718470</v>
      </c>
      <c r="H5800" s="2">
        <f>5.87</f>
        <v>5.87</v>
      </c>
      <c r="I5800" t="s">
        <v>27</v>
      </c>
      <c r="J5800" t="s">
        <v>34</v>
      </c>
      <c r="K5800" t="str">
        <f>"334518"</f>
        <v>334518</v>
      </c>
    </row>
    <row r="5801" spans="1:11" x14ac:dyDescent="0.25">
      <c r="A5801">
        <v>2024</v>
      </c>
      <c r="B5801" t="s">
        <v>9063</v>
      </c>
      <c r="C5801" t="s">
        <v>9064</v>
      </c>
      <c r="D5801" t="s">
        <v>19</v>
      </c>
      <c r="E5801" t="s">
        <v>20</v>
      </c>
      <c r="F5801" t="str">
        <f>"43604"</f>
        <v>43604</v>
      </c>
      <c r="G5801" t="str">
        <f>"701123"</f>
        <v>701123</v>
      </c>
      <c r="H5801" s="2">
        <f>6.85</f>
        <v>6.85</v>
      </c>
      <c r="I5801" t="s">
        <v>148</v>
      </c>
      <c r="J5801" t="s">
        <v>9065</v>
      </c>
      <c r="K5801" t="str">
        <f>"26769"</f>
        <v>26769</v>
      </c>
    </row>
    <row r="5802" spans="1:11" x14ac:dyDescent="0.25">
      <c r="A5802">
        <v>2024</v>
      </c>
      <c r="B5802" t="s">
        <v>9066</v>
      </c>
      <c r="C5802" t="s">
        <v>9067</v>
      </c>
      <c r="D5802" t="s">
        <v>19</v>
      </c>
      <c r="E5802" t="s">
        <v>20</v>
      </c>
      <c r="F5802" t="str">
        <f>"43604"</f>
        <v>43604</v>
      </c>
      <c r="G5802" t="str">
        <f>"716166"</f>
        <v>716166</v>
      </c>
      <c r="H5802" s="2">
        <f>8.84</f>
        <v>8.84</v>
      </c>
      <c r="I5802" t="s">
        <v>27</v>
      </c>
      <c r="J5802" t="s">
        <v>262</v>
      </c>
      <c r="K5802" t="str">
        <f>"42301"</f>
        <v>42301</v>
      </c>
    </row>
    <row r="5803" spans="1:11" x14ac:dyDescent="0.25">
      <c r="A5803">
        <v>2024</v>
      </c>
      <c r="B5803" t="s">
        <v>9068</v>
      </c>
      <c r="C5803" t="s">
        <v>9069</v>
      </c>
      <c r="D5803" t="s">
        <v>19</v>
      </c>
      <c r="E5803" t="s">
        <v>20</v>
      </c>
      <c r="F5803" t="str">
        <f>"43605"</f>
        <v>43605</v>
      </c>
      <c r="G5803" t="str">
        <f>"Je12122024"</f>
        <v>Je12122024</v>
      </c>
      <c r="H5803" s="2">
        <f>19.16</f>
        <v>19.16</v>
      </c>
      <c r="I5803" t="s">
        <v>15</v>
      </c>
      <c r="J5803" t="s">
        <v>1326</v>
      </c>
      <c r="K5803" t="str">
        <f>"60138564"</f>
        <v>60138564</v>
      </c>
    </row>
    <row r="5804" spans="1:11" x14ac:dyDescent="0.25">
      <c r="A5804">
        <v>2024</v>
      </c>
      <c r="B5804" t="s">
        <v>9068</v>
      </c>
      <c r="C5804" t="s">
        <v>9069</v>
      </c>
      <c r="D5804" t="s">
        <v>19</v>
      </c>
      <c r="E5804" t="s">
        <v>20</v>
      </c>
      <c r="F5804" t="str">
        <f>"43605"</f>
        <v>43605</v>
      </c>
      <c r="G5804" t="str">
        <f>"Je03262024"</f>
        <v>Je03262024</v>
      </c>
      <c r="H5804" s="2">
        <f>5.16</f>
        <v>5.16</v>
      </c>
      <c r="I5804" t="s">
        <v>15</v>
      </c>
      <c r="J5804" t="s">
        <v>21</v>
      </c>
      <c r="K5804" t="str">
        <f>"60108265"</f>
        <v>60108265</v>
      </c>
    </row>
    <row r="5805" spans="1:11" x14ac:dyDescent="0.25">
      <c r="A5805">
        <v>2024</v>
      </c>
      <c r="B5805" t="s">
        <v>9074</v>
      </c>
      <c r="C5805" t="s">
        <v>9075</v>
      </c>
      <c r="D5805" t="s">
        <v>19</v>
      </c>
      <c r="E5805" t="s">
        <v>20</v>
      </c>
      <c r="F5805" t="str">
        <f>"43606"</f>
        <v>43606</v>
      </c>
      <c r="G5805" t="str">
        <f>"718470"</f>
        <v>718470</v>
      </c>
      <c r="H5805" s="2">
        <f>4.49</f>
        <v>4.49</v>
      </c>
      <c r="I5805" t="s">
        <v>27</v>
      </c>
      <c r="J5805" t="s">
        <v>34</v>
      </c>
      <c r="K5805" t="str">
        <f>"334692"</f>
        <v>334692</v>
      </c>
    </row>
    <row r="5806" spans="1:11" x14ac:dyDescent="0.25">
      <c r="A5806">
        <v>2024</v>
      </c>
      <c r="B5806" t="s">
        <v>9076</v>
      </c>
      <c r="C5806" t="s">
        <v>9077</v>
      </c>
      <c r="D5806" t="s">
        <v>58</v>
      </c>
      <c r="E5806" t="s">
        <v>20</v>
      </c>
      <c r="F5806" t="str">
        <f>"43616"</f>
        <v>43616</v>
      </c>
      <c r="G5806" t="str">
        <f>"Je03262024"</f>
        <v>Je03262024</v>
      </c>
      <c r="H5806" s="2">
        <f>91.66</f>
        <v>91.66</v>
      </c>
      <c r="I5806" t="s">
        <v>15</v>
      </c>
      <c r="J5806" t="s">
        <v>21</v>
      </c>
      <c r="K5806" t="str">
        <f>"60111813"</f>
        <v>60111813</v>
      </c>
    </row>
    <row r="5807" spans="1:11" x14ac:dyDescent="0.25">
      <c r="A5807">
        <v>2024</v>
      </c>
      <c r="B5807" t="s">
        <v>9085</v>
      </c>
      <c r="C5807" t="s">
        <v>9086</v>
      </c>
      <c r="D5807" t="s">
        <v>19</v>
      </c>
      <c r="E5807" t="s">
        <v>20</v>
      </c>
      <c r="F5807" t="str">
        <f>"43611-1513"</f>
        <v>43611-1513</v>
      </c>
      <c r="G5807" t="str">
        <f>"716165"</f>
        <v>716165</v>
      </c>
      <c r="H5807" s="2">
        <f>10</f>
        <v>10</v>
      </c>
      <c r="I5807" t="s">
        <v>27</v>
      </c>
      <c r="J5807" t="s">
        <v>34</v>
      </c>
      <c r="K5807" t="str">
        <f>"124382"</f>
        <v>124382</v>
      </c>
    </row>
    <row r="5808" spans="1:11" x14ac:dyDescent="0.25">
      <c r="A5808">
        <v>2024</v>
      </c>
      <c r="B5808" t="s">
        <v>9090</v>
      </c>
      <c r="C5808" t="s">
        <v>9091</v>
      </c>
      <c r="D5808" t="s">
        <v>19</v>
      </c>
      <c r="E5808" t="s">
        <v>20</v>
      </c>
      <c r="F5808" t="str">
        <f>"43606"</f>
        <v>43606</v>
      </c>
      <c r="G5808" t="str">
        <f>"718470"</f>
        <v>718470</v>
      </c>
      <c r="H5808" s="2">
        <f>8.45</f>
        <v>8.4499999999999993</v>
      </c>
      <c r="I5808" t="s">
        <v>27</v>
      </c>
      <c r="J5808" t="s">
        <v>34</v>
      </c>
      <c r="K5808" t="str">
        <f>"334629"</f>
        <v>334629</v>
      </c>
    </row>
    <row r="5809" spans="1:11" x14ac:dyDescent="0.25">
      <c r="A5809">
        <v>2024</v>
      </c>
      <c r="B5809" t="s">
        <v>9112</v>
      </c>
      <c r="C5809" t="s">
        <v>9113</v>
      </c>
      <c r="D5809" t="s">
        <v>50</v>
      </c>
      <c r="E5809" t="s">
        <v>20</v>
      </c>
      <c r="F5809" t="str">
        <f>"43560-2822"</f>
        <v>43560-2822</v>
      </c>
      <c r="G5809" t="str">
        <f>"716165"</f>
        <v>716165</v>
      </c>
      <c r="H5809" s="2">
        <f>40</f>
        <v>40</v>
      </c>
      <c r="I5809" t="s">
        <v>27</v>
      </c>
      <c r="J5809" t="s">
        <v>34</v>
      </c>
      <c r="K5809" t="str">
        <f>"123526"</f>
        <v>123526</v>
      </c>
    </row>
    <row r="5810" spans="1:11" x14ac:dyDescent="0.25">
      <c r="A5810">
        <v>2024</v>
      </c>
      <c r="B5810" t="s">
        <v>9122</v>
      </c>
      <c r="C5810" t="s">
        <v>9123</v>
      </c>
      <c r="D5810" t="s">
        <v>50</v>
      </c>
      <c r="E5810" t="s">
        <v>20</v>
      </c>
      <c r="F5810" t="str">
        <f>"43560"</f>
        <v>43560</v>
      </c>
      <c r="G5810" t="str">
        <f>"719211"</f>
        <v>719211</v>
      </c>
      <c r="H5810" s="2">
        <f>675</f>
        <v>675</v>
      </c>
      <c r="I5810" t="s">
        <v>27</v>
      </c>
      <c r="J5810" t="s">
        <v>200</v>
      </c>
      <c r="K5810" t="str">
        <f>"N/A"</f>
        <v>N/A</v>
      </c>
    </row>
    <row r="5811" spans="1:11" x14ac:dyDescent="0.25">
      <c r="A5811">
        <v>2024</v>
      </c>
      <c r="B5811" t="s">
        <v>9124</v>
      </c>
      <c r="C5811" t="s">
        <v>9125</v>
      </c>
      <c r="D5811" t="s">
        <v>19</v>
      </c>
      <c r="E5811" t="s">
        <v>20</v>
      </c>
      <c r="F5811" t="str">
        <f>"43610"</f>
        <v>43610</v>
      </c>
      <c r="G5811" t="str">
        <f>"719211"</f>
        <v>719211</v>
      </c>
      <c r="H5811" s="2">
        <f>450</f>
        <v>450</v>
      </c>
      <c r="I5811" t="s">
        <v>27</v>
      </c>
      <c r="J5811" t="s">
        <v>200</v>
      </c>
      <c r="K5811" t="str">
        <f>"N/A"</f>
        <v>N/A</v>
      </c>
    </row>
    <row r="5812" spans="1:11" x14ac:dyDescent="0.25">
      <c r="A5812">
        <v>2024</v>
      </c>
      <c r="B5812" t="s">
        <v>9128</v>
      </c>
      <c r="C5812" t="s">
        <v>9129</v>
      </c>
      <c r="D5812" t="s">
        <v>125</v>
      </c>
      <c r="E5812" t="s">
        <v>20</v>
      </c>
      <c r="F5812" t="str">
        <f>"43537-3558"</f>
        <v>43537-3558</v>
      </c>
      <c r="G5812" t="str">
        <f>"716165"</f>
        <v>716165</v>
      </c>
      <c r="H5812" s="2">
        <f>10</f>
        <v>10</v>
      </c>
      <c r="I5812" t="s">
        <v>27</v>
      </c>
      <c r="J5812" t="s">
        <v>34</v>
      </c>
      <c r="K5812" t="str">
        <f>"121929"</f>
        <v>121929</v>
      </c>
    </row>
    <row r="5813" spans="1:11" x14ac:dyDescent="0.25">
      <c r="A5813">
        <v>2024</v>
      </c>
      <c r="B5813" t="s">
        <v>9140</v>
      </c>
      <c r="C5813" t="s">
        <v>9141</v>
      </c>
      <c r="D5813" t="s">
        <v>19</v>
      </c>
      <c r="E5813" t="s">
        <v>20</v>
      </c>
      <c r="F5813" t="str">
        <f>"43611-3740"</f>
        <v>43611-3740</v>
      </c>
      <c r="G5813" t="str">
        <f>"716165"</f>
        <v>716165</v>
      </c>
      <c r="H5813" s="2">
        <f>20</f>
        <v>20</v>
      </c>
      <c r="I5813" t="s">
        <v>27</v>
      </c>
      <c r="J5813" t="s">
        <v>34</v>
      </c>
      <c r="K5813" t="str">
        <f>"122555"</f>
        <v>122555</v>
      </c>
    </row>
    <row r="5814" spans="1:11" x14ac:dyDescent="0.25">
      <c r="A5814">
        <v>2024</v>
      </c>
      <c r="B5814" t="s">
        <v>9142</v>
      </c>
      <c r="C5814" t="s">
        <v>9143</v>
      </c>
      <c r="D5814" t="s">
        <v>323</v>
      </c>
      <c r="E5814" t="s">
        <v>20</v>
      </c>
      <c r="F5814" t="str">
        <f>"43571-9309"</f>
        <v>43571-9309</v>
      </c>
      <c r="G5814" t="str">
        <f>"716165"</f>
        <v>716165</v>
      </c>
      <c r="H5814" s="2">
        <f>10</f>
        <v>10</v>
      </c>
      <c r="I5814" t="s">
        <v>27</v>
      </c>
      <c r="J5814" t="s">
        <v>34</v>
      </c>
      <c r="K5814" t="str">
        <f>"124983"</f>
        <v>124983</v>
      </c>
    </row>
    <row r="5815" spans="1:11" x14ac:dyDescent="0.25">
      <c r="A5815">
        <v>2024</v>
      </c>
      <c r="B5815" t="s">
        <v>9160</v>
      </c>
      <c r="C5815" t="s">
        <v>9161</v>
      </c>
      <c r="D5815" t="s">
        <v>19</v>
      </c>
      <c r="E5815" t="s">
        <v>20</v>
      </c>
      <c r="F5815" t="str">
        <f>"43607"</f>
        <v>43607</v>
      </c>
      <c r="G5815" t="str">
        <f>"716166"</f>
        <v>716166</v>
      </c>
      <c r="H5815" s="2">
        <f>3</f>
        <v>3</v>
      </c>
      <c r="I5815" t="s">
        <v>27</v>
      </c>
      <c r="J5815" t="s">
        <v>262</v>
      </c>
      <c r="K5815" t="str">
        <f>"42863"</f>
        <v>42863</v>
      </c>
    </row>
    <row r="5816" spans="1:11" x14ac:dyDescent="0.25">
      <c r="A5816">
        <v>2024</v>
      </c>
      <c r="B5816" t="s">
        <v>9170</v>
      </c>
      <c r="C5816" t="s">
        <v>9171</v>
      </c>
      <c r="D5816" t="s">
        <v>9172</v>
      </c>
      <c r="E5816" t="s">
        <v>2122</v>
      </c>
      <c r="F5816" t="str">
        <f>"28262"</f>
        <v>28262</v>
      </c>
      <c r="G5816" t="str">
        <f>"716619"</f>
        <v>716619</v>
      </c>
      <c r="H5816" s="2">
        <f>6</f>
        <v>6</v>
      </c>
      <c r="I5816" t="s">
        <v>27</v>
      </c>
      <c r="J5816" t="s">
        <v>34</v>
      </c>
      <c r="K5816" t="str">
        <f>"33012787"</f>
        <v>33012787</v>
      </c>
    </row>
    <row r="5817" spans="1:11" x14ac:dyDescent="0.25">
      <c r="A5817">
        <v>2024</v>
      </c>
      <c r="B5817" t="s">
        <v>9181</v>
      </c>
      <c r="C5817" t="s">
        <v>9182</v>
      </c>
      <c r="D5817" t="s">
        <v>19</v>
      </c>
      <c r="E5817" t="s">
        <v>20</v>
      </c>
      <c r="F5817" t="str">
        <f>"43613-4905"</f>
        <v>43613-4905</v>
      </c>
      <c r="G5817" t="str">
        <f>"716165"</f>
        <v>716165</v>
      </c>
      <c r="H5817" s="2">
        <f>20</f>
        <v>20</v>
      </c>
      <c r="I5817" t="s">
        <v>27</v>
      </c>
      <c r="J5817" t="s">
        <v>34</v>
      </c>
      <c r="K5817" t="str">
        <f>"123330"</f>
        <v>123330</v>
      </c>
    </row>
    <row r="5818" spans="1:11" x14ac:dyDescent="0.25">
      <c r="A5818">
        <v>2024</v>
      </c>
      <c r="B5818" t="s">
        <v>9183</v>
      </c>
      <c r="C5818" t="s">
        <v>9184</v>
      </c>
      <c r="D5818" t="s">
        <v>19</v>
      </c>
      <c r="E5818" t="s">
        <v>20</v>
      </c>
      <c r="F5818" t="str">
        <f>"43606"</f>
        <v>43606</v>
      </c>
      <c r="G5818" t="str">
        <f>"716165"</f>
        <v>716165</v>
      </c>
      <c r="H5818" s="2">
        <f>10</f>
        <v>10</v>
      </c>
      <c r="I5818" t="s">
        <v>27</v>
      </c>
      <c r="J5818" t="s">
        <v>34</v>
      </c>
      <c r="K5818" t="str">
        <f>"125022"</f>
        <v>125022</v>
      </c>
    </row>
    <row r="5819" spans="1:11" x14ac:dyDescent="0.25">
      <c r="A5819">
        <v>2024</v>
      </c>
      <c r="B5819" t="s">
        <v>9191</v>
      </c>
      <c r="C5819" t="s">
        <v>9192</v>
      </c>
      <c r="D5819" t="s">
        <v>899</v>
      </c>
      <c r="E5819" t="s">
        <v>20</v>
      </c>
      <c r="F5819" t="str">
        <f>"43412"</f>
        <v>43412</v>
      </c>
      <c r="G5819" t="str">
        <f>"701123"</f>
        <v>701123</v>
      </c>
      <c r="H5819" s="2">
        <f>9</f>
        <v>9</v>
      </c>
      <c r="I5819" t="s">
        <v>148</v>
      </c>
      <c r="J5819" t="s">
        <v>9193</v>
      </c>
      <c r="K5819" t="str">
        <f>"26769"</f>
        <v>26769</v>
      </c>
    </row>
    <row r="5820" spans="1:11" x14ac:dyDescent="0.25">
      <c r="A5820">
        <v>2024</v>
      </c>
      <c r="B5820" t="s">
        <v>9224</v>
      </c>
      <c r="C5820" t="s">
        <v>9225</v>
      </c>
      <c r="D5820" t="s">
        <v>19</v>
      </c>
      <c r="E5820" t="s">
        <v>20</v>
      </c>
      <c r="F5820" t="str">
        <f>"43605-2635"</f>
        <v>43605-2635</v>
      </c>
      <c r="G5820" t="str">
        <f>"716165"</f>
        <v>716165</v>
      </c>
      <c r="H5820" s="2">
        <f>10</f>
        <v>10</v>
      </c>
      <c r="I5820" t="s">
        <v>27</v>
      </c>
      <c r="J5820" t="s">
        <v>34</v>
      </c>
      <c r="K5820" t="str">
        <f>"122687"</f>
        <v>122687</v>
      </c>
    </row>
    <row r="5821" spans="1:11" x14ac:dyDescent="0.25">
      <c r="A5821">
        <v>2024</v>
      </c>
      <c r="B5821" t="s">
        <v>9226</v>
      </c>
      <c r="C5821" t="s">
        <v>9227</v>
      </c>
      <c r="D5821" t="s">
        <v>323</v>
      </c>
      <c r="E5821" t="s">
        <v>20</v>
      </c>
      <c r="F5821" t="str">
        <f>"43571-9574"</f>
        <v>43571-9574</v>
      </c>
      <c r="G5821" t="str">
        <f>"716165"</f>
        <v>716165</v>
      </c>
      <c r="H5821" s="2">
        <f>30</f>
        <v>30</v>
      </c>
      <c r="I5821" t="s">
        <v>27</v>
      </c>
      <c r="J5821" t="s">
        <v>34</v>
      </c>
      <c r="K5821" t="str">
        <f>"124139"</f>
        <v>124139</v>
      </c>
    </row>
    <row r="5822" spans="1:11" x14ac:dyDescent="0.25">
      <c r="A5822">
        <v>2024</v>
      </c>
      <c r="B5822" t="s">
        <v>9250</v>
      </c>
      <c r="C5822" t="s">
        <v>9251</v>
      </c>
      <c r="D5822" t="s">
        <v>50</v>
      </c>
      <c r="E5822" t="s">
        <v>20</v>
      </c>
      <c r="F5822" t="str">
        <f>"43560-1438"</f>
        <v>43560-1438</v>
      </c>
      <c r="G5822" t="str">
        <f>"716165"</f>
        <v>716165</v>
      </c>
      <c r="H5822" s="2">
        <f>10</f>
        <v>10</v>
      </c>
      <c r="I5822" t="s">
        <v>27</v>
      </c>
      <c r="J5822" t="s">
        <v>34</v>
      </c>
      <c r="K5822" t="str">
        <f>"121238"</f>
        <v>121238</v>
      </c>
    </row>
    <row r="5823" spans="1:11" x14ac:dyDescent="0.25">
      <c r="A5823">
        <v>2024</v>
      </c>
      <c r="B5823" t="s">
        <v>9252</v>
      </c>
      <c r="C5823" t="s">
        <v>9253</v>
      </c>
      <c r="D5823" t="s">
        <v>64</v>
      </c>
      <c r="E5823" t="s">
        <v>20</v>
      </c>
      <c r="F5823" t="str">
        <f>"43566"</f>
        <v>43566</v>
      </c>
      <c r="G5823" t="str">
        <f>"701123"</f>
        <v>701123</v>
      </c>
      <c r="H5823" s="2">
        <f>8.2</f>
        <v>8.1999999999999993</v>
      </c>
      <c r="I5823" t="s">
        <v>148</v>
      </c>
      <c r="J5823" t="s">
        <v>9254</v>
      </c>
      <c r="K5823" t="str">
        <f>"26769"</f>
        <v>26769</v>
      </c>
    </row>
    <row r="5824" spans="1:11" x14ac:dyDescent="0.25">
      <c r="A5824">
        <v>2024</v>
      </c>
      <c r="B5824" t="s">
        <v>9255</v>
      </c>
      <c r="C5824" t="s">
        <v>9256</v>
      </c>
      <c r="D5824" t="s">
        <v>19</v>
      </c>
      <c r="E5824" t="s">
        <v>20</v>
      </c>
      <c r="F5824" t="str">
        <f>"43612"</f>
        <v>43612</v>
      </c>
      <c r="G5824" t="str">
        <f>"716165"</f>
        <v>716165</v>
      </c>
      <c r="H5824" s="2">
        <f>10</f>
        <v>10</v>
      </c>
      <c r="I5824" t="s">
        <v>27</v>
      </c>
      <c r="J5824" t="s">
        <v>34</v>
      </c>
      <c r="K5824" t="str">
        <f>"122897"</f>
        <v>122897</v>
      </c>
    </row>
    <row r="5825" spans="1:11" x14ac:dyDescent="0.25">
      <c r="A5825">
        <v>2024</v>
      </c>
      <c r="B5825" t="s">
        <v>9255</v>
      </c>
      <c r="C5825" t="s">
        <v>9256</v>
      </c>
      <c r="D5825" t="s">
        <v>19</v>
      </c>
      <c r="E5825" t="s">
        <v>20</v>
      </c>
      <c r="F5825" t="str">
        <f>"43612"</f>
        <v>43612</v>
      </c>
      <c r="G5825" t="str">
        <f>"716165"</f>
        <v>716165</v>
      </c>
      <c r="H5825" s="2">
        <f>10</f>
        <v>10</v>
      </c>
      <c r="I5825" t="s">
        <v>27</v>
      </c>
      <c r="J5825" t="s">
        <v>34</v>
      </c>
      <c r="K5825" t="str">
        <f>"122802"</f>
        <v>122802</v>
      </c>
    </row>
    <row r="5826" spans="1:11" x14ac:dyDescent="0.25">
      <c r="A5826">
        <v>2024</v>
      </c>
      <c r="B5826" t="s">
        <v>9267</v>
      </c>
      <c r="C5826" t="s">
        <v>9269</v>
      </c>
      <c r="D5826" t="s">
        <v>19</v>
      </c>
      <c r="E5826" t="s">
        <v>20</v>
      </c>
      <c r="F5826" t="str">
        <f>"43604"</f>
        <v>43604</v>
      </c>
      <c r="G5826" t="str">
        <f>"718470"</f>
        <v>718470</v>
      </c>
      <c r="H5826" s="2">
        <f>15.6</f>
        <v>15.6</v>
      </c>
      <c r="I5826" t="s">
        <v>27</v>
      </c>
      <c r="J5826" t="s">
        <v>34</v>
      </c>
      <c r="K5826" t="str">
        <f>"334663"</f>
        <v>334663</v>
      </c>
    </row>
    <row r="5827" spans="1:11" x14ac:dyDescent="0.25">
      <c r="A5827">
        <v>2024</v>
      </c>
      <c r="B5827" t="s">
        <v>9267</v>
      </c>
      <c r="C5827" t="s">
        <v>9269</v>
      </c>
      <c r="D5827" t="s">
        <v>19</v>
      </c>
      <c r="E5827" t="s">
        <v>20</v>
      </c>
      <c r="F5827" t="str">
        <f>"43604"</f>
        <v>43604</v>
      </c>
      <c r="G5827" t="str">
        <f>"718470"</f>
        <v>718470</v>
      </c>
      <c r="H5827" s="2">
        <f>15.6</f>
        <v>15.6</v>
      </c>
      <c r="I5827" t="s">
        <v>27</v>
      </c>
      <c r="J5827" t="s">
        <v>34</v>
      </c>
      <c r="K5827" t="str">
        <f>"334669"</f>
        <v>334669</v>
      </c>
    </row>
    <row r="5828" spans="1:11" x14ac:dyDescent="0.25">
      <c r="A5828">
        <v>2024</v>
      </c>
      <c r="B5828" t="s">
        <v>9286</v>
      </c>
      <c r="C5828" t="s">
        <v>9287</v>
      </c>
      <c r="D5828" t="s">
        <v>58</v>
      </c>
      <c r="E5828" t="s">
        <v>20</v>
      </c>
      <c r="F5828" t="str">
        <f>"43616-5835"</f>
        <v>43616-5835</v>
      </c>
      <c r="G5828" t="str">
        <f>"716165"</f>
        <v>716165</v>
      </c>
      <c r="H5828" s="2">
        <f>60</f>
        <v>60</v>
      </c>
      <c r="I5828" t="s">
        <v>27</v>
      </c>
      <c r="J5828" t="s">
        <v>34</v>
      </c>
      <c r="K5828" t="str">
        <f>"121931"</f>
        <v>121931</v>
      </c>
    </row>
    <row r="5829" spans="1:11" x14ac:dyDescent="0.25">
      <c r="A5829">
        <v>2024</v>
      </c>
      <c r="B5829" t="s">
        <v>9288</v>
      </c>
      <c r="C5829" t="s">
        <v>9289</v>
      </c>
      <c r="D5829" t="s">
        <v>19</v>
      </c>
      <c r="E5829" t="s">
        <v>20</v>
      </c>
      <c r="F5829" t="str">
        <f>"43609-3015"</f>
        <v>43609-3015</v>
      </c>
      <c r="G5829" t="str">
        <f>"716165"</f>
        <v>716165</v>
      </c>
      <c r="H5829" s="2">
        <f>10</f>
        <v>10</v>
      </c>
      <c r="I5829" t="s">
        <v>27</v>
      </c>
      <c r="J5829" t="s">
        <v>34</v>
      </c>
      <c r="K5829" t="str">
        <f>"123945"</f>
        <v>123945</v>
      </c>
    </row>
    <row r="5830" spans="1:11" x14ac:dyDescent="0.25">
      <c r="A5830">
        <v>2024</v>
      </c>
      <c r="B5830" t="s">
        <v>9322</v>
      </c>
      <c r="C5830" t="s">
        <v>9323</v>
      </c>
      <c r="D5830" t="s">
        <v>19</v>
      </c>
      <c r="E5830" t="s">
        <v>20</v>
      </c>
      <c r="F5830" t="str">
        <f>"43610-1631"</f>
        <v>43610-1631</v>
      </c>
      <c r="G5830" t="str">
        <f>"716165"</f>
        <v>716165</v>
      </c>
      <c r="H5830" s="2">
        <f>10</f>
        <v>10</v>
      </c>
      <c r="I5830" t="s">
        <v>27</v>
      </c>
      <c r="J5830" t="s">
        <v>34</v>
      </c>
      <c r="K5830" t="str">
        <f>"123949"</f>
        <v>123949</v>
      </c>
    </row>
    <row r="5831" spans="1:11" x14ac:dyDescent="0.25">
      <c r="A5831">
        <v>2024</v>
      </c>
      <c r="B5831" t="s">
        <v>9324</v>
      </c>
      <c r="C5831" t="s">
        <v>9325</v>
      </c>
      <c r="D5831" t="s">
        <v>19</v>
      </c>
      <c r="E5831" t="s">
        <v>20</v>
      </c>
      <c r="F5831" t="str">
        <f>"43615"</f>
        <v>43615</v>
      </c>
      <c r="G5831" t="str">
        <f>"716165"</f>
        <v>716165</v>
      </c>
      <c r="H5831" s="2">
        <f>30</f>
        <v>30</v>
      </c>
      <c r="I5831" t="s">
        <v>27</v>
      </c>
      <c r="J5831" t="s">
        <v>34</v>
      </c>
      <c r="K5831" t="str">
        <f>"122119"</f>
        <v>122119</v>
      </c>
    </row>
    <row r="5832" spans="1:11" x14ac:dyDescent="0.25">
      <c r="A5832">
        <v>2024</v>
      </c>
      <c r="B5832" t="s">
        <v>9346</v>
      </c>
      <c r="C5832" t="s">
        <v>9347</v>
      </c>
      <c r="D5832" t="s">
        <v>203</v>
      </c>
      <c r="E5832" t="s">
        <v>204</v>
      </c>
      <c r="F5832" t="str">
        <f>"30384-5819"</f>
        <v>30384-5819</v>
      </c>
      <c r="G5832" t="str">
        <f>"Je08072024"</f>
        <v>Je08072024</v>
      </c>
      <c r="H5832" s="2">
        <f>52.5</f>
        <v>52.5</v>
      </c>
      <c r="I5832" t="s">
        <v>15</v>
      </c>
      <c r="J5832" t="s">
        <v>1647</v>
      </c>
      <c r="K5832" t="str">
        <f>"60116579"</f>
        <v>60116579</v>
      </c>
    </row>
    <row r="5833" spans="1:11" x14ac:dyDescent="0.25">
      <c r="A5833">
        <v>2024</v>
      </c>
      <c r="B5833" t="s">
        <v>9364</v>
      </c>
      <c r="C5833" t="s">
        <v>9365</v>
      </c>
      <c r="D5833" t="s">
        <v>19</v>
      </c>
      <c r="E5833" t="s">
        <v>20</v>
      </c>
      <c r="F5833" t="str">
        <f>"43604"</f>
        <v>43604</v>
      </c>
      <c r="G5833" t="str">
        <f>"701123"</f>
        <v>701123</v>
      </c>
      <c r="H5833" s="2">
        <f>5</f>
        <v>5</v>
      </c>
      <c r="I5833" t="s">
        <v>148</v>
      </c>
      <c r="J5833" t="s">
        <v>9366</v>
      </c>
      <c r="K5833" t="str">
        <f>"26769"</f>
        <v>26769</v>
      </c>
    </row>
    <row r="5834" spans="1:11" x14ac:dyDescent="0.25">
      <c r="A5834">
        <v>2024</v>
      </c>
      <c r="B5834" t="s">
        <v>9364</v>
      </c>
      <c r="C5834" t="s">
        <v>9365</v>
      </c>
      <c r="D5834" t="s">
        <v>19</v>
      </c>
      <c r="E5834" t="s">
        <v>20</v>
      </c>
      <c r="F5834" t="str">
        <f>"43604"</f>
        <v>43604</v>
      </c>
      <c r="G5834" t="str">
        <f>"701123"</f>
        <v>701123</v>
      </c>
      <c r="H5834" s="2">
        <f>14.1</f>
        <v>14.1</v>
      </c>
      <c r="I5834" t="s">
        <v>148</v>
      </c>
      <c r="J5834" t="s">
        <v>9367</v>
      </c>
      <c r="K5834" t="str">
        <f>"26769"</f>
        <v>26769</v>
      </c>
    </row>
    <row r="5835" spans="1:11" x14ac:dyDescent="0.25">
      <c r="A5835">
        <v>2024</v>
      </c>
      <c r="B5835" t="s">
        <v>9371</v>
      </c>
      <c r="C5835" t="s">
        <v>1004</v>
      </c>
      <c r="D5835" t="s">
        <v>1005</v>
      </c>
      <c r="E5835" t="s">
        <v>20</v>
      </c>
      <c r="F5835" t="str">
        <f>"44139"</f>
        <v>44139</v>
      </c>
      <c r="G5835" t="str">
        <f>"716166"</f>
        <v>716166</v>
      </c>
      <c r="H5835" s="2">
        <f>191.16</f>
        <v>191.16</v>
      </c>
      <c r="I5835" t="s">
        <v>27</v>
      </c>
      <c r="J5835" t="s">
        <v>262</v>
      </c>
      <c r="K5835" t="str">
        <f>"41780"</f>
        <v>41780</v>
      </c>
    </row>
    <row r="5836" spans="1:11" x14ac:dyDescent="0.25">
      <c r="A5836">
        <v>2024</v>
      </c>
      <c r="B5836" t="s">
        <v>9412</v>
      </c>
      <c r="C5836" t="s">
        <v>9413</v>
      </c>
      <c r="D5836" t="s">
        <v>19</v>
      </c>
      <c r="E5836" t="s">
        <v>20</v>
      </c>
      <c r="F5836" t="str">
        <f>"43614"</f>
        <v>43614</v>
      </c>
      <c r="G5836" t="str">
        <f>"Je12122024"</f>
        <v>Je12122024</v>
      </c>
      <c r="H5836" s="2">
        <f>518.1</f>
        <v>518.1</v>
      </c>
      <c r="I5836" t="s">
        <v>15</v>
      </c>
      <c r="J5836" t="s">
        <v>1326</v>
      </c>
      <c r="K5836" t="str">
        <f>"60138025"</f>
        <v>60138025</v>
      </c>
    </row>
    <row r="5837" spans="1:11" x14ac:dyDescent="0.25">
      <c r="A5837">
        <v>2024</v>
      </c>
      <c r="B5837" t="s">
        <v>9419</v>
      </c>
      <c r="C5837" t="s">
        <v>5023</v>
      </c>
      <c r="D5837" t="s">
        <v>5024</v>
      </c>
      <c r="E5837" t="s">
        <v>1341</v>
      </c>
      <c r="F5837" t="str">
        <f>"75019"</f>
        <v>75019</v>
      </c>
      <c r="G5837" t="str">
        <f>"Je12122024"</f>
        <v>Je12122024</v>
      </c>
      <c r="H5837" s="2">
        <f>491.23</f>
        <v>491.23</v>
      </c>
      <c r="I5837" t="s">
        <v>15</v>
      </c>
      <c r="J5837" t="s">
        <v>1326</v>
      </c>
      <c r="K5837" t="str">
        <f>"60134913"</f>
        <v>60134913</v>
      </c>
    </row>
    <row r="5838" spans="1:11" x14ac:dyDescent="0.25">
      <c r="A5838">
        <v>2024</v>
      </c>
      <c r="B5838" t="s">
        <v>9468</v>
      </c>
      <c r="C5838" t="s">
        <v>9469</v>
      </c>
      <c r="D5838" t="s">
        <v>19</v>
      </c>
      <c r="E5838" t="s">
        <v>20</v>
      </c>
      <c r="F5838" t="str">
        <f>"43612"</f>
        <v>43612</v>
      </c>
      <c r="G5838" t="str">
        <f>"716619"</f>
        <v>716619</v>
      </c>
      <c r="H5838" s="2">
        <f>355</f>
        <v>355</v>
      </c>
      <c r="I5838" t="s">
        <v>27</v>
      </c>
      <c r="J5838" t="s">
        <v>34</v>
      </c>
      <c r="K5838" t="str">
        <f>"44010139"</f>
        <v>44010139</v>
      </c>
    </row>
    <row r="5839" spans="1:11" x14ac:dyDescent="0.25">
      <c r="A5839">
        <v>2024</v>
      </c>
      <c r="B5839" t="s">
        <v>9472</v>
      </c>
      <c r="C5839" t="s">
        <v>9473</v>
      </c>
      <c r="D5839" t="s">
        <v>19</v>
      </c>
      <c r="E5839" t="s">
        <v>20</v>
      </c>
      <c r="F5839" t="str">
        <f>"43606"</f>
        <v>43606</v>
      </c>
      <c r="G5839" t="str">
        <f>"716619"</f>
        <v>716619</v>
      </c>
      <c r="H5839" s="2">
        <f>696.87</f>
        <v>696.87</v>
      </c>
      <c r="I5839" t="s">
        <v>27</v>
      </c>
      <c r="J5839" t="s">
        <v>34</v>
      </c>
      <c r="K5839" t="str">
        <f>"33012831"</f>
        <v>33012831</v>
      </c>
    </row>
    <row r="5840" spans="1:11" x14ac:dyDescent="0.25">
      <c r="A5840">
        <v>2024</v>
      </c>
      <c r="B5840" t="s">
        <v>9472</v>
      </c>
      <c r="C5840" t="s">
        <v>9473</v>
      </c>
      <c r="D5840" t="s">
        <v>19</v>
      </c>
      <c r="E5840" t="s">
        <v>20</v>
      </c>
      <c r="F5840" t="str">
        <f>"43606"</f>
        <v>43606</v>
      </c>
      <c r="G5840" t="str">
        <f>"716619"</f>
        <v>716619</v>
      </c>
      <c r="H5840" s="2">
        <f>5</f>
        <v>5</v>
      </c>
      <c r="I5840" t="s">
        <v>27</v>
      </c>
      <c r="J5840" t="s">
        <v>34</v>
      </c>
      <c r="K5840" t="str">
        <f>"33012833"</f>
        <v>33012833</v>
      </c>
    </row>
    <row r="5841" spans="1:11" x14ac:dyDescent="0.25">
      <c r="A5841">
        <v>2024</v>
      </c>
      <c r="B5841" t="s">
        <v>9493</v>
      </c>
      <c r="C5841" t="s">
        <v>9494</v>
      </c>
      <c r="D5841" t="s">
        <v>19</v>
      </c>
      <c r="E5841" t="s">
        <v>20</v>
      </c>
      <c r="F5841" t="str">
        <f>"43607"</f>
        <v>43607</v>
      </c>
      <c r="G5841" t="str">
        <f>"Je10112024"</f>
        <v>Je10112024</v>
      </c>
      <c r="H5841" s="2">
        <f>60</f>
        <v>60</v>
      </c>
      <c r="I5841" t="s">
        <v>15</v>
      </c>
      <c r="J5841" t="s">
        <v>205</v>
      </c>
      <c r="K5841" t="str">
        <f>"60128123"</f>
        <v>60128123</v>
      </c>
    </row>
    <row r="5842" spans="1:11" x14ac:dyDescent="0.25">
      <c r="A5842">
        <v>2024</v>
      </c>
      <c r="B5842" t="s">
        <v>9527</v>
      </c>
      <c r="C5842" t="s">
        <v>9528</v>
      </c>
      <c r="D5842" t="s">
        <v>19</v>
      </c>
      <c r="E5842" t="s">
        <v>20</v>
      </c>
      <c r="F5842" t="str">
        <f>"43605-1134"</f>
        <v>43605-1134</v>
      </c>
      <c r="G5842" t="str">
        <f>"716165"</f>
        <v>716165</v>
      </c>
      <c r="H5842" s="2">
        <f>10</f>
        <v>10</v>
      </c>
      <c r="I5842" t="s">
        <v>27</v>
      </c>
      <c r="J5842" t="s">
        <v>34</v>
      </c>
      <c r="K5842" t="str">
        <f>"123224"</f>
        <v>123224</v>
      </c>
    </row>
    <row r="5843" spans="1:11" x14ac:dyDescent="0.25">
      <c r="A5843">
        <v>2024</v>
      </c>
      <c r="B5843" t="s">
        <v>9529</v>
      </c>
      <c r="C5843" t="s">
        <v>9530</v>
      </c>
      <c r="D5843" t="s">
        <v>19</v>
      </c>
      <c r="E5843" t="s">
        <v>20</v>
      </c>
      <c r="F5843" t="str">
        <f>"43607-3059"</f>
        <v>43607-3059</v>
      </c>
      <c r="G5843" t="str">
        <f>"716165"</f>
        <v>716165</v>
      </c>
      <c r="H5843" s="2">
        <f>20</f>
        <v>20</v>
      </c>
      <c r="I5843" t="s">
        <v>27</v>
      </c>
      <c r="J5843" t="s">
        <v>34</v>
      </c>
      <c r="K5843" t="str">
        <f>"122717"</f>
        <v>122717</v>
      </c>
    </row>
    <row r="5844" spans="1:11" x14ac:dyDescent="0.25">
      <c r="A5844">
        <v>2024</v>
      </c>
      <c r="B5844" t="s">
        <v>9549</v>
      </c>
      <c r="C5844" t="s">
        <v>9550</v>
      </c>
      <c r="D5844" t="s">
        <v>19</v>
      </c>
      <c r="E5844" t="s">
        <v>20</v>
      </c>
      <c r="F5844" t="str">
        <f>"43615-1832"</f>
        <v>43615-1832</v>
      </c>
      <c r="G5844" t="str">
        <f>"716165"</f>
        <v>716165</v>
      </c>
      <c r="H5844" s="2">
        <f>10</f>
        <v>10</v>
      </c>
      <c r="I5844" t="s">
        <v>27</v>
      </c>
      <c r="J5844" t="s">
        <v>34</v>
      </c>
      <c r="K5844" t="str">
        <f>"121971"</f>
        <v>121971</v>
      </c>
    </row>
    <row r="5845" spans="1:11" x14ac:dyDescent="0.25">
      <c r="A5845">
        <v>2024</v>
      </c>
      <c r="B5845" t="s">
        <v>9603</v>
      </c>
      <c r="C5845" t="s">
        <v>9604</v>
      </c>
      <c r="D5845" t="s">
        <v>19</v>
      </c>
      <c r="E5845" t="s">
        <v>20</v>
      </c>
      <c r="F5845" t="str">
        <f>"43608-2549"</f>
        <v>43608-2549</v>
      </c>
      <c r="G5845" t="str">
        <f>"716165"</f>
        <v>716165</v>
      </c>
      <c r="H5845" s="2">
        <f>20</f>
        <v>20</v>
      </c>
      <c r="I5845" t="s">
        <v>27</v>
      </c>
      <c r="J5845" t="s">
        <v>34</v>
      </c>
      <c r="K5845" t="str">
        <f>"121568"</f>
        <v>121568</v>
      </c>
    </row>
    <row r="5846" spans="1:11" x14ac:dyDescent="0.25">
      <c r="A5846">
        <v>2024</v>
      </c>
      <c r="B5846" t="s">
        <v>9607</v>
      </c>
      <c r="C5846" t="s">
        <v>9608</v>
      </c>
      <c r="D5846" t="s">
        <v>422</v>
      </c>
      <c r="E5846" t="s">
        <v>20</v>
      </c>
      <c r="F5846" t="str">
        <f>"44114"</f>
        <v>44114</v>
      </c>
      <c r="G5846" t="str">
        <f>"716166"</f>
        <v>716166</v>
      </c>
      <c r="H5846" s="2">
        <f>125</f>
        <v>125</v>
      </c>
      <c r="I5846" t="s">
        <v>27</v>
      </c>
      <c r="J5846" t="s">
        <v>262</v>
      </c>
      <c r="K5846" t="str">
        <f>"41374"</f>
        <v>41374</v>
      </c>
    </row>
    <row r="5847" spans="1:11" x14ac:dyDescent="0.25">
      <c r="A5847">
        <v>2024</v>
      </c>
      <c r="B5847" t="s">
        <v>9615</v>
      </c>
      <c r="C5847" t="s">
        <v>9616</v>
      </c>
      <c r="D5847" t="s">
        <v>19</v>
      </c>
      <c r="E5847" t="s">
        <v>20</v>
      </c>
      <c r="F5847" t="str">
        <f>"43611-1536"</f>
        <v>43611-1536</v>
      </c>
      <c r="G5847" t="str">
        <f t="shared" ref="G5847:G5852" si="206">"716165"</f>
        <v>716165</v>
      </c>
      <c r="H5847" s="2">
        <f>20</f>
        <v>20</v>
      </c>
      <c r="I5847" t="s">
        <v>27</v>
      </c>
      <c r="J5847" t="s">
        <v>34</v>
      </c>
      <c r="K5847" t="str">
        <f>"123624"</f>
        <v>123624</v>
      </c>
    </row>
    <row r="5848" spans="1:11" x14ac:dyDescent="0.25">
      <c r="A5848">
        <v>2024</v>
      </c>
      <c r="B5848" t="s">
        <v>9651</v>
      </c>
      <c r="C5848" t="s">
        <v>9086</v>
      </c>
      <c r="D5848" t="s">
        <v>19</v>
      </c>
      <c r="E5848" t="s">
        <v>20</v>
      </c>
      <c r="F5848" t="str">
        <f>"43611-1513"</f>
        <v>43611-1513</v>
      </c>
      <c r="G5848" t="str">
        <f t="shared" si="206"/>
        <v>716165</v>
      </c>
      <c r="H5848" s="2">
        <f>10</f>
        <v>10</v>
      </c>
      <c r="I5848" t="s">
        <v>27</v>
      </c>
      <c r="J5848" t="s">
        <v>34</v>
      </c>
      <c r="K5848" t="str">
        <f>"121439"</f>
        <v>121439</v>
      </c>
    </row>
    <row r="5849" spans="1:11" x14ac:dyDescent="0.25">
      <c r="A5849">
        <v>2024</v>
      </c>
      <c r="B5849" t="s">
        <v>9658</v>
      </c>
      <c r="C5849" t="s">
        <v>9659</v>
      </c>
      <c r="D5849" t="s">
        <v>19</v>
      </c>
      <c r="E5849" t="s">
        <v>20</v>
      </c>
      <c r="F5849" t="str">
        <f>"43614-5239"</f>
        <v>43614-5239</v>
      </c>
      <c r="G5849" t="str">
        <f t="shared" si="206"/>
        <v>716165</v>
      </c>
      <c r="H5849" s="2">
        <f>10</f>
        <v>10</v>
      </c>
      <c r="I5849" t="s">
        <v>27</v>
      </c>
      <c r="J5849" t="s">
        <v>34</v>
      </c>
      <c r="K5849" t="str">
        <f>"123759"</f>
        <v>123759</v>
      </c>
    </row>
    <row r="5850" spans="1:11" x14ac:dyDescent="0.25">
      <c r="A5850">
        <v>2024</v>
      </c>
      <c r="B5850" t="s">
        <v>9667</v>
      </c>
      <c r="C5850" t="s">
        <v>9668</v>
      </c>
      <c r="D5850" t="s">
        <v>19</v>
      </c>
      <c r="E5850" t="s">
        <v>20</v>
      </c>
      <c r="F5850" t="str">
        <f>"43617-2134"</f>
        <v>43617-2134</v>
      </c>
      <c r="G5850" t="str">
        <f t="shared" si="206"/>
        <v>716165</v>
      </c>
      <c r="H5850" s="2">
        <f>10</f>
        <v>10</v>
      </c>
      <c r="I5850" t="s">
        <v>27</v>
      </c>
      <c r="J5850" t="s">
        <v>34</v>
      </c>
      <c r="K5850" t="str">
        <f>"123994"</f>
        <v>123994</v>
      </c>
    </row>
    <row r="5851" spans="1:11" x14ac:dyDescent="0.25">
      <c r="A5851">
        <v>2024</v>
      </c>
      <c r="B5851" t="s">
        <v>9669</v>
      </c>
      <c r="C5851" t="s">
        <v>9670</v>
      </c>
      <c r="D5851" t="s">
        <v>50</v>
      </c>
      <c r="E5851" t="s">
        <v>20</v>
      </c>
      <c r="F5851" t="str">
        <f>"43560-2224"</f>
        <v>43560-2224</v>
      </c>
      <c r="G5851" t="str">
        <f t="shared" si="206"/>
        <v>716165</v>
      </c>
      <c r="H5851" s="2">
        <f>30</f>
        <v>30</v>
      </c>
      <c r="I5851" t="s">
        <v>27</v>
      </c>
      <c r="J5851" t="s">
        <v>34</v>
      </c>
      <c r="K5851" t="str">
        <f>"122122"</f>
        <v>122122</v>
      </c>
    </row>
    <row r="5852" spans="1:11" x14ac:dyDescent="0.25">
      <c r="A5852">
        <v>2024</v>
      </c>
      <c r="B5852" t="s">
        <v>9671</v>
      </c>
      <c r="C5852" t="s">
        <v>9672</v>
      </c>
      <c r="D5852" t="s">
        <v>19</v>
      </c>
      <c r="E5852" t="s">
        <v>20</v>
      </c>
      <c r="F5852" t="str">
        <f>"43620-1607"</f>
        <v>43620-1607</v>
      </c>
      <c r="G5852" t="str">
        <f t="shared" si="206"/>
        <v>716165</v>
      </c>
      <c r="H5852" s="2">
        <f>10</f>
        <v>10</v>
      </c>
      <c r="I5852" t="s">
        <v>27</v>
      </c>
      <c r="J5852" t="s">
        <v>34</v>
      </c>
      <c r="K5852" t="str">
        <f>"122645"</f>
        <v>122645</v>
      </c>
    </row>
    <row r="5853" spans="1:11" x14ac:dyDescent="0.25">
      <c r="A5853">
        <v>2024</v>
      </c>
      <c r="B5853" t="s">
        <v>9677</v>
      </c>
      <c r="C5853" t="s">
        <v>5004</v>
      </c>
      <c r="D5853" t="s">
        <v>19</v>
      </c>
      <c r="E5853" t="s">
        <v>20</v>
      </c>
      <c r="F5853" t="str">
        <f>"43604"</f>
        <v>43604</v>
      </c>
      <c r="G5853" t="str">
        <f>"718470"</f>
        <v>718470</v>
      </c>
      <c r="H5853" s="2">
        <f>62</f>
        <v>62</v>
      </c>
      <c r="I5853" t="s">
        <v>27</v>
      </c>
      <c r="J5853" t="s">
        <v>34</v>
      </c>
      <c r="K5853" t="str">
        <f>"334700"</f>
        <v>334700</v>
      </c>
    </row>
    <row r="5854" spans="1:11" x14ac:dyDescent="0.25">
      <c r="A5854">
        <v>2024</v>
      </c>
      <c r="B5854" t="s">
        <v>9691</v>
      </c>
      <c r="C5854" t="s">
        <v>9692</v>
      </c>
      <c r="D5854" t="s">
        <v>125</v>
      </c>
      <c r="E5854" t="s">
        <v>20</v>
      </c>
      <c r="F5854" t="str">
        <f>"43537"</f>
        <v>43537</v>
      </c>
      <c r="G5854" t="str">
        <f>"Je03262024"</f>
        <v>Je03262024</v>
      </c>
      <c r="H5854" s="2">
        <f>46.76</f>
        <v>46.76</v>
      </c>
      <c r="I5854" t="s">
        <v>15</v>
      </c>
      <c r="J5854" t="s">
        <v>21</v>
      </c>
      <c r="K5854" t="str">
        <f>"60114531"</f>
        <v>60114531</v>
      </c>
    </row>
    <row r="5855" spans="1:11" x14ac:dyDescent="0.25">
      <c r="A5855">
        <v>2024</v>
      </c>
      <c r="B5855" t="s">
        <v>9693</v>
      </c>
      <c r="C5855" t="s">
        <v>9694</v>
      </c>
      <c r="D5855" t="s">
        <v>45</v>
      </c>
      <c r="E5855" t="s">
        <v>20</v>
      </c>
      <c r="F5855" t="str">
        <f>"43542-9722"</f>
        <v>43542-9722</v>
      </c>
      <c r="G5855" t="str">
        <f>"716165"</f>
        <v>716165</v>
      </c>
      <c r="H5855" s="2">
        <f>10</f>
        <v>10</v>
      </c>
      <c r="I5855" t="s">
        <v>27</v>
      </c>
      <c r="J5855" t="s">
        <v>34</v>
      </c>
      <c r="K5855" t="str">
        <f>"124701"</f>
        <v>124701</v>
      </c>
    </row>
    <row r="5856" spans="1:11" x14ac:dyDescent="0.25">
      <c r="A5856">
        <v>2024</v>
      </c>
      <c r="B5856" t="s">
        <v>9695</v>
      </c>
      <c r="C5856" t="s">
        <v>9696</v>
      </c>
      <c r="D5856" t="s">
        <v>19</v>
      </c>
      <c r="E5856" t="s">
        <v>20</v>
      </c>
      <c r="F5856" t="str">
        <f>"43614"</f>
        <v>43614</v>
      </c>
      <c r="G5856" t="str">
        <f>"Je12122024"</f>
        <v>Je12122024</v>
      </c>
      <c r="H5856" s="2">
        <f>0.43</f>
        <v>0.43</v>
      </c>
      <c r="I5856" t="s">
        <v>15</v>
      </c>
      <c r="J5856" t="s">
        <v>1326</v>
      </c>
      <c r="K5856" t="str">
        <f>"60138623"</f>
        <v>60138623</v>
      </c>
    </row>
    <row r="5857" spans="1:11" x14ac:dyDescent="0.25">
      <c r="A5857">
        <v>2024</v>
      </c>
      <c r="B5857" t="s">
        <v>9706</v>
      </c>
      <c r="C5857" t="s">
        <v>9707</v>
      </c>
      <c r="D5857" t="s">
        <v>1005</v>
      </c>
      <c r="E5857" t="s">
        <v>20</v>
      </c>
      <c r="F5857" t="str">
        <f t="shared" ref="F5857:F5880" si="207">"44139"</f>
        <v>44139</v>
      </c>
      <c r="G5857" t="str">
        <f t="shared" ref="G5857:G5880" si="208">"716166"</f>
        <v>716166</v>
      </c>
      <c r="H5857" s="2">
        <f>550</f>
        <v>550</v>
      </c>
      <c r="I5857" t="s">
        <v>27</v>
      </c>
      <c r="J5857" t="s">
        <v>262</v>
      </c>
      <c r="K5857" t="str">
        <f>"41738"</f>
        <v>41738</v>
      </c>
    </row>
    <row r="5858" spans="1:11" x14ac:dyDescent="0.25">
      <c r="A5858">
        <v>2024</v>
      </c>
      <c r="B5858" t="s">
        <v>9706</v>
      </c>
      <c r="C5858" t="s">
        <v>3123</v>
      </c>
      <c r="D5858" t="s">
        <v>1005</v>
      </c>
      <c r="E5858" t="s">
        <v>20</v>
      </c>
      <c r="F5858" t="str">
        <f t="shared" si="207"/>
        <v>44139</v>
      </c>
      <c r="G5858" t="str">
        <f t="shared" si="208"/>
        <v>716166</v>
      </c>
      <c r="H5858" s="2">
        <f>85.85</f>
        <v>85.85</v>
      </c>
      <c r="I5858" t="s">
        <v>27</v>
      </c>
      <c r="J5858" t="s">
        <v>262</v>
      </c>
      <c r="K5858" t="str">
        <f>"42072"</f>
        <v>42072</v>
      </c>
    </row>
    <row r="5859" spans="1:11" x14ac:dyDescent="0.25">
      <c r="A5859">
        <v>2024</v>
      </c>
      <c r="B5859" t="s">
        <v>9706</v>
      </c>
      <c r="C5859" t="s">
        <v>1004</v>
      </c>
      <c r="D5859" t="s">
        <v>1005</v>
      </c>
      <c r="E5859" t="s">
        <v>20</v>
      </c>
      <c r="F5859" t="str">
        <f t="shared" si="207"/>
        <v>44139</v>
      </c>
      <c r="G5859" t="str">
        <f t="shared" si="208"/>
        <v>716166</v>
      </c>
      <c r="H5859" s="2">
        <f>207.88</f>
        <v>207.88</v>
      </c>
      <c r="I5859" t="s">
        <v>27</v>
      </c>
      <c r="J5859" t="s">
        <v>262</v>
      </c>
      <c r="K5859" t="str">
        <f>"42728"</f>
        <v>42728</v>
      </c>
    </row>
    <row r="5860" spans="1:11" x14ac:dyDescent="0.25">
      <c r="A5860">
        <v>2024</v>
      </c>
      <c r="B5860" t="s">
        <v>9706</v>
      </c>
      <c r="C5860" t="s">
        <v>1004</v>
      </c>
      <c r="D5860" t="s">
        <v>1005</v>
      </c>
      <c r="E5860" t="s">
        <v>20</v>
      </c>
      <c r="F5860" t="str">
        <f t="shared" si="207"/>
        <v>44139</v>
      </c>
      <c r="G5860" t="str">
        <f t="shared" si="208"/>
        <v>716166</v>
      </c>
      <c r="H5860" s="2">
        <f>216.73</f>
        <v>216.73</v>
      </c>
      <c r="I5860" t="s">
        <v>27</v>
      </c>
      <c r="J5860" t="s">
        <v>262</v>
      </c>
      <c r="K5860" t="str">
        <f>"42464"</f>
        <v>42464</v>
      </c>
    </row>
    <row r="5861" spans="1:11" x14ac:dyDescent="0.25">
      <c r="A5861">
        <v>2024</v>
      </c>
      <c r="B5861" t="s">
        <v>9706</v>
      </c>
      <c r="C5861" t="s">
        <v>1004</v>
      </c>
      <c r="D5861" t="s">
        <v>1005</v>
      </c>
      <c r="E5861" t="s">
        <v>20</v>
      </c>
      <c r="F5861" t="str">
        <f t="shared" si="207"/>
        <v>44139</v>
      </c>
      <c r="G5861" t="str">
        <f t="shared" si="208"/>
        <v>716166</v>
      </c>
      <c r="H5861" s="2">
        <f>172.55</f>
        <v>172.55</v>
      </c>
      <c r="I5861" t="s">
        <v>27</v>
      </c>
      <c r="J5861" t="s">
        <v>262</v>
      </c>
      <c r="K5861" t="str">
        <f>"42743"</f>
        <v>42743</v>
      </c>
    </row>
    <row r="5862" spans="1:11" x14ac:dyDescent="0.25">
      <c r="A5862">
        <v>2024</v>
      </c>
      <c r="B5862" t="s">
        <v>9706</v>
      </c>
      <c r="C5862" t="s">
        <v>1004</v>
      </c>
      <c r="D5862" t="s">
        <v>1005</v>
      </c>
      <c r="E5862" t="s">
        <v>20</v>
      </c>
      <c r="F5862" t="str">
        <f t="shared" si="207"/>
        <v>44139</v>
      </c>
      <c r="G5862" t="str">
        <f t="shared" si="208"/>
        <v>716166</v>
      </c>
      <c r="H5862" s="2">
        <f>537.55</f>
        <v>537.54999999999995</v>
      </c>
      <c r="I5862" t="s">
        <v>27</v>
      </c>
      <c r="J5862" t="s">
        <v>262</v>
      </c>
      <c r="K5862" t="str">
        <f>"43142"</f>
        <v>43142</v>
      </c>
    </row>
    <row r="5863" spans="1:11" x14ac:dyDescent="0.25">
      <c r="A5863">
        <v>2024</v>
      </c>
      <c r="B5863" t="s">
        <v>9706</v>
      </c>
      <c r="C5863" t="s">
        <v>1004</v>
      </c>
      <c r="D5863" t="s">
        <v>1005</v>
      </c>
      <c r="E5863" t="s">
        <v>20</v>
      </c>
      <c r="F5863" t="str">
        <f t="shared" si="207"/>
        <v>44139</v>
      </c>
      <c r="G5863" t="str">
        <f t="shared" si="208"/>
        <v>716166</v>
      </c>
      <c r="H5863" s="2">
        <f>305</f>
        <v>305</v>
      </c>
      <c r="I5863" t="s">
        <v>27</v>
      </c>
      <c r="J5863" t="s">
        <v>262</v>
      </c>
      <c r="K5863" t="str">
        <f>"42889"</f>
        <v>42889</v>
      </c>
    </row>
    <row r="5864" spans="1:11" x14ac:dyDescent="0.25">
      <c r="A5864">
        <v>2024</v>
      </c>
      <c r="B5864" t="s">
        <v>9706</v>
      </c>
      <c r="C5864" t="s">
        <v>9708</v>
      </c>
      <c r="D5864" t="s">
        <v>1005</v>
      </c>
      <c r="E5864" t="s">
        <v>20</v>
      </c>
      <c r="F5864" t="str">
        <f t="shared" si="207"/>
        <v>44139</v>
      </c>
      <c r="G5864" t="str">
        <f t="shared" si="208"/>
        <v>716166</v>
      </c>
      <c r="H5864" s="2">
        <f>245</f>
        <v>245</v>
      </c>
      <c r="I5864" t="s">
        <v>27</v>
      </c>
      <c r="J5864" t="s">
        <v>262</v>
      </c>
      <c r="K5864" t="str">
        <f>"42890"</f>
        <v>42890</v>
      </c>
    </row>
    <row r="5865" spans="1:11" x14ac:dyDescent="0.25">
      <c r="A5865">
        <v>2024</v>
      </c>
      <c r="B5865" t="s">
        <v>9706</v>
      </c>
      <c r="C5865" t="s">
        <v>1004</v>
      </c>
      <c r="D5865" t="s">
        <v>1005</v>
      </c>
      <c r="E5865" t="s">
        <v>20</v>
      </c>
      <c r="F5865" t="str">
        <f t="shared" si="207"/>
        <v>44139</v>
      </c>
      <c r="G5865" t="str">
        <f t="shared" si="208"/>
        <v>716166</v>
      </c>
      <c r="H5865" s="2">
        <f>550</f>
        <v>550</v>
      </c>
      <c r="I5865" t="s">
        <v>27</v>
      </c>
      <c r="J5865" t="s">
        <v>262</v>
      </c>
      <c r="K5865" t="str">
        <f>"42897"</f>
        <v>42897</v>
      </c>
    </row>
    <row r="5866" spans="1:11" x14ac:dyDescent="0.25">
      <c r="A5866">
        <v>2024</v>
      </c>
      <c r="B5866" t="s">
        <v>9706</v>
      </c>
      <c r="C5866" t="s">
        <v>1004</v>
      </c>
      <c r="D5866" t="s">
        <v>1005</v>
      </c>
      <c r="E5866" t="s">
        <v>20</v>
      </c>
      <c r="F5866" t="str">
        <f t="shared" si="207"/>
        <v>44139</v>
      </c>
      <c r="G5866" t="str">
        <f t="shared" si="208"/>
        <v>716166</v>
      </c>
      <c r="H5866" s="2">
        <f>100.01</f>
        <v>100.01</v>
      </c>
      <c r="I5866" t="s">
        <v>27</v>
      </c>
      <c r="J5866" t="s">
        <v>262</v>
      </c>
      <c r="K5866" t="str">
        <f>"42940"</f>
        <v>42940</v>
      </c>
    </row>
    <row r="5867" spans="1:11" x14ac:dyDescent="0.25">
      <c r="A5867">
        <v>2024</v>
      </c>
      <c r="B5867" t="s">
        <v>9706</v>
      </c>
      <c r="C5867" t="s">
        <v>1004</v>
      </c>
      <c r="D5867" t="s">
        <v>1005</v>
      </c>
      <c r="E5867" t="s">
        <v>20</v>
      </c>
      <c r="F5867" t="str">
        <f t="shared" si="207"/>
        <v>44139</v>
      </c>
      <c r="G5867" t="str">
        <f t="shared" si="208"/>
        <v>716166</v>
      </c>
      <c r="H5867" s="2">
        <f>179.19</f>
        <v>179.19</v>
      </c>
      <c r="I5867" t="s">
        <v>27</v>
      </c>
      <c r="J5867" t="s">
        <v>262</v>
      </c>
      <c r="K5867" t="str">
        <f>"43282"</f>
        <v>43282</v>
      </c>
    </row>
    <row r="5868" spans="1:11" x14ac:dyDescent="0.25">
      <c r="A5868">
        <v>2024</v>
      </c>
      <c r="B5868" t="s">
        <v>9706</v>
      </c>
      <c r="C5868" t="s">
        <v>1004</v>
      </c>
      <c r="D5868" t="s">
        <v>1005</v>
      </c>
      <c r="E5868" t="s">
        <v>20</v>
      </c>
      <c r="F5868" t="str">
        <f t="shared" si="207"/>
        <v>44139</v>
      </c>
      <c r="G5868" t="str">
        <f t="shared" si="208"/>
        <v>716166</v>
      </c>
      <c r="H5868" s="2">
        <f>550</f>
        <v>550</v>
      </c>
      <c r="I5868" t="s">
        <v>27</v>
      </c>
      <c r="J5868" t="s">
        <v>262</v>
      </c>
      <c r="K5868" t="str">
        <f>"42984"</f>
        <v>42984</v>
      </c>
    </row>
    <row r="5869" spans="1:11" x14ac:dyDescent="0.25">
      <c r="A5869">
        <v>2024</v>
      </c>
      <c r="B5869" t="s">
        <v>9706</v>
      </c>
      <c r="C5869" t="s">
        <v>1004</v>
      </c>
      <c r="D5869" t="s">
        <v>1005</v>
      </c>
      <c r="E5869" t="s">
        <v>20</v>
      </c>
      <c r="F5869" t="str">
        <f t="shared" si="207"/>
        <v>44139</v>
      </c>
      <c r="G5869" t="str">
        <f t="shared" si="208"/>
        <v>716166</v>
      </c>
      <c r="H5869" s="2">
        <f>125.51</f>
        <v>125.51</v>
      </c>
      <c r="I5869" t="s">
        <v>27</v>
      </c>
      <c r="J5869" t="s">
        <v>262</v>
      </c>
      <c r="K5869" t="str">
        <f>"43005"</f>
        <v>43005</v>
      </c>
    </row>
    <row r="5870" spans="1:11" x14ac:dyDescent="0.25">
      <c r="A5870">
        <v>2024</v>
      </c>
      <c r="B5870" t="s">
        <v>9706</v>
      </c>
      <c r="C5870" t="s">
        <v>3123</v>
      </c>
      <c r="D5870" t="s">
        <v>1005</v>
      </c>
      <c r="E5870" t="s">
        <v>20</v>
      </c>
      <c r="F5870" t="str">
        <f t="shared" si="207"/>
        <v>44139</v>
      </c>
      <c r="G5870" t="str">
        <f t="shared" si="208"/>
        <v>716166</v>
      </c>
      <c r="H5870" s="2">
        <f>550</f>
        <v>550</v>
      </c>
      <c r="I5870" t="s">
        <v>27</v>
      </c>
      <c r="J5870" t="s">
        <v>262</v>
      </c>
      <c r="K5870" t="str">
        <f>"43363"</f>
        <v>43363</v>
      </c>
    </row>
    <row r="5871" spans="1:11" x14ac:dyDescent="0.25">
      <c r="A5871">
        <v>2024</v>
      </c>
      <c r="B5871" t="s">
        <v>9706</v>
      </c>
      <c r="C5871" t="s">
        <v>1004</v>
      </c>
      <c r="D5871" t="s">
        <v>1005</v>
      </c>
      <c r="E5871" t="s">
        <v>20</v>
      </c>
      <c r="F5871" t="str">
        <f t="shared" si="207"/>
        <v>44139</v>
      </c>
      <c r="G5871" t="str">
        <f t="shared" si="208"/>
        <v>716166</v>
      </c>
      <c r="H5871" s="2">
        <f>550</f>
        <v>550</v>
      </c>
      <c r="I5871" t="s">
        <v>27</v>
      </c>
      <c r="J5871" t="s">
        <v>262</v>
      </c>
      <c r="K5871" t="str">
        <f>"43364"</f>
        <v>43364</v>
      </c>
    </row>
    <row r="5872" spans="1:11" x14ac:dyDescent="0.25">
      <c r="A5872">
        <v>2024</v>
      </c>
      <c r="B5872" t="s">
        <v>9706</v>
      </c>
      <c r="C5872" t="s">
        <v>1004</v>
      </c>
      <c r="D5872" t="s">
        <v>1005</v>
      </c>
      <c r="E5872" t="s">
        <v>20</v>
      </c>
      <c r="F5872" t="str">
        <f t="shared" si="207"/>
        <v>44139</v>
      </c>
      <c r="G5872" t="str">
        <f t="shared" si="208"/>
        <v>716166</v>
      </c>
      <c r="H5872" s="2">
        <f>550</f>
        <v>550</v>
      </c>
      <c r="I5872" t="s">
        <v>27</v>
      </c>
      <c r="J5872" t="s">
        <v>262</v>
      </c>
      <c r="K5872" t="str">
        <f>"43366"</f>
        <v>43366</v>
      </c>
    </row>
    <row r="5873" spans="1:11" x14ac:dyDescent="0.25">
      <c r="A5873">
        <v>2024</v>
      </c>
      <c r="B5873" t="s">
        <v>9706</v>
      </c>
      <c r="C5873" t="s">
        <v>1004</v>
      </c>
      <c r="D5873" t="s">
        <v>1005</v>
      </c>
      <c r="E5873" t="s">
        <v>20</v>
      </c>
      <c r="F5873" t="str">
        <f t="shared" si="207"/>
        <v>44139</v>
      </c>
      <c r="G5873" t="str">
        <f t="shared" si="208"/>
        <v>716166</v>
      </c>
      <c r="H5873" s="2">
        <f>539.65</f>
        <v>539.65</v>
      </c>
      <c r="I5873" t="s">
        <v>27</v>
      </c>
      <c r="J5873" t="s">
        <v>262</v>
      </c>
      <c r="K5873" t="str">
        <f>"43375"</f>
        <v>43375</v>
      </c>
    </row>
    <row r="5874" spans="1:11" x14ac:dyDescent="0.25">
      <c r="A5874">
        <v>2024</v>
      </c>
      <c r="B5874" t="s">
        <v>9706</v>
      </c>
      <c r="C5874" t="s">
        <v>1004</v>
      </c>
      <c r="D5874" t="s">
        <v>1005</v>
      </c>
      <c r="E5874" t="s">
        <v>20</v>
      </c>
      <c r="F5874" t="str">
        <f t="shared" si="207"/>
        <v>44139</v>
      </c>
      <c r="G5874" t="str">
        <f t="shared" si="208"/>
        <v>716166</v>
      </c>
      <c r="H5874" s="2">
        <f>269</f>
        <v>269</v>
      </c>
      <c r="I5874" t="s">
        <v>27</v>
      </c>
      <c r="J5874" t="s">
        <v>262</v>
      </c>
      <c r="K5874" t="str">
        <f>"43376"</f>
        <v>43376</v>
      </c>
    </row>
    <row r="5875" spans="1:11" x14ac:dyDescent="0.25">
      <c r="A5875">
        <v>2024</v>
      </c>
      <c r="B5875" t="s">
        <v>9706</v>
      </c>
      <c r="C5875" t="s">
        <v>9708</v>
      </c>
      <c r="D5875" t="s">
        <v>1005</v>
      </c>
      <c r="E5875" t="s">
        <v>20</v>
      </c>
      <c r="F5875" t="str">
        <f t="shared" si="207"/>
        <v>44139</v>
      </c>
      <c r="G5875" t="str">
        <f t="shared" si="208"/>
        <v>716166</v>
      </c>
      <c r="H5875" s="2">
        <f>270</f>
        <v>270</v>
      </c>
      <c r="I5875" t="s">
        <v>27</v>
      </c>
      <c r="J5875" t="s">
        <v>262</v>
      </c>
      <c r="K5875" t="str">
        <f>"43377"</f>
        <v>43377</v>
      </c>
    </row>
    <row r="5876" spans="1:11" x14ac:dyDescent="0.25">
      <c r="A5876">
        <v>2024</v>
      </c>
      <c r="B5876" t="s">
        <v>9706</v>
      </c>
      <c r="C5876" t="s">
        <v>1004</v>
      </c>
      <c r="D5876" t="s">
        <v>1005</v>
      </c>
      <c r="E5876" t="s">
        <v>20</v>
      </c>
      <c r="F5876" t="str">
        <f t="shared" si="207"/>
        <v>44139</v>
      </c>
      <c r="G5876" t="str">
        <f t="shared" si="208"/>
        <v>716166</v>
      </c>
      <c r="H5876" s="2">
        <f>166.88</f>
        <v>166.88</v>
      </c>
      <c r="I5876" t="s">
        <v>27</v>
      </c>
      <c r="J5876" t="s">
        <v>262</v>
      </c>
      <c r="K5876" t="str">
        <f>"43400"</f>
        <v>43400</v>
      </c>
    </row>
    <row r="5877" spans="1:11" x14ac:dyDescent="0.25">
      <c r="A5877">
        <v>2024</v>
      </c>
      <c r="B5877" t="s">
        <v>9706</v>
      </c>
      <c r="C5877" t="s">
        <v>1004</v>
      </c>
      <c r="D5877" t="s">
        <v>1005</v>
      </c>
      <c r="E5877" t="s">
        <v>20</v>
      </c>
      <c r="F5877" t="str">
        <f t="shared" si="207"/>
        <v>44139</v>
      </c>
      <c r="G5877" t="str">
        <f t="shared" si="208"/>
        <v>716166</v>
      </c>
      <c r="H5877" s="2">
        <f>245</f>
        <v>245</v>
      </c>
      <c r="I5877" t="s">
        <v>27</v>
      </c>
      <c r="J5877" t="s">
        <v>262</v>
      </c>
      <c r="K5877" t="str">
        <f>"43458"</f>
        <v>43458</v>
      </c>
    </row>
    <row r="5878" spans="1:11" x14ac:dyDescent="0.25">
      <c r="A5878">
        <v>2024</v>
      </c>
      <c r="B5878" t="s">
        <v>9706</v>
      </c>
      <c r="C5878" t="s">
        <v>1004</v>
      </c>
      <c r="D5878" t="s">
        <v>1005</v>
      </c>
      <c r="E5878" t="s">
        <v>20</v>
      </c>
      <c r="F5878" t="str">
        <f t="shared" si="207"/>
        <v>44139</v>
      </c>
      <c r="G5878" t="str">
        <f t="shared" si="208"/>
        <v>716166</v>
      </c>
      <c r="H5878" s="2">
        <f>305</f>
        <v>305</v>
      </c>
      <c r="I5878" t="s">
        <v>27</v>
      </c>
      <c r="J5878" t="s">
        <v>262</v>
      </c>
      <c r="K5878" t="str">
        <f>"43459"</f>
        <v>43459</v>
      </c>
    </row>
    <row r="5879" spans="1:11" x14ac:dyDescent="0.25">
      <c r="A5879">
        <v>2024</v>
      </c>
      <c r="B5879" t="s">
        <v>9706</v>
      </c>
      <c r="C5879" t="s">
        <v>3123</v>
      </c>
      <c r="D5879" t="s">
        <v>1005</v>
      </c>
      <c r="E5879" t="s">
        <v>20</v>
      </c>
      <c r="F5879" t="str">
        <f t="shared" si="207"/>
        <v>44139</v>
      </c>
      <c r="G5879" t="str">
        <f t="shared" si="208"/>
        <v>716166</v>
      </c>
      <c r="H5879" s="2">
        <f>547.1</f>
        <v>547.1</v>
      </c>
      <c r="I5879" t="s">
        <v>27</v>
      </c>
      <c r="J5879" t="s">
        <v>262</v>
      </c>
      <c r="K5879" t="str">
        <f>"43461"</f>
        <v>43461</v>
      </c>
    </row>
    <row r="5880" spans="1:11" x14ac:dyDescent="0.25">
      <c r="A5880">
        <v>2024</v>
      </c>
      <c r="B5880" t="s">
        <v>9706</v>
      </c>
      <c r="C5880" t="s">
        <v>1004</v>
      </c>
      <c r="D5880" t="s">
        <v>1005</v>
      </c>
      <c r="E5880" t="s">
        <v>20</v>
      </c>
      <c r="F5880" t="str">
        <f t="shared" si="207"/>
        <v>44139</v>
      </c>
      <c r="G5880" t="str">
        <f t="shared" si="208"/>
        <v>716166</v>
      </c>
      <c r="H5880" s="2">
        <f>65.08</f>
        <v>65.08</v>
      </c>
      <c r="I5880" t="s">
        <v>27</v>
      </c>
      <c r="J5880" t="s">
        <v>262</v>
      </c>
      <c r="K5880" t="str">
        <f>"43480"</f>
        <v>43480</v>
      </c>
    </row>
    <row r="5881" spans="1:11" x14ac:dyDescent="0.25">
      <c r="A5881">
        <v>2024</v>
      </c>
      <c r="B5881" t="s">
        <v>9742</v>
      </c>
      <c r="C5881" t="s">
        <v>9743</v>
      </c>
      <c r="D5881" t="s">
        <v>19</v>
      </c>
      <c r="E5881" t="s">
        <v>20</v>
      </c>
      <c r="F5881" t="str">
        <f>"43613-1230"</f>
        <v>43613-1230</v>
      </c>
      <c r="G5881" t="str">
        <f>"716165"</f>
        <v>716165</v>
      </c>
      <c r="H5881" s="2">
        <f>10</f>
        <v>10</v>
      </c>
      <c r="I5881" t="s">
        <v>27</v>
      </c>
      <c r="J5881" t="s">
        <v>34</v>
      </c>
      <c r="K5881" t="str">
        <f>"124905"</f>
        <v>124905</v>
      </c>
    </row>
    <row r="5882" spans="1:11" x14ac:dyDescent="0.25">
      <c r="A5882">
        <v>2024</v>
      </c>
      <c r="B5882" t="s">
        <v>9748</v>
      </c>
      <c r="C5882" t="s">
        <v>9749</v>
      </c>
      <c r="D5882" t="s">
        <v>19</v>
      </c>
      <c r="E5882" t="s">
        <v>20</v>
      </c>
      <c r="F5882" t="str">
        <f>"43614-5227"</f>
        <v>43614-5227</v>
      </c>
      <c r="G5882" t="str">
        <f>"716165"</f>
        <v>716165</v>
      </c>
      <c r="H5882" s="2">
        <f>10</f>
        <v>10</v>
      </c>
      <c r="I5882" t="s">
        <v>27</v>
      </c>
      <c r="J5882" t="s">
        <v>34</v>
      </c>
      <c r="K5882" t="str">
        <f>"124981"</f>
        <v>124981</v>
      </c>
    </row>
    <row r="5883" spans="1:11" x14ac:dyDescent="0.25">
      <c r="A5883">
        <v>2024</v>
      </c>
      <c r="B5883" t="s">
        <v>9773</v>
      </c>
      <c r="C5883" t="s">
        <v>9774</v>
      </c>
      <c r="D5883" t="s">
        <v>19</v>
      </c>
      <c r="E5883" t="s">
        <v>20</v>
      </c>
      <c r="F5883" t="str">
        <f>"43607"</f>
        <v>43607</v>
      </c>
      <c r="G5883" t="str">
        <f>"719211"</f>
        <v>719211</v>
      </c>
      <c r="H5883" s="2">
        <f>450</f>
        <v>450</v>
      </c>
      <c r="I5883" t="s">
        <v>27</v>
      </c>
      <c r="J5883" t="s">
        <v>200</v>
      </c>
      <c r="K5883" t="str">
        <f>"N/A"</f>
        <v>N/A</v>
      </c>
    </row>
    <row r="5884" spans="1:11" x14ac:dyDescent="0.25">
      <c r="A5884">
        <v>2024</v>
      </c>
      <c r="B5884" t="s">
        <v>9797</v>
      </c>
      <c r="C5884" t="s">
        <v>9798</v>
      </c>
      <c r="D5884" t="s">
        <v>19</v>
      </c>
      <c r="E5884" t="s">
        <v>20</v>
      </c>
      <c r="F5884" t="str">
        <f>"43615"</f>
        <v>43615</v>
      </c>
      <c r="G5884" t="str">
        <f>"Je08072024"</f>
        <v>Je08072024</v>
      </c>
      <c r="H5884" s="2">
        <f>259.05</f>
        <v>259.05</v>
      </c>
      <c r="I5884" t="s">
        <v>15</v>
      </c>
      <c r="J5884" t="s">
        <v>1647</v>
      </c>
      <c r="K5884" t="str">
        <f>"60119463"</f>
        <v>60119463</v>
      </c>
    </row>
    <row r="5885" spans="1:11" x14ac:dyDescent="0.25">
      <c r="A5885">
        <v>2024</v>
      </c>
      <c r="B5885" t="s">
        <v>9809</v>
      </c>
      <c r="C5885" t="s">
        <v>9810</v>
      </c>
      <c r="D5885" t="s">
        <v>19</v>
      </c>
      <c r="E5885" t="s">
        <v>20</v>
      </c>
      <c r="F5885" t="str">
        <f>"43615-2150"</f>
        <v>43615-2150</v>
      </c>
      <c r="G5885" t="str">
        <f>"716165"</f>
        <v>716165</v>
      </c>
      <c r="H5885" s="2">
        <f>10</f>
        <v>10</v>
      </c>
      <c r="I5885" t="s">
        <v>27</v>
      </c>
      <c r="J5885" t="s">
        <v>34</v>
      </c>
      <c r="K5885" t="str">
        <f>"121972"</f>
        <v>121972</v>
      </c>
    </row>
    <row r="5886" spans="1:11" x14ac:dyDescent="0.25">
      <c r="A5886">
        <v>2024</v>
      </c>
      <c r="B5886" t="s">
        <v>9849</v>
      </c>
      <c r="C5886" t="s">
        <v>9850</v>
      </c>
      <c r="D5886" t="s">
        <v>422</v>
      </c>
      <c r="E5886" t="s">
        <v>20</v>
      </c>
      <c r="F5886" t="str">
        <f>"44114"</f>
        <v>44114</v>
      </c>
      <c r="G5886" t="str">
        <f>"716166"</f>
        <v>716166</v>
      </c>
      <c r="H5886" s="2">
        <f>200</f>
        <v>200</v>
      </c>
      <c r="I5886" t="s">
        <v>27</v>
      </c>
      <c r="J5886" t="s">
        <v>262</v>
      </c>
      <c r="K5886" t="str">
        <f>"42381"</f>
        <v>42381</v>
      </c>
    </row>
    <row r="5887" spans="1:11" x14ac:dyDescent="0.25">
      <c r="A5887">
        <v>2024</v>
      </c>
      <c r="B5887" t="s">
        <v>9849</v>
      </c>
      <c r="C5887" t="s">
        <v>9851</v>
      </c>
      <c r="D5887" t="s">
        <v>422</v>
      </c>
      <c r="E5887" t="s">
        <v>20</v>
      </c>
      <c r="F5887" t="str">
        <f>"44114"</f>
        <v>44114</v>
      </c>
      <c r="G5887" t="str">
        <f>"716166"</f>
        <v>716166</v>
      </c>
      <c r="H5887" s="2">
        <f>200</f>
        <v>200</v>
      </c>
      <c r="I5887" t="s">
        <v>27</v>
      </c>
      <c r="J5887" t="s">
        <v>262</v>
      </c>
      <c r="K5887" t="str">
        <f>"43290"</f>
        <v>43290</v>
      </c>
    </row>
    <row r="5888" spans="1:11" x14ac:dyDescent="0.25">
      <c r="A5888">
        <v>2024</v>
      </c>
      <c r="B5888" t="s">
        <v>9849</v>
      </c>
      <c r="C5888" t="s">
        <v>9852</v>
      </c>
      <c r="D5888" t="s">
        <v>422</v>
      </c>
      <c r="E5888" t="s">
        <v>20</v>
      </c>
      <c r="F5888" t="str">
        <f>"44114"</f>
        <v>44114</v>
      </c>
      <c r="G5888" t="str">
        <f>"716166"</f>
        <v>716166</v>
      </c>
      <c r="H5888" s="2">
        <f>200</f>
        <v>200</v>
      </c>
      <c r="I5888" t="s">
        <v>27</v>
      </c>
      <c r="J5888" t="s">
        <v>262</v>
      </c>
      <c r="K5888" t="str">
        <f>"43433"</f>
        <v>43433</v>
      </c>
    </row>
    <row r="5889" spans="1:11" x14ac:dyDescent="0.25">
      <c r="A5889">
        <v>2024</v>
      </c>
      <c r="B5889" t="s">
        <v>9860</v>
      </c>
      <c r="C5889" t="s">
        <v>9861</v>
      </c>
      <c r="D5889" t="s">
        <v>128</v>
      </c>
      <c r="E5889" t="s">
        <v>20</v>
      </c>
      <c r="F5889" t="str">
        <f>"43619"</f>
        <v>43619</v>
      </c>
      <c r="G5889" t="str">
        <f>"719211"</f>
        <v>719211</v>
      </c>
      <c r="H5889" s="2">
        <f>900</f>
        <v>900</v>
      </c>
      <c r="I5889" t="s">
        <v>27</v>
      </c>
      <c r="J5889" t="s">
        <v>200</v>
      </c>
      <c r="K5889" t="str">
        <f>"N/A"</f>
        <v>N/A</v>
      </c>
    </row>
    <row r="5890" spans="1:11" x14ac:dyDescent="0.25">
      <c r="A5890">
        <v>2024</v>
      </c>
      <c r="B5890" t="s">
        <v>9863</v>
      </c>
      <c r="C5890" t="s">
        <v>9864</v>
      </c>
      <c r="D5890" t="s">
        <v>19</v>
      </c>
      <c r="E5890" t="s">
        <v>20</v>
      </c>
      <c r="F5890" t="str">
        <f>"43615"</f>
        <v>43615</v>
      </c>
      <c r="G5890" t="str">
        <f>"Je10112024"</f>
        <v>Je10112024</v>
      </c>
      <c r="H5890" s="2">
        <f>145</f>
        <v>145</v>
      </c>
      <c r="I5890" t="s">
        <v>15</v>
      </c>
      <c r="J5890" t="s">
        <v>205</v>
      </c>
      <c r="K5890" t="str">
        <f>"60128148"</f>
        <v>60128148</v>
      </c>
    </row>
    <row r="5891" spans="1:11" x14ac:dyDescent="0.25">
      <c r="A5891">
        <v>2024</v>
      </c>
      <c r="B5891" t="s">
        <v>9865</v>
      </c>
      <c r="C5891" t="s">
        <v>9866</v>
      </c>
      <c r="D5891" t="s">
        <v>19</v>
      </c>
      <c r="E5891" t="s">
        <v>20</v>
      </c>
      <c r="F5891" t="str">
        <f>"43614-1248"</f>
        <v>43614-1248</v>
      </c>
      <c r="G5891" t="str">
        <f>"716165"</f>
        <v>716165</v>
      </c>
      <c r="H5891" s="2">
        <f>10</f>
        <v>10</v>
      </c>
      <c r="I5891" t="s">
        <v>27</v>
      </c>
      <c r="J5891" t="s">
        <v>34</v>
      </c>
      <c r="K5891" t="str">
        <f>"122050"</f>
        <v>122050</v>
      </c>
    </row>
    <row r="5892" spans="1:11" x14ac:dyDescent="0.25">
      <c r="A5892">
        <v>2024</v>
      </c>
      <c r="B5892" t="s">
        <v>9867</v>
      </c>
      <c r="C5892" t="s">
        <v>9868</v>
      </c>
      <c r="D5892" t="s">
        <v>19</v>
      </c>
      <c r="E5892" t="s">
        <v>20</v>
      </c>
      <c r="F5892" t="str">
        <f>"43613-3837"</f>
        <v>43613-3837</v>
      </c>
      <c r="G5892" t="str">
        <f>"716165"</f>
        <v>716165</v>
      </c>
      <c r="H5892" s="2">
        <f>10</f>
        <v>10</v>
      </c>
      <c r="I5892" t="s">
        <v>27</v>
      </c>
      <c r="J5892" t="s">
        <v>34</v>
      </c>
      <c r="K5892" t="str">
        <f>"124523"</f>
        <v>124523</v>
      </c>
    </row>
    <row r="5893" spans="1:11" x14ac:dyDescent="0.25">
      <c r="A5893">
        <v>2024</v>
      </c>
      <c r="B5893" t="s">
        <v>9869</v>
      </c>
      <c r="C5893" t="s">
        <v>9870</v>
      </c>
      <c r="D5893" t="s">
        <v>323</v>
      </c>
      <c r="E5893" t="s">
        <v>20</v>
      </c>
      <c r="F5893" t="str">
        <f>"43571-9090"</f>
        <v>43571-9090</v>
      </c>
      <c r="G5893" t="str">
        <f>"716165"</f>
        <v>716165</v>
      </c>
      <c r="H5893" s="2">
        <f>10</f>
        <v>10</v>
      </c>
      <c r="I5893" t="s">
        <v>27</v>
      </c>
      <c r="J5893" t="s">
        <v>34</v>
      </c>
      <c r="K5893" t="str">
        <f>"124868"</f>
        <v>124868</v>
      </c>
    </row>
    <row r="5894" spans="1:11" x14ac:dyDescent="0.25">
      <c r="A5894">
        <v>2024</v>
      </c>
      <c r="B5894" t="s">
        <v>9879</v>
      </c>
      <c r="C5894" t="s">
        <v>9400</v>
      </c>
      <c r="D5894" t="s">
        <v>4326</v>
      </c>
      <c r="E5894" t="s">
        <v>20</v>
      </c>
      <c r="F5894" t="str">
        <f>"44131"</f>
        <v>44131</v>
      </c>
      <c r="G5894" t="str">
        <f>"716166"</f>
        <v>716166</v>
      </c>
      <c r="H5894" s="2">
        <f>5.09</f>
        <v>5.09</v>
      </c>
      <c r="I5894" t="s">
        <v>27</v>
      </c>
      <c r="J5894" t="s">
        <v>262</v>
      </c>
      <c r="K5894" t="str">
        <f>"41987"</f>
        <v>41987</v>
      </c>
    </row>
    <row r="5895" spans="1:11" x14ac:dyDescent="0.25">
      <c r="A5895">
        <v>2024</v>
      </c>
      <c r="B5895" t="s">
        <v>9891</v>
      </c>
      <c r="C5895" t="s">
        <v>9892</v>
      </c>
      <c r="D5895" t="s">
        <v>19</v>
      </c>
      <c r="E5895" t="s">
        <v>20</v>
      </c>
      <c r="F5895" t="str">
        <f>"43613-1926"</f>
        <v>43613-1926</v>
      </c>
      <c r="G5895" t="str">
        <f>"716165"</f>
        <v>716165</v>
      </c>
      <c r="H5895" s="2">
        <f>10</f>
        <v>10</v>
      </c>
      <c r="I5895" t="s">
        <v>27</v>
      </c>
      <c r="J5895" t="s">
        <v>34</v>
      </c>
      <c r="K5895" t="str">
        <f>"122976"</f>
        <v>122976</v>
      </c>
    </row>
    <row r="5896" spans="1:11" x14ac:dyDescent="0.25">
      <c r="A5896">
        <v>2024</v>
      </c>
      <c r="B5896" t="s">
        <v>9900</v>
      </c>
      <c r="C5896" t="s">
        <v>9901</v>
      </c>
      <c r="D5896" t="s">
        <v>19</v>
      </c>
      <c r="E5896" t="s">
        <v>20</v>
      </c>
      <c r="F5896" t="str">
        <f>"43611-2835"</f>
        <v>43611-2835</v>
      </c>
      <c r="G5896" t="str">
        <f>"716165"</f>
        <v>716165</v>
      </c>
      <c r="H5896" s="2">
        <f>10</f>
        <v>10</v>
      </c>
      <c r="I5896" t="s">
        <v>27</v>
      </c>
      <c r="J5896" t="s">
        <v>34</v>
      </c>
      <c r="K5896" t="str">
        <f>"121442"</f>
        <v>121442</v>
      </c>
    </row>
    <row r="5897" spans="1:11" x14ac:dyDescent="0.25">
      <c r="A5897">
        <v>2024</v>
      </c>
      <c r="B5897" t="s">
        <v>9904</v>
      </c>
      <c r="C5897" t="s">
        <v>9905</v>
      </c>
      <c r="D5897" t="s">
        <v>19</v>
      </c>
      <c r="E5897" t="s">
        <v>20</v>
      </c>
      <c r="F5897" t="str">
        <f>"43612-2349"</f>
        <v>43612-2349</v>
      </c>
      <c r="G5897" t="str">
        <f>"716165"</f>
        <v>716165</v>
      </c>
      <c r="H5897" s="2">
        <f>10</f>
        <v>10</v>
      </c>
      <c r="I5897" t="s">
        <v>27</v>
      </c>
      <c r="J5897" t="s">
        <v>34</v>
      </c>
      <c r="K5897" t="str">
        <f>"124370"</f>
        <v>124370</v>
      </c>
    </row>
    <row r="5898" spans="1:11" x14ac:dyDescent="0.25">
      <c r="A5898">
        <v>2024</v>
      </c>
      <c r="B5898" t="s">
        <v>9910</v>
      </c>
      <c r="C5898" t="s">
        <v>9911</v>
      </c>
      <c r="D5898" t="s">
        <v>4271</v>
      </c>
      <c r="E5898" t="s">
        <v>14</v>
      </c>
      <c r="F5898" t="str">
        <f>"48144"</f>
        <v>48144</v>
      </c>
      <c r="G5898" t="str">
        <f>"701123"</f>
        <v>701123</v>
      </c>
      <c r="H5898" s="2">
        <f>5</f>
        <v>5</v>
      </c>
      <c r="I5898" t="s">
        <v>148</v>
      </c>
      <c r="J5898" t="s">
        <v>9912</v>
      </c>
      <c r="K5898" t="str">
        <f>"26769"</f>
        <v>26769</v>
      </c>
    </row>
    <row r="5899" spans="1:11" x14ac:dyDescent="0.25">
      <c r="A5899">
        <v>2024</v>
      </c>
      <c r="B5899" t="s">
        <v>9932</v>
      </c>
      <c r="C5899" t="s">
        <v>9933</v>
      </c>
      <c r="D5899" t="s">
        <v>19</v>
      </c>
      <c r="E5899" t="s">
        <v>20</v>
      </c>
      <c r="F5899" t="str">
        <f>"43612-1542"</f>
        <v>43612-1542</v>
      </c>
      <c r="G5899" t="str">
        <f>"716165"</f>
        <v>716165</v>
      </c>
      <c r="H5899" s="2">
        <f>10</f>
        <v>10</v>
      </c>
      <c r="I5899" t="s">
        <v>27</v>
      </c>
      <c r="J5899" t="s">
        <v>34</v>
      </c>
      <c r="K5899" t="str">
        <f>"121934"</f>
        <v>121934</v>
      </c>
    </row>
    <row r="5900" spans="1:11" x14ac:dyDescent="0.25">
      <c r="A5900">
        <v>2024</v>
      </c>
      <c r="B5900" t="s">
        <v>9954</v>
      </c>
      <c r="C5900" t="s">
        <v>9955</v>
      </c>
      <c r="D5900" t="s">
        <v>19</v>
      </c>
      <c r="E5900" t="s">
        <v>20</v>
      </c>
      <c r="F5900" t="str">
        <f>"43609-3049"</f>
        <v>43609-3049</v>
      </c>
      <c r="G5900" t="str">
        <f>"716165"</f>
        <v>716165</v>
      </c>
      <c r="H5900" s="2">
        <f>20</f>
        <v>20</v>
      </c>
      <c r="I5900" t="s">
        <v>27</v>
      </c>
      <c r="J5900" t="s">
        <v>34</v>
      </c>
      <c r="K5900" t="str">
        <f>"121705"</f>
        <v>121705</v>
      </c>
    </row>
    <row r="5901" spans="1:11" x14ac:dyDescent="0.25">
      <c r="A5901">
        <v>2024</v>
      </c>
      <c r="B5901" t="s">
        <v>9956</v>
      </c>
      <c r="C5901" t="s">
        <v>9957</v>
      </c>
      <c r="D5901" t="s">
        <v>19</v>
      </c>
      <c r="E5901" t="s">
        <v>20</v>
      </c>
      <c r="F5901" t="str">
        <f>"43605"</f>
        <v>43605</v>
      </c>
      <c r="G5901" t="str">
        <f>"719211"</f>
        <v>719211</v>
      </c>
      <c r="H5901" s="2">
        <f>315</f>
        <v>315</v>
      </c>
      <c r="I5901" t="s">
        <v>27</v>
      </c>
      <c r="J5901" t="s">
        <v>200</v>
      </c>
      <c r="K5901" t="str">
        <f>"N/A"</f>
        <v>N/A</v>
      </c>
    </row>
    <row r="5902" spans="1:11" x14ac:dyDescent="0.25">
      <c r="A5902">
        <v>2024</v>
      </c>
      <c r="B5902" t="s">
        <v>9964</v>
      </c>
      <c r="C5902" t="s">
        <v>9965</v>
      </c>
      <c r="D5902" t="s">
        <v>105</v>
      </c>
      <c r="E5902" t="s">
        <v>20</v>
      </c>
      <c r="F5902" t="str">
        <f>"43528"</f>
        <v>43528</v>
      </c>
      <c r="G5902" t="str">
        <f>"719211"</f>
        <v>719211</v>
      </c>
      <c r="H5902" s="2">
        <f>225</f>
        <v>225</v>
      </c>
      <c r="I5902" t="s">
        <v>27</v>
      </c>
      <c r="J5902" t="s">
        <v>200</v>
      </c>
      <c r="K5902" t="str">
        <f>"N/A"</f>
        <v>N/A</v>
      </c>
    </row>
    <row r="5903" spans="1:11" x14ac:dyDescent="0.25">
      <c r="A5903">
        <v>2024</v>
      </c>
      <c r="B5903" t="s">
        <v>9964</v>
      </c>
      <c r="C5903" t="s">
        <v>9966</v>
      </c>
      <c r="D5903" t="s">
        <v>19</v>
      </c>
      <c r="E5903" t="s">
        <v>20</v>
      </c>
      <c r="F5903" t="str">
        <f>"43607"</f>
        <v>43607</v>
      </c>
      <c r="G5903" t="str">
        <f>"719211"</f>
        <v>719211</v>
      </c>
      <c r="H5903" s="2">
        <f>225</f>
        <v>225</v>
      </c>
      <c r="I5903" t="s">
        <v>27</v>
      </c>
      <c r="J5903" t="s">
        <v>200</v>
      </c>
      <c r="K5903" t="str">
        <f>"N/A"</f>
        <v>N/A</v>
      </c>
    </row>
    <row r="5904" spans="1:11" x14ac:dyDescent="0.25">
      <c r="A5904">
        <v>2024</v>
      </c>
      <c r="B5904" t="s">
        <v>9976</v>
      </c>
      <c r="C5904" t="s">
        <v>9977</v>
      </c>
      <c r="D5904" t="s">
        <v>7913</v>
      </c>
      <c r="E5904" t="s">
        <v>20</v>
      </c>
      <c r="F5904" t="str">
        <f>"43420"</f>
        <v>43420</v>
      </c>
      <c r="G5904" t="str">
        <f>"719211"</f>
        <v>719211</v>
      </c>
      <c r="H5904" s="2">
        <f>135</f>
        <v>135</v>
      </c>
      <c r="I5904" t="s">
        <v>27</v>
      </c>
      <c r="J5904" t="s">
        <v>200</v>
      </c>
      <c r="K5904" t="str">
        <f>"N/A"</f>
        <v>N/A</v>
      </c>
    </row>
    <row r="5905" spans="1:11" x14ac:dyDescent="0.25">
      <c r="A5905">
        <v>2024</v>
      </c>
      <c r="B5905" t="s">
        <v>9998</v>
      </c>
      <c r="C5905" t="s">
        <v>9999</v>
      </c>
      <c r="D5905" t="s">
        <v>19</v>
      </c>
      <c r="E5905" t="s">
        <v>20</v>
      </c>
      <c r="F5905" t="str">
        <f>"43615-2648"</f>
        <v>43615-2648</v>
      </c>
      <c r="G5905" t="str">
        <f>"716165"</f>
        <v>716165</v>
      </c>
      <c r="H5905" s="2">
        <f>10</f>
        <v>10</v>
      </c>
      <c r="I5905" t="s">
        <v>27</v>
      </c>
      <c r="J5905" t="s">
        <v>34</v>
      </c>
      <c r="K5905" t="str">
        <f>"122261"</f>
        <v>122261</v>
      </c>
    </row>
    <row r="5906" spans="1:11" x14ac:dyDescent="0.25">
      <c r="A5906">
        <v>2024</v>
      </c>
      <c r="B5906" t="s">
        <v>10006</v>
      </c>
      <c r="C5906" t="s">
        <v>10007</v>
      </c>
      <c r="D5906" t="s">
        <v>50</v>
      </c>
      <c r="E5906" t="s">
        <v>20</v>
      </c>
      <c r="F5906" t="str">
        <f>"43560-4220"</f>
        <v>43560-4220</v>
      </c>
      <c r="G5906" t="str">
        <f>"716165"</f>
        <v>716165</v>
      </c>
      <c r="H5906" s="2">
        <f>10</f>
        <v>10</v>
      </c>
      <c r="I5906" t="s">
        <v>27</v>
      </c>
      <c r="J5906" t="s">
        <v>34</v>
      </c>
      <c r="K5906" t="str">
        <f>"124804"</f>
        <v>124804</v>
      </c>
    </row>
    <row r="5907" spans="1:11" x14ac:dyDescent="0.25">
      <c r="A5907">
        <v>2024</v>
      </c>
      <c r="B5907" t="s">
        <v>10012</v>
      </c>
      <c r="C5907" t="s">
        <v>10013</v>
      </c>
      <c r="D5907" t="s">
        <v>58</v>
      </c>
      <c r="E5907" t="s">
        <v>20</v>
      </c>
      <c r="F5907" t="str">
        <f>"43616"</f>
        <v>43616</v>
      </c>
      <c r="G5907" t="str">
        <f>"716619"</f>
        <v>716619</v>
      </c>
      <c r="H5907" s="2">
        <f>3</f>
        <v>3</v>
      </c>
      <c r="I5907" t="s">
        <v>27</v>
      </c>
      <c r="J5907" t="s">
        <v>34</v>
      </c>
      <c r="K5907" t="str">
        <f>"22026416"</f>
        <v>22026416</v>
      </c>
    </row>
    <row r="5908" spans="1:11" x14ac:dyDescent="0.25">
      <c r="A5908">
        <v>2024</v>
      </c>
      <c r="B5908" t="s">
        <v>10014</v>
      </c>
      <c r="C5908" t="s">
        <v>10015</v>
      </c>
      <c r="D5908" t="s">
        <v>19</v>
      </c>
      <c r="E5908" t="s">
        <v>20</v>
      </c>
      <c r="F5908" t="str">
        <f>"43620"</f>
        <v>43620</v>
      </c>
      <c r="G5908" t="str">
        <f>"716619"</f>
        <v>716619</v>
      </c>
      <c r="H5908" s="2">
        <f>4</f>
        <v>4</v>
      </c>
      <c r="I5908" t="s">
        <v>27</v>
      </c>
      <c r="J5908" t="s">
        <v>34</v>
      </c>
      <c r="K5908" t="str">
        <f>"11004540"</f>
        <v>11004540</v>
      </c>
    </row>
    <row r="5909" spans="1:11" x14ac:dyDescent="0.25">
      <c r="A5909">
        <v>2024</v>
      </c>
      <c r="B5909" t="s">
        <v>10039</v>
      </c>
      <c r="C5909" t="s">
        <v>10040</v>
      </c>
      <c r="D5909" t="s">
        <v>50</v>
      </c>
      <c r="E5909" t="s">
        <v>20</v>
      </c>
      <c r="F5909" t="str">
        <f>"43560"</f>
        <v>43560</v>
      </c>
      <c r="G5909" t="str">
        <f>"Je08072024"</f>
        <v>Je08072024</v>
      </c>
      <c r="H5909" s="2">
        <f>78.03</f>
        <v>78.03</v>
      </c>
      <c r="I5909" t="s">
        <v>15</v>
      </c>
      <c r="J5909" t="s">
        <v>1647</v>
      </c>
      <c r="K5909" t="str">
        <f>"60116683"</f>
        <v>60116683</v>
      </c>
    </row>
    <row r="5910" spans="1:11" x14ac:dyDescent="0.25">
      <c r="A5910">
        <v>2024</v>
      </c>
      <c r="B5910" t="s">
        <v>10047</v>
      </c>
      <c r="C5910" t="s">
        <v>10048</v>
      </c>
      <c r="D5910" t="s">
        <v>19</v>
      </c>
      <c r="E5910" t="s">
        <v>20</v>
      </c>
      <c r="F5910" t="str">
        <f>"43605"</f>
        <v>43605</v>
      </c>
      <c r="G5910" t="str">
        <f>"716619"</f>
        <v>716619</v>
      </c>
      <c r="H5910" s="2">
        <f>11</f>
        <v>11</v>
      </c>
      <c r="I5910" t="s">
        <v>27</v>
      </c>
      <c r="J5910" t="s">
        <v>34</v>
      </c>
      <c r="K5910" t="str">
        <f>"11004546"</f>
        <v>11004546</v>
      </c>
    </row>
    <row r="5911" spans="1:11" x14ac:dyDescent="0.25">
      <c r="A5911">
        <v>2024</v>
      </c>
      <c r="B5911" t="s">
        <v>10049</v>
      </c>
      <c r="C5911" t="s">
        <v>10050</v>
      </c>
      <c r="D5911" t="s">
        <v>125</v>
      </c>
      <c r="E5911" t="s">
        <v>20</v>
      </c>
      <c r="F5911" t="str">
        <f>"43537-2440"</f>
        <v>43537-2440</v>
      </c>
      <c r="G5911" t="str">
        <f>"716165"</f>
        <v>716165</v>
      </c>
      <c r="H5911" s="2">
        <f>10</f>
        <v>10</v>
      </c>
      <c r="I5911" t="s">
        <v>27</v>
      </c>
      <c r="J5911" t="s">
        <v>34</v>
      </c>
      <c r="K5911" t="str">
        <f>"124708"</f>
        <v>124708</v>
      </c>
    </row>
    <row r="5912" spans="1:11" x14ac:dyDescent="0.25">
      <c r="A5912">
        <v>2024</v>
      </c>
      <c r="B5912" t="s">
        <v>10059</v>
      </c>
      <c r="C5912" t="s">
        <v>10060</v>
      </c>
      <c r="D5912" t="s">
        <v>4115</v>
      </c>
      <c r="E5912" t="s">
        <v>20</v>
      </c>
      <c r="F5912" t="str">
        <f>"44830"</f>
        <v>44830</v>
      </c>
      <c r="G5912" t="str">
        <f>"716619"</f>
        <v>716619</v>
      </c>
      <c r="H5912" s="2">
        <f>54</f>
        <v>54</v>
      </c>
      <c r="I5912" t="s">
        <v>27</v>
      </c>
      <c r="J5912" t="s">
        <v>34</v>
      </c>
      <c r="K5912" t="str">
        <f>"11004646"</f>
        <v>11004646</v>
      </c>
    </row>
    <row r="5913" spans="1:11" x14ac:dyDescent="0.25">
      <c r="A5913">
        <v>2024</v>
      </c>
      <c r="B5913" t="s">
        <v>10061</v>
      </c>
      <c r="C5913" t="s">
        <v>10062</v>
      </c>
      <c r="D5913" t="s">
        <v>105</v>
      </c>
      <c r="E5913" t="s">
        <v>20</v>
      </c>
      <c r="F5913" t="str">
        <f>"43528-8472"</f>
        <v>43528-8472</v>
      </c>
      <c r="G5913" t="str">
        <f>"716165"</f>
        <v>716165</v>
      </c>
      <c r="H5913" s="2">
        <f>10</f>
        <v>10</v>
      </c>
      <c r="I5913" t="s">
        <v>27</v>
      </c>
      <c r="J5913" t="s">
        <v>34</v>
      </c>
      <c r="K5913" t="str">
        <f>"124950"</f>
        <v>124950</v>
      </c>
    </row>
    <row r="5914" spans="1:11" x14ac:dyDescent="0.25">
      <c r="A5914">
        <v>2024</v>
      </c>
      <c r="B5914" t="s">
        <v>10072</v>
      </c>
      <c r="C5914" t="s">
        <v>10073</v>
      </c>
      <c r="D5914" t="s">
        <v>5271</v>
      </c>
      <c r="E5914" t="s">
        <v>216</v>
      </c>
      <c r="F5914" t="str">
        <f>"46808"</f>
        <v>46808</v>
      </c>
      <c r="G5914" t="str">
        <f>"716619"</f>
        <v>716619</v>
      </c>
      <c r="H5914" s="2">
        <f>149.61</f>
        <v>149.61000000000001</v>
      </c>
      <c r="I5914" t="s">
        <v>27</v>
      </c>
      <c r="J5914" t="s">
        <v>34</v>
      </c>
      <c r="K5914" t="str">
        <f>"22026541"</f>
        <v>22026541</v>
      </c>
    </row>
    <row r="5915" spans="1:11" x14ac:dyDescent="0.25">
      <c r="A5915">
        <v>2024</v>
      </c>
      <c r="B5915" t="s">
        <v>10074</v>
      </c>
      <c r="C5915" t="s">
        <v>10075</v>
      </c>
      <c r="D5915" t="s">
        <v>19</v>
      </c>
      <c r="E5915" t="s">
        <v>20</v>
      </c>
      <c r="F5915" t="str">
        <f>"43608-1608"</f>
        <v>43608-1608</v>
      </c>
      <c r="G5915" t="str">
        <f>"716165"</f>
        <v>716165</v>
      </c>
      <c r="H5915" s="2">
        <f>10</f>
        <v>10</v>
      </c>
      <c r="I5915" t="s">
        <v>27</v>
      </c>
      <c r="J5915" t="s">
        <v>34</v>
      </c>
      <c r="K5915" t="str">
        <f>"121345"</f>
        <v>121345</v>
      </c>
    </row>
    <row r="5916" spans="1:11" x14ac:dyDescent="0.25">
      <c r="A5916">
        <v>2024</v>
      </c>
      <c r="B5916" t="s">
        <v>10076</v>
      </c>
      <c r="C5916" t="s">
        <v>10077</v>
      </c>
      <c r="D5916" t="s">
        <v>125</v>
      </c>
      <c r="E5916" t="s">
        <v>20</v>
      </c>
      <c r="F5916" t="str">
        <f>"43537-2407"</f>
        <v>43537-2407</v>
      </c>
      <c r="G5916" t="str">
        <f>"716165"</f>
        <v>716165</v>
      </c>
      <c r="H5916" s="2">
        <f>10</f>
        <v>10</v>
      </c>
      <c r="I5916" t="s">
        <v>27</v>
      </c>
      <c r="J5916" t="s">
        <v>34</v>
      </c>
      <c r="K5916" t="str">
        <f>"123036"</f>
        <v>123036</v>
      </c>
    </row>
    <row r="5917" spans="1:11" x14ac:dyDescent="0.25">
      <c r="A5917">
        <v>2024</v>
      </c>
      <c r="B5917" t="s">
        <v>10084</v>
      </c>
      <c r="C5917" t="s">
        <v>10085</v>
      </c>
      <c r="D5917" t="s">
        <v>19</v>
      </c>
      <c r="E5917" t="s">
        <v>20</v>
      </c>
      <c r="F5917" t="str">
        <f>"43609"</f>
        <v>43609</v>
      </c>
      <c r="G5917" t="str">
        <f>"719211"</f>
        <v>719211</v>
      </c>
      <c r="H5917" s="2">
        <f>450</f>
        <v>450</v>
      </c>
      <c r="I5917" t="s">
        <v>27</v>
      </c>
      <c r="J5917" t="s">
        <v>200</v>
      </c>
      <c r="K5917" t="str">
        <f>"N/A"</f>
        <v>N/A</v>
      </c>
    </row>
    <row r="5918" spans="1:11" x14ac:dyDescent="0.25">
      <c r="A5918">
        <v>2024</v>
      </c>
      <c r="B5918" t="s">
        <v>10090</v>
      </c>
      <c r="C5918" t="s">
        <v>3727</v>
      </c>
      <c r="D5918" t="s">
        <v>19</v>
      </c>
      <c r="E5918" t="s">
        <v>20</v>
      </c>
      <c r="F5918" t="str">
        <f>"43613-4726"</f>
        <v>43613-4726</v>
      </c>
      <c r="G5918" t="str">
        <f>"716165"</f>
        <v>716165</v>
      </c>
      <c r="H5918" s="2">
        <f>10</f>
        <v>10</v>
      </c>
      <c r="I5918" t="s">
        <v>27</v>
      </c>
      <c r="J5918" t="s">
        <v>34</v>
      </c>
      <c r="K5918" t="str">
        <f>"121391"</f>
        <v>121391</v>
      </c>
    </row>
    <row r="5919" spans="1:11" x14ac:dyDescent="0.25">
      <c r="A5919">
        <v>2024</v>
      </c>
      <c r="B5919" t="s">
        <v>10091</v>
      </c>
      <c r="C5919" t="s">
        <v>10092</v>
      </c>
      <c r="D5919" t="s">
        <v>19</v>
      </c>
      <c r="E5919" t="s">
        <v>20</v>
      </c>
      <c r="F5919" t="str">
        <f>"43605-2396"</f>
        <v>43605-2396</v>
      </c>
      <c r="G5919" t="str">
        <f>"716165"</f>
        <v>716165</v>
      </c>
      <c r="H5919" s="2">
        <f>10</f>
        <v>10</v>
      </c>
      <c r="I5919" t="s">
        <v>27</v>
      </c>
      <c r="J5919" t="s">
        <v>34</v>
      </c>
      <c r="K5919" t="str">
        <f>"123797"</f>
        <v>123797</v>
      </c>
    </row>
    <row r="5920" spans="1:11" x14ac:dyDescent="0.25">
      <c r="A5920">
        <v>2024</v>
      </c>
      <c r="B5920" t="s">
        <v>10093</v>
      </c>
      <c r="C5920" t="s">
        <v>10094</v>
      </c>
      <c r="D5920" t="s">
        <v>125</v>
      </c>
      <c r="E5920" t="s">
        <v>20</v>
      </c>
      <c r="F5920" t="str">
        <f>"43537-3068"</f>
        <v>43537-3068</v>
      </c>
      <c r="G5920" t="str">
        <f>"716165"</f>
        <v>716165</v>
      </c>
      <c r="H5920" s="2">
        <f>20</f>
        <v>20</v>
      </c>
      <c r="I5920" t="s">
        <v>27</v>
      </c>
      <c r="J5920" t="s">
        <v>34</v>
      </c>
      <c r="K5920" t="str">
        <f>"123408"</f>
        <v>123408</v>
      </c>
    </row>
    <row r="5921" spans="1:11" x14ac:dyDescent="0.25">
      <c r="A5921">
        <v>2024</v>
      </c>
      <c r="B5921" t="s">
        <v>10103</v>
      </c>
      <c r="C5921" t="s">
        <v>10104</v>
      </c>
      <c r="D5921" t="s">
        <v>899</v>
      </c>
      <c r="E5921" t="s">
        <v>20</v>
      </c>
      <c r="F5921" t="str">
        <f>"43412-9102"</f>
        <v>43412-9102</v>
      </c>
      <c r="G5921" t="str">
        <f>"716165"</f>
        <v>716165</v>
      </c>
      <c r="H5921" s="2">
        <f>30</f>
        <v>30</v>
      </c>
      <c r="I5921" t="s">
        <v>27</v>
      </c>
      <c r="J5921" t="s">
        <v>34</v>
      </c>
      <c r="K5921" t="str">
        <f>"124852"</f>
        <v>124852</v>
      </c>
    </row>
    <row r="5922" spans="1:11" x14ac:dyDescent="0.25">
      <c r="A5922">
        <v>2024</v>
      </c>
      <c r="B5922" t="s">
        <v>10108</v>
      </c>
      <c r="C5922" t="s">
        <v>10109</v>
      </c>
      <c r="D5922" t="s">
        <v>19</v>
      </c>
      <c r="E5922" t="s">
        <v>20</v>
      </c>
      <c r="F5922" t="str">
        <f>"43615-7145"</f>
        <v>43615-7145</v>
      </c>
      <c r="G5922" t="str">
        <f>"716165"</f>
        <v>716165</v>
      </c>
      <c r="H5922" s="2">
        <f>10</f>
        <v>10</v>
      </c>
      <c r="I5922" t="s">
        <v>27</v>
      </c>
      <c r="J5922" t="s">
        <v>34</v>
      </c>
      <c r="K5922" t="str">
        <f>"124354"</f>
        <v>124354</v>
      </c>
    </row>
    <row r="5923" spans="1:11" x14ac:dyDescent="0.25">
      <c r="A5923">
        <v>2024</v>
      </c>
      <c r="B5923" t="s">
        <v>10120</v>
      </c>
      <c r="C5923" t="s">
        <v>895</v>
      </c>
      <c r="D5923" t="s">
        <v>4981</v>
      </c>
      <c r="E5923" t="s">
        <v>4982</v>
      </c>
      <c r="F5923" t="str">
        <f>"99999"</f>
        <v>99999</v>
      </c>
      <c r="G5923" t="str">
        <f>"721437"</f>
        <v>721437</v>
      </c>
      <c r="H5923" s="2">
        <f>712.96</f>
        <v>712.96</v>
      </c>
      <c r="I5923" t="s">
        <v>148</v>
      </c>
      <c r="J5923" t="s">
        <v>10121</v>
      </c>
      <c r="K5923" t="str">
        <f>"27189"</f>
        <v>27189</v>
      </c>
    </row>
    <row r="5924" spans="1:11" x14ac:dyDescent="0.25">
      <c r="A5924">
        <v>2024</v>
      </c>
      <c r="B5924" t="s">
        <v>10126</v>
      </c>
      <c r="C5924" t="s">
        <v>10127</v>
      </c>
      <c r="D5924" t="s">
        <v>164</v>
      </c>
      <c r="E5924" t="s">
        <v>20</v>
      </c>
      <c r="F5924" t="str">
        <f>"43558"</f>
        <v>43558</v>
      </c>
      <c r="G5924" t="str">
        <f>"716166"</f>
        <v>716166</v>
      </c>
      <c r="H5924" s="2">
        <f>272.34</f>
        <v>272.33999999999997</v>
      </c>
      <c r="I5924" t="s">
        <v>27</v>
      </c>
      <c r="J5924" t="s">
        <v>262</v>
      </c>
      <c r="K5924" t="str">
        <f>"41056"</f>
        <v>41056</v>
      </c>
    </row>
    <row r="5925" spans="1:11" x14ac:dyDescent="0.25">
      <c r="A5925">
        <v>2024</v>
      </c>
      <c r="B5925" t="s">
        <v>10143</v>
      </c>
      <c r="C5925" t="s">
        <v>10144</v>
      </c>
      <c r="D5925" t="s">
        <v>19</v>
      </c>
      <c r="E5925" t="s">
        <v>20</v>
      </c>
      <c r="F5925" t="str">
        <f>"43620"</f>
        <v>43620</v>
      </c>
      <c r="G5925" t="str">
        <f>"Je10112024"</f>
        <v>Je10112024</v>
      </c>
      <c r="H5925" s="2">
        <f>220</f>
        <v>220</v>
      </c>
      <c r="I5925" t="s">
        <v>15</v>
      </c>
      <c r="J5925" t="s">
        <v>205</v>
      </c>
      <c r="K5925" t="str">
        <f>"60128163"</f>
        <v>60128163</v>
      </c>
    </row>
    <row r="5926" spans="1:11" x14ac:dyDescent="0.25">
      <c r="A5926">
        <v>2024</v>
      </c>
      <c r="B5926" t="s">
        <v>10175</v>
      </c>
      <c r="C5926" t="s">
        <v>10176</v>
      </c>
      <c r="D5926" t="s">
        <v>10177</v>
      </c>
      <c r="E5926" t="s">
        <v>2122</v>
      </c>
      <c r="F5926" t="str">
        <f>"27534"</f>
        <v>27534</v>
      </c>
      <c r="G5926" t="str">
        <f>"727616"</f>
        <v>727616</v>
      </c>
      <c r="H5926" s="2">
        <f>3506.61</f>
        <v>3506.61</v>
      </c>
      <c r="I5926" t="s">
        <v>148</v>
      </c>
      <c r="J5926" t="s">
        <v>10178</v>
      </c>
      <c r="K5926" t="str">
        <f>"27241"</f>
        <v>27241</v>
      </c>
    </row>
    <row r="5927" spans="1:11" x14ac:dyDescent="0.25">
      <c r="A5927">
        <v>2024</v>
      </c>
      <c r="B5927" t="s">
        <v>10179</v>
      </c>
      <c r="C5927" t="s">
        <v>10180</v>
      </c>
      <c r="D5927" t="s">
        <v>19</v>
      </c>
      <c r="E5927" t="s">
        <v>20</v>
      </c>
      <c r="F5927" t="str">
        <f>"43612"</f>
        <v>43612</v>
      </c>
      <c r="G5927" t="str">
        <f>"716619"</f>
        <v>716619</v>
      </c>
      <c r="H5927" s="2">
        <f>15</f>
        <v>15</v>
      </c>
      <c r="I5927" t="s">
        <v>27</v>
      </c>
      <c r="J5927" t="s">
        <v>34</v>
      </c>
      <c r="K5927" t="str">
        <f>"11004548"</f>
        <v>11004548</v>
      </c>
    </row>
    <row r="5928" spans="1:11" x14ac:dyDescent="0.25">
      <c r="A5928">
        <v>2024</v>
      </c>
      <c r="B5928" t="s">
        <v>10190</v>
      </c>
      <c r="C5928" t="s">
        <v>10191</v>
      </c>
      <c r="D5928" t="s">
        <v>2715</v>
      </c>
      <c r="E5928" t="s">
        <v>20</v>
      </c>
      <c r="F5928" t="str">
        <f>"43450"</f>
        <v>43450</v>
      </c>
      <c r="G5928" t="str">
        <f>"716166"</f>
        <v>716166</v>
      </c>
      <c r="H5928" s="2">
        <f>20</f>
        <v>20</v>
      </c>
      <c r="I5928" t="s">
        <v>27</v>
      </c>
      <c r="J5928" t="s">
        <v>262</v>
      </c>
      <c r="K5928" t="str">
        <f>"41129"</f>
        <v>41129</v>
      </c>
    </row>
    <row r="5929" spans="1:11" x14ac:dyDescent="0.25">
      <c r="A5929">
        <v>2024</v>
      </c>
      <c r="B5929" t="s">
        <v>10211</v>
      </c>
      <c r="C5929" t="s">
        <v>10212</v>
      </c>
      <c r="D5929" t="s">
        <v>19</v>
      </c>
      <c r="E5929" t="s">
        <v>20</v>
      </c>
      <c r="F5929" t="str">
        <f>"43620"</f>
        <v>43620</v>
      </c>
      <c r="G5929" t="str">
        <f>"Je08072024"</f>
        <v>Je08072024</v>
      </c>
      <c r="H5929" s="2">
        <f>401.45</f>
        <v>401.45</v>
      </c>
      <c r="I5929" t="s">
        <v>15</v>
      </c>
      <c r="J5929" t="s">
        <v>1647</v>
      </c>
      <c r="K5929" t="str">
        <f>"60116067"</f>
        <v>60116067</v>
      </c>
    </row>
    <row r="5930" spans="1:11" x14ac:dyDescent="0.25">
      <c r="A5930">
        <v>2024</v>
      </c>
      <c r="B5930" t="s">
        <v>10225</v>
      </c>
      <c r="C5930" t="s">
        <v>10226</v>
      </c>
      <c r="D5930" t="s">
        <v>497</v>
      </c>
      <c r="E5930" t="s">
        <v>20</v>
      </c>
      <c r="F5930" t="str">
        <f>"43606-2440"</f>
        <v>43606-2440</v>
      </c>
      <c r="G5930" t="str">
        <f t="shared" ref="G5930:G5939" si="209">"716165"</f>
        <v>716165</v>
      </c>
      <c r="H5930" s="2">
        <f>10</f>
        <v>10</v>
      </c>
      <c r="I5930" t="s">
        <v>27</v>
      </c>
      <c r="J5930" t="s">
        <v>34</v>
      </c>
      <c r="K5930" t="str">
        <f>"121352"</f>
        <v>121352</v>
      </c>
    </row>
    <row r="5931" spans="1:11" x14ac:dyDescent="0.25">
      <c r="A5931">
        <v>2024</v>
      </c>
      <c r="B5931" t="s">
        <v>10241</v>
      </c>
      <c r="C5931" t="s">
        <v>10242</v>
      </c>
      <c r="D5931" t="s">
        <v>19</v>
      </c>
      <c r="E5931" t="s">
        <v>20</v>
      </c>
      <c r="F5931" t="str">
        <f>"43614-3053"</f>
        <v>43614-3053</v>
      </c>
      <c r="G5931" t="str">
        <f t="shared" si="209"/>
        <v>716165</v>
      </c>
      <c r="H5931" s="2">
        <f>10</f>
        <v>10</v>
      </c>
      <c r="I5931" t="s">
        <v>27</v>
      </c>
      <c r="J5931" t="s">
        <v>34</v>
      </c>
      <c r="K5931" t="str">
        <f>"121833"</f>
        <v>121833</v>
      </c>
    </row>
    <row r="5932" spans="1:11" x14ac:dyDescent="0.25">
      <c r="A5932">
        <v>2024</v>
      </c>
      <c r="B5932" t="s">
        <v>10245</v>
      </c>
      <c r="C5932" t="s">
        <v>10246</v>
      </c>
      <c r="D5932" t="s">
        <v>58</v>
      </c>
      <c r="E5932" t="s">
        <v>20</v>
      </c>
      <c r="F5932" t="str">
        <f>"43616-2322"</f>
        <v>43616-2322</v>
      </c>
      <c r="G5932" t="str">
        <f t="shared" si="209"/>
        <v>716165</v>
      </c>
      <c r="H5932" s="2">
        <f>20</f>
        <v>20</v>
      </c>
      <c r="I5932" t="s">
        <v>27</v>
      </c>
      <c r="J5932" t="s">
        <v>34</v>
      </c>
      <c r="K5932" t="str">
        <f>"123569"</f>
        <v>123569</v>
      </c>
    </row>
    <row r="5933" spans="1:11" x14ac:dyDescent="0.25">
      <c r="A5933">
        <v>2024</v>
      </c>
      <c r="B5933" t="s">
        <v>10247</v>
      </c>
      <c r="C5933" t="s">
        <v>10248</v>
      </c>
      <c r="D5933" t="s">
        <v>50</v>
      </c>
      <c r="E5933" t="s">
        <v>20</v>
      </c>
      <c r="F5933" t="str">
        <f>"43560-1911"</f>
        <v>43560-1911</v>
      </c>
      <c r="G5933" t="str">
        <f t="shared" si="209"/>
        <v>716165</v>
      </c>
      <c r="H5933" s="2">
        <f>20</f>
        <v>20</v>
      </c>
      <c r="I5933" t="s">
        <v>27</v>
      </c>
      <c r="J5933" t="s">
        <v>34</v>
      </c>
      <c r="K5933" t="str">
        <f>"122586"</f>
        <v>122586</v>
      </c>
    </row>
    <row r="5934" spans="1:11" x14ac:dyDescent="0.25">
      <c r="A5934">
        <v>2024</v>
      </c>
      <c r="B5934" t="s">
        <v>10253</v>
      </c>
      <c r="C5934" t="s">
        <v>10254</v>
      </c>
      <c r="D5934" t="s">
        <v>19</v>
      </c>
      <c r="E5934" t="s">
        <v>20</v>
      </c>
      <c r="F5934" t="str">
        <f>"43613-2426"</f>
        <v>43613-2426</v>
      </c>
      <c r="G5934" t="str">
        <f t="shared" si="209"/>
        <v>716165</v>
      </c>
      <c r="H5934" s="2">
        <f>10</f>
        <v>10</v>
      </c>
      <c r="I5934" t="s">
        <v>27</v>
      </c>
      <c r="J5934" t="s">
        <v>34</v>
      </c>
      <c r="K5934" t="str">
        <f>"123207"</f>
        <v>123207</v>
      </c>
    </row>
    <row r="5935" spans="1:11" x14ac:dyDescent="0.25">
      <c r="A5935">
        <v>2024</v>
      </c>
      <c r="B5935" t="s">
        <v>10257</v>
      </c>
      <c r="C5935" t="s">
        <v>10258</v>
      </c>
      <c r="D5935" t="s">
        <v>50</v>
      </c>
      <c r="E5935" t="s">
        <v>20</v>
      </c>
      <c r="F5935" t="str">
        <f>"43560-3505"</f>
        <v>43560-3505</v>
      </c>
      <c r="G5935" t="str">
        <f t="shared" si="209"/>
        <v>716165</v>
      </c>
      <c r="H5935" s="2">
        <f>20</f>
        <v>20</v>
      </c>
      <c r="I5935" t="s">
        <v>27</v>
      </c>
      <c r="J5935" t="s">
        <v>34</v>
      </c>
      <c r="K5935" t="str">
        <f>"122213"</f>
        <v>122213</v>
      </c>
    </row>
    <row r="5936" spans="1:11" x14ac:dyDescent="0.25">
      <c r="A5936">
        <v>2024</v>
      </c>
      <c r="B5936" t="s">
        <v>10261</v>
      </c>
      <c r="C5936" t="s">
        <v>10262</v>
      </c>
      <c r="D5936" t="s">
        <v>50</v>
      </c>
      <c r="E5936" t="s">
        <v>20</v>
      </c>
      <c r="F5936" t="str">
        <f>"43560-3256"</f>
        <v>43560-3256</v>
      </c>
      <c r="G5936" t="str">
        <f t="shared" si="209"/>
        <v>716165</v>
      </c>
      <c r="H5936" s="2">
        <f>50</f>
        <v>50</v>
      </c>
      <c r="I5936" t="s">
        <v>27</v>
      </c>
      <c r="J5936" t="s">
        <v>34</v>
      </c>
      <c r="K5936" t="str">
        <f>"124916"</f>
        <v>124916</v>
      </c>
    </row>
    <row r="5937" spans="1:11" x14ac:dyDescent="0.25">
      <c r="A5937">
        <v>2024</v>
      </c>
      <c r="B5937" t="s">
        <v>10263</v>
      </c>
      <c r="C5937" t="s">
        <v>10264</v>
      </c>
      <c r="D5937" t="s">
        <v>19</v>
      </c>
      <c r="E5937" t="s">
        <v>20</v>
      </c>
      <c r="F5937" t="str">
        <f>"43615"</f>
        <v>43615</v>
      </c>
      <c r="G5937" t="str">
        <f t="shared" si="209"/>
        <v>716165</v>
      </c>
      <c r="H5937" s="2">
        <f>10</f>
        <v>10</v>
      </c>
      <c r="I5937" t="s">
        <v>27</v>
      </c>
      <c r="J5937" t="s">
        <v>34</v>
      </c>
      <c r="K5937" t="str">
        <f>"124336"</f>
        <v>124336</v>
      </c>
    </row>
    <row r="5938" spans="1:11" x14ac:dyDescent="0.25">
      <c r="A5938">
        <v>2024</v>
      </c>
      <c r="B5938" t="s">
        <v>10265</v>
      </c>
      <c r="C5938" t="s">
        <v>10266</v>
      </c>
      <c r="D5938" t="s">
        <v>19</v>
      </c>
      <c r="E5938" t="s">
        <v>20</v>
      </c>
      <c r="F5938" t="str">
        <f>"43613-3727"</f>
        <v>43613-3727</v>
      </c>
      <c r="G5938" t="str">
        <f t="shared" si="209"/>
        <v>716165</v>
      </c>
      <c r="H5938" s="2">
        <f>10</f>
        <v>10</v>
      </c>
      <c r="I5938" t="s">
        <v>27</v>
      </c>
      <c r="J5938" t="s">
        <v>34</v>
      </c>
      <c r="K5938" t="str">
        <f>"124508"</f>
        <v>124508</v>
      </c>
    </row>
    <row r="5939" spans="1:11" x14ac:dyDescent="0.25">
      <c r="A5939">
        <v>2024</v>
      </c>
      <c r="B5939" t="s">
        <v>10274</v>
      </c>
      <c r="C5939" t="s">
        <v>10275</v>
      </c>
      <c r="D5939" t="s">
        <v>19</v>
      </c>
      <c r="E5939" t="s">
        <v>20</v>
      </c>
      <c r="F5939" t="str">
        <f>"43604-5030"</f>
        <v>43604-5030</v>
      </c>
      <c r="G5939" t="str">
        <f t="shared" si="209"/>
        <v>716165</v>
      </c>
      <c r="H5939" s="2">
        <f>10</f>
        <v>10</v>
      </c>
      <c r="I5939" t="s">
        <v>27</v>
      </c>
      <c r="J5939" t="s">
        <v>34</v>
      </c>
      <c r="K5939" t="str">
        <f>"121060"</f>
        <v>121060</v>
      </c>
    </row>
    <row r="5940" spans="1:11" x14ac:dyDescent="0.25">
      <c r="A5940">
        <v>2024</v>
      </c>
      <c r="B5940" t="s">
        <v>10291</v>
      </c>
      <c r="C5940" t="s">
        <v>10292</v>
      </c>
      <c r="D5940" t="s">
        <v>105</v>
      </c>
      <c r="E5940" t="s">
        <v>20</v>
      </c>
      <c r="F5940" t="str">
        <f>"43528"</f>
        <v>43528</v>
      </c>
      <c r="G5940" t="str">
        <f>"Je08072024"</f>
        <v>Je08072024</v>
      </c>
      <c r="H5940" s="2">
        <f>125</f>
        <v>125</v>
      </c>
      <c r="I5940" t="s">
        <v>15</v>
      </c>
      <c r="J5940" t="s">
        <v>1647</v>
      </c>
      <c r="K5940" t="str">
        <f>"60116601"</f>
        <v>60116601</v>
      </c>
    </row>
    <row r="5941" spans="1:11" x14ac:dyDescent="0.25">
      <c r="A5941">
        <v>2024</v>
      </c>
      <c r="B5941" t="s">
        <v>10304</v>
      </c>
      <c r="C5941" t="s">
        <v>5182</v>
      </c>
      <c r="D5941" t="s">
        <v>19</v>
      </c>
      <c r="E5941" t="s">
        <v>20</v>
      </c>
      <c r="F5941" t="str">
        <f>"43611-1412"</f>
        <v>43611-1412</v>
      </c>
      <c r="G5941" t="str">
        <f>"716165"</f>
        <v>716165</v>
      </c>
      <c r="H5941" s="2">
        <f>20</f>
        <v>20</v>
      </c>
      <c r="I5941" t="s">
        <v>27</v>
      </c>
      <c r="J5941" t="s">
        <v>34</v>
      </c>
      <c r="K5941" t="str">
        <f>"122161"</f>
        <v>122161</v>
      </c>
    </row>
    <row r="5942" spans="1:11" x14ac:dyDescent="0.25">
      <c r="A5942">
        <v>2024</v>
      </c>
      <c r="B5942" t="s">
        <v>10333</v>
      </c>
      <c r="C5942" t="s">
        <v>10334</v>
      </c>
      <c r="D5942" t="s">
        <v>19</v>
      </c>
      <c r="E5942" t="s">
        <v>20</v>
      </c>
      <c r="F5942" t="str">
        <f>"43606-1611"</f>
        <v>43606-1611</v>
      </c>
      <c r="G5942" t="str">
        <f>"716165"</f>
        <v>716165</v>
      </c>
      <c r="H5942" s="2">
        <f>10</f>
        <v>10</v>
      </c>
      <c r="I5942" t="s">
        <v>27</v>
      </c>
      <c r="J5942" t="s">
        <v>34</v>
      </c>
      <c r="K5942" t="str">
        <f>"123974"</f>
        <v>123974</v>
      </c>
    </row>
    <row r="5943" spans="1:11" x14ac:dyDescent="0.25">
      <c r="A5943">
        <v>2024</v>
      </c>
      <c r="B5943" t="s">
        <v>10335</v>
      </c>
      <c r="C5943" t="s">
        <v>10336</v>
      </c>
      <c r="D5943" t="s">
        <v>19</v>
      </c>
      <c r="E5943" t="s">
        <v>20</v>
      </c>
      <c r="F5943" t="str">
        <f>"43606-3172"</f>
        <v>43606-3172</v>
      </c>
      <c r="G5943" t="str">
        <f>"716165"</f>
        <v>716165</v>
      </c>
      <c r="H5943" s="2">
        <f>40</f>
        <v>40</v>
      </c>
      <c r="I5943" t="s">
        <v>27</v>
      </c>
      <c r="J5943" t="s">
        <v>34</v>
      </c>
      <c r="K5943" t="str">
        <f>"124872"</f>
        <v>124872</v>
      </c>
    </row>
    <row r="5944" spans="1:11" x14ac:dyDescent="0.25">
      <c r="A5944">
        <v>2024</v>
      </c>
      <c r="B5944" t="s">
        <v>10341</v>
      </c>
      <c r="C5944" t="s">
        <v>10342</v>
      </c>
      <c r="D5944" t="s">
        <v>19</v>
      </c>
      <c r="E5944" t="s">
        <v>20</v>
      </c>
      <c r="F5944" t="str">
        <f>"43608"</f>
        <v>43608</v>
      </c>
      <c r="G5944" t="str">
        <f>"Je12122024"</f>
        <v>Je12122024</v>
      </c>
      <c r="H5944" s="2">
        <f>518.1</f>
        <v>518.1</v>
      </c>
      <c r="I5944" t="s">
        <v>15</v>
      </c>
      <c r="J5944" t="s">
        <v>1326</v>
      </c>
      <c r="K5944" t="str">
        <f>"60134762"</f>
        <v>60134762</v>
      </c>
    </row>
    <row r="5945" spans="1:11" x14ac:dyDescent="0.25">
      <c r="A5945">
        <v>2024</v>
      </c>
      <c r="B5945" t="s">
        <v>10349</v>
      </c>
      <c r="C5945" t="s">
        <v>10350</v>
      </c>
      <c r="D5945" t="s">
        <v>422</v>
      </c>
      <c r="E5945" t="s">
        <v>20</v>
      </c>
      <c r="F5945" t="str">
        <f>"44115"</f>
        <v>44115</v>
      </c>
      <c r="G5945" t="str">
        <f>"716166"</f>
        <v>716166</v>
      </c>
      <c r="H5945" s="2">
        <f>550</f>
        <v>550</v>
      </c>
      <c r="I5945" t="s">
        <v>27</v>
      </c>
      <c r="J5945" t="s">
        <v>262</v>
      </c>
      <c r="K5945" t="str">
        <f>"41927"</f>
        <v>41927</v>
      </c>
    </row>
    <row r="5946" spans="1:11" x14ac:dyDescent="0.25">
      <c r="A5946">
        <v>2024</v>
      </c>
      <c r="B5946" t="s">
        <v>10363</v>
      </c>
      <c r="C5946" t="s">
        <v>10364</v>
      </c>
      <c r="D5946" t="s">
        <v>19</v>
      </c>
      <c r="E5946" t="s">
        <v>20</v>
      </c>
      <c r="F5946" t="str">
        <f>"43608-2321"</f>
        <v>43608-2321</v>
      </c>
      <c r="G5946" t="str">
        <f>"716165"</f>
        <v>716165</v>
      </c>
      <c r="H5946" s="2">
        <f>10</f>
        <v>10</v>
      </c>
      <c r="I5946" t="s">
        <v>27</v>
      </c>
      <c r="J5946" t="s">
        <v>34</v>
      </c>
      <c r="K5946" t="str">
        <f>"122597"</f>
        <v>122597</v>
      </c>
    </row>
    <row r="5947" spans="1:11" x14ac:dyDescent="0.25">
      <c r="A5947">
        <v>2024</v>
      </c>
      <c r="B5947" t="s">
        <v>10402</v>
      </c>
      <c r="C5947" t="s">
        <v>10403</v>
      </c>
      <c r="D5947" t="s">
        <v>19</v>
      </c>
      <c r="E5947" t="s">
        <v>20</v>
      </c>
      <c r="F5947" t="str">
        <f>"43605"</f>
        <v>43605</v>
      </c>
      <c r="G5947" t="str">
        <f>"719211"</f>
        <v>719211</v>
      </c>
      <c r="H5947" s="2">
        <f>200</f>
        <v>200</v>
      </c>
      <c r="I5947" t="s">
        <v>27</v>
      </c>
      <c r="J5947" t="s">
        <v>200</v>
      </c>
      <c r="K5947" t="str">
        <f>"N/A"</f>
        <v>N/A</v>
      </c>
    </row>
    <row r="5948" spans="1:11" x14ac:dyDescent="0.25">
      <c r="A5948">
        <v>2024</v>
      </c>
      <c r="B5948" t="s">
        <v>10412</v>
      </c>
      <c r="C5948" t="s">
        <v>10413</v>
      </c>
      <c r="D5948" t="s">
        <v>125</v>
      </c>
      <c r="E5948" t="s">
        <v>20</v>
      </c>
      <c r="F5948" t="str">
        <f>"43537-2338"</f>
        <v>43537-2338</v>
      </c>
      <c r="G5948" t="str">
        <f>"716165"</f>
        <v>716165</v>
      </c>
      <c r="H5948" s="2">
        <f>10</f>
        <v>10</v>
      </c>
      <c r="I5948" t="s">
        <v>27</v>
      </c>
      <c r="J5948" t="s">
        <v>34</v>
      </c>
      <c r="K5948" t="str">
        <f>"123953"</f>
        <v>123953</v>
      </c>
    </row>
    <row r="5949" spans="1:11" x14ac:dyDescent="0.25">
      <c r="A5949">
        <v>2024</v>
      </c>
      <c r="B5949" t="s">
        <v>10420</v>
      </c>
      <c r="C5949" t="s">
        <v>10421</v>
      </c>
      <c r="D5949" t="s">
        <v>58</v>
      </c>
      <c r="E5949" t="s">
        <v>20</v>
      </c>
      <c r="F5949" t="str">
        <f>"43616-2390"</f>
        <v>43616-2390</v>
      </c>
      <c r="G5949" t="str">
        <f>"716165"</f>
        <v>716165</v>
      </c>
      <c r="H5949" s="2">
        <f>10</f>
        <v>10</v>
      </c>
      <c r="I5949" t="s">
        <v>27</v>
      </c>
      <c r="J5949" t="s">
        <v>34</v>
      </c>
      <c r="K5949" t="str">
        <f>"124418"</f>
        <v>124418</v>
      </c>
    </row>
    <row r="5950" spans="1:11" x14ac:dyDescent="0.25">
      <c r="A5950">
        <v>2024</v>
      </c>
      <c r="B5950" t="s">
        <v>10425</v>
      </c>
      <c r="C5950" t="s">
        <v>10426</v>
      </c>
      <c r="D5950" t="s">
        <v>50</v>
      </c>
      <c r="E5950" t="s">
        <v>20</v>
      </c>
      <c r="F5950" t="str">
        <f>"43560-9658"</f>
        <v>43560-9658</v>
      </c>
      <c r="G5950" t="str">
        <f>"716165"</f>
        <v>716165</v>
      </c>
      <c r="H5950" s="2">
        <f>10</f>
        <v>10</v>
      </c>
      <c r="I5950" t="s">
        <v>27</v>
      </c>
      <c r="J5950" t="s">
        <v>34</v>
      </c>
      <c r="K5950" t="str">
        <f>"124415"</f>
        <v>124415</v>
      </c>
    </row>
    <row r="5951" spans="1:11" x14ac:dyDescent="0.25">
      <c r="A5951">
        <v>2024</v>
      </c>
      <c r="B5951" t="s">
        <v>10457</v>
      </c>
      <c r="C5951" t="s">
        <v>10458</v>
      </c>
      <c r="D5951" t="s">
        <v>50</v>
      </c>
      <c r="E5951" t="s">
        <v>20</v>
      </c>
      <c r="F5951" t="str">
        <f>"43560-3009"</f>
        <v>43560-3009</v>
      </c>
      <c r="G5951" t="str">
        <f>"716165"</f>
        <v>716165</v>
      </c>
      <c r="H5951" s="2">
        <f>20</f>
        <v>20</v>
      </c>
      <c r="I5951" t="s">
        <v>27</v>
      </c>
      <c r="J5951" t="s">
        <v>34</v>
      </c>
      <c r="K5951" t="str">
        <f>"124876"</f>
        <v>124876</v>
      </c>
    </row>
    <row r="5952" spans="1:11" x14ac:dyDescent="0.25">
      <c r="A5952">
        <v>2024</v>
      </c>
      <c r="B5952" t="s">
        <v>10459</v>
      </c>
      <c r="C5952" t="s">
        <v>10460</v>
      </c>
      <c r="D5952" t="s">
        <v>125</v>
      </c>
      <c r="E5952" t="s">
        <v>20</v>
      </c>
      <c r="F5952" t="str">
        <f>"43537"</f>
        <v>43537</v>
      </c>
      <c r="G5952" t="str">
        <f>"718470"</f>
        <v>718470</v>
      </c>
      <c r="H5952" s="2">
        <f>19.95</f>
        <v>19.95</v>
      </c>
      <c r="I5952" t="s">
        <v>27</v>
      </c>
      <c r="J5952" t="s">
        <v>34</v>
      </c>
      <c r="K5952" t="str">
        <f>"334535"</f>
        <v>334535</v>
      </c>
    </row>
    <row r="5953" spans="1:11" x14ac:dyDescent="0.25">
      <c r="A5953">
        <v>2024</v>
      </c>
      <c r="B5953" t="s">
        <v>10467</v>
      </c>
      <c r="C5953" t="s">
        <v>10468</v>
      </c>
      <c r="D5953" t="s">
        <v>19</v>
      </c>
      <c r="E5953" t="s">
        <v>20</v>
      </c>
      <c r="F5953" t="str">
        <f>"43613"</f>
        <v>43613</v>
      </c>
      <c r="G5953" t="str">
        <f>"Je10112024"</f>
        <v>Je10112024</v>
      </c>
      <c r="H5953" s="2">
        <f>20</f>
        <v>20</v>
      </c>
      <c r="I5953" t="s">
        <v>15</v>
      </c>
      <c r="J5953" t="s">
        <v>205</v>
      </c>
      <c r="K5953" t="str">
        <f>"60128177"</f>
        <v>60128177</v>
      </c>
    </row>
    <row r="5954" spans="1:11" x14ac:dyDescent="0.25">
      <c r="A5954">
        <v>2024</v>
      </c>
      <c r="B5954" t="s">
        <v>10502</v>
      </c>
      <c r="C5954" t="s">
        <v>10503</v>
      </c>
      <c r="D5954" t="s">
        <v>64</v>
      </c>
      <c r="E5954" t="s">
        <v>20</v>
      </c>
      <c r="F5954" t="str">
        <f>"43566-1352"</f>
        <v>43566-1352</v>
      </c>
      <c r="G5954" t="str">
        <f>"716165"</f>
        <v>716165</v>
      </c>
      <c r="H5954" s="2">
        <f>80</f>
        <v>80</v>
      </c>
      <c r="I5954" t="s">
        <v>27</v>
      </c>
      <c r="J5954" t="s">
        <v>34</v>
      </c>
      <c r="K5954" t="str">
        <f>"122381"</f>
        <v>122381</v>
      </c>
    </row>
    <row r="5955" spans="1:11" x14ac:dyDescent="0.25">
      <c r="A5955">
        <v>2024</v>
      </c>
      <c r="B5955" t="s">
        <v>10508</v>
      </c>
      <c r="C5955" t="s">
        <v>10509</v>
      </c>
      <c r="D5955" t="s">
        <v>58</v>
      </c>
      <c r="E5955" t="s">
        <v>20</v>
      </c>
      <c r="F5955" t="str">
        <f>"43616-2639"</f>
        <v>43616-2639</v>
      </c>
      <c r="G5955" t="str">
        <f>"716165"</f>
        <v>716165</v>
      </c>
      <c r="H5955" s="2">
        <f>20</f>
        <v>20</v>
      </c>
      <c r="I5955" t="s">
        <v>27</v>
      </c>
      <c r="J5955" t="s">
        <v>34</v>
      </c>
      <c r="K5955" t="str">
        <f>"123652"</f>
        <v>123652</v>
      </c>
    </row>
    <row r="5956" spans="1:11" x14ac:dyDescent="0.25">
      <c r="A5956">
        <v>2024</v>
      </c>
      <c r="B5956" t="s">
        <v>10540</v>
      </c>
      <c r="C5956" t="s">
        <v>10541</v>
      </c>
      <c r="D5956" t="s">
        <v>125</v>
      </c>
      <c r="E5956" t="s">
        <v>20</v>
      </c>
      <c r="F5956" t="str">
        <f>"43537-2216"</f>
        <v>43537-2216</v>
      </c>
      <c r="G5956" t="str">
        <f>"716165"</f>
        <v>716165</v>
      </c>
      <c r="H5956" s="2">
        <f>10</f>
        <v>10</v>
      </c>
      <c r="I5956" t="s">
        <v>27</v>
      </c>
      <c r="J5956" t="s">
        <v>34</v>
      </c>
      <c r="K5956" t="str">
        <f>"124717"</f>
        <v>124717</v>
      </c>
    </row>
    <row r="5957" spans="1:11" x14ac:dyDescent="0.25">
      <c r="A5957">
        <v>2024</v>
      </c>
      <c r="B5957" t="s">
        <v>10555</v>
      </c>
      <c r="C5957" t="s">
        <v>10556</v>
      </c>
      <c r="D5957" t="s">
        <v>899</v>
      </c>
      <c r="E5957" t="s">
        <v>20</v>
      </c>
      <c r="F5957" t="str">
        <f>"43412-9462"</f>
        <v>43412-9462</v>
      </c>
      <c r="G5957" t="str">
        <f>"716165"</f>
        <v>716165</v>
      </c>
      <c r="H5957" s="2">
        <f>20</f>
        <v>20</v>
      </c>
      <c r="I5957" t="s">
        <v>27</v>
      </c>
      <c r="J5957" t="s">
        <v>34</v>
      </c>
      <c r="K5957" t="str">
        <f>"121978"</f>
        <v>121978</v>
      </c>
    </row>
    <row r="5958" spans="1:11" x14ac:dyDescent="0.25">
      <c r="A5958">
        <v>2024</v>
      </c>
      <c r="B5958" t="s">
        <v>10600</v>
      </c>
      <c r="C5958" t="s">
        <v>8200</v>
      </c>
      <c r="D5958" t="s">
        <v>19</v>
      </c>
      <c r="E5958" t="s">
        <v>20</v>
      </c>
      <c r="F5958" t="str">
        <f>"43604"</f>
        <v>43604</v>
      </c>
      <c r="G5958" t="str">
        <f>"718470"</f>
        <v>718470</v>
      </c>
      <c r="H5958" s="2">
        <f>1.54</f>
        <v>1.54</v>
      </c>
      <c r="I5958" t="s">
        <v>27</v>
      </c>
      <c r="J5958" t="s">
        <v>34</v>
      </c>
      <c r="K5958" t="str">
        <f>"334425"</f>
        <v>334425</v>
      </c>
    </row>
    <row r="5959" spans="1:11" x14ac:dyDescent="0.25">
      <c r="A5959">
        <v>2024</v>
      </c>
      <c r="B5959" t="s">
        <v>10600</v>
      </c>
      <c r="C5959" t="s">
        <v>8200</v>
      </c>
      <c r="D5959" t="s">
        <v>19</v>
      </c>
      <c r="E5959" t="s">
        <v>20</v>
      </c>
      <c r="F5959" t="str">
        <f>"43604"</f>
        <v>43604</v>
      </c>
      <c r="G5959" t="str">
        <f>"718470"</f>
        <v>718470</v>
      </c>
      <c r="H5959" s="2">
        <f>12</f>
        <v>12</v>
      </c>
      <c r="I5959" t="s">
        <v>27</v>
      </c>
      <c r="J5959" t="s">
        <v>34</v>
      </c>
      <c r="K5959" t="str">
        <f>"334685"</f>
        <v>334685</v>
      </c>
    </row>
    <row r="5960" spans="1:11" x14ac:dyDescent="0.25">
      <c r="A5960">
        <v>2024</v>
      </c>
      <c r="B5960" t="s">
        <v>10600</v>
      </c>
      <c r="C5960" t="s">
        <v>10601</v>
      </c>
      <c r="D5960" t="s">
        <v>19</v>
      </c>
      <c r="E5960" t="s">
        <v>20</v>
      </c>
      <c r="F5960" t="str">
        <f>"43604"</f>
        <v>43604</v>
      </c>
      <c r="G5960" t="str">
        <f>"718470"</f>
        <v>718470</v>
      </c>
      <c r="H5960" s="2">
        <f>2.44</f>
        <v>2.44</v>
      </c>
      <c r="I5960" t="s">
        <v>27</v>
      </c>
      <c r="J5960" t="s">
        <v>34</v>
      </c>
      <c r="K5960" t="str">
        <f>"334724"</f>
        <v>334724</v>
      </c>
    </row>
    <row r="5961" spans="1:11" x14ac:dyDescent="0.25">
      <c r="A5961">
        <v>2024</v>
      </c>
      <c r="B5961" t="s">
        <v>10600</v>
      </c>
      <c r="C5961" t="s">
        <v>8200</v>
      </c>
      <c r="D5961" t="s">
        <v>19</v>
      </c>
      <c r="E5961" t="s">
        <v>20</v>
      </c>
      <c r="F5961" t="str">
        <f>"43604"</f>
        <v>43604</v>
      </c>
      <c r="G5961" t="str">
        <f>"718470"</f>
        <v>718470</v>
      </c>
      <c r="H5961" s="2">
        <f>9.6</f>
        <v>9.6</v>
      </c>
      <c r="I5961" t="s">
        <v>27</v>
      </c>
      <c r="J5961" t="s">
        <v>34</v>
      </c>
      <c r="K5961" t="str">
        <f>"334511"</f>
        <v>334511</v>
      </c>
    </row>
    <row r="5962" spans="1:11" x14ac:dyDescent="0.25">
      <c r="A5962">
        <v>2024</v>
      </c>
      <c r="B5962" t="s">
        <v>10602</v>
      </c>
      <c r="C5962" t="s">
        <v>10603</v>
      </c>
      <c r="D5962" t="s">
        <v>50</v>
      </c>
      <c r="E5962" t="s">
        <v>20</v>
      </c>
      <c r="F5962" t="str">
        <f>"43560"</f>
        <v>43560</v>
      </c>
      <c r="G5962" t="str">
        <f>"716165"</f>
        <v>716165</v>
      </c>
      <c r="H5962" s="2">
        <f>10</f>
        <v>10</v>
      </c>
      <c r="I5962" t="s">
        <v>27</v>
      </c>
      <c r="J5962" t="s">
        <v>34</v>
      </c>
      <c r="K5962" t="str">
        <f>"122693"</f>
        <v>122693</v>
      </c>
    </row>
    <row r="5963" spans="1:11" x14ac:dyDescent="0.25">
      <c r="A5963">
        <v>2024</v>
      </c>
      <c r="B5963" t="s">
        <v>10616</v>
      </c>
      <c r="C5963" t="s">
        <v>10617</v>
      </c>
      <c r="D5963" t="s">
        <v>111</v>
      </c>
      <c r="E5963" t="s">
        <v>20</v>
      </c>
      <c r="F5963" t="str">
        <f>"43207"</f>
        <v>43207</v>
      </c>
      <c r="G5963" t="str">
        <f>"716619"</f>
        <v>716619</v>
      </c>
      <c r="H5963" s="2">
        <f>1.44</f>
        <v>1.44</v>
      </c>
      <c r="I5963" t="s">
        <v>27</v>
      </c>
      <c r="J5963" t="s">
        <v>34</v>
      </c>
      <c r="K5963" t="str">
        <f>"33012417"</f>
        <v>33012417</v>
      </c>
    </row>
    <row r="5964" spans="1:11" x14ac:dyDescent="0.25">
      <c r="A5964">
        <v>2024</v>
      </c>
      <c r="B5964" t="s">
        <v>10624</v>
      </c>
      <c r="C5964" t="s">
        <v>10625</v>
      </c>
      <c r="D5964" t="s">
        <v>105</v>
      </c>
      <c r="E5964" t="s">
        <v>20</v>
      </c>
      <c r="F5964" t="str">
        <f>"43528-9561"</f>
        <v>43528-9561</v>
      </c>
      <c r="G5964" t="str">
        <f>"716165"</f>
        <v>716165</v>
      </c>
      <c r="H5964" s="2">
        <f>10</f>
        <v>10</v>
      </c>
      <c r="I5964" t="s">
        <v>27</v>
      </c>
      <c r="J5964" t="s">
        <v>34</v>
      </c>
      <c r="K5964" t="str">
        <f>"123987"</f>
        <v>123987</v>
      </c>
    </row>
    <row r="5965" spans="1:11" x14ac:dyDescent="0.25">
      <c r="A5965">
        <v>2024</v>
      </c>
      <c r="B5965" t="s">
        <v>10640</v>
      </c>
      <c r="C5965" t="s">
        <v>10641</v>
      </c>
      <c r="D5965" t="s">
        <v>19</v>
      </c>
      <c r="E5965" t="s">
        <v>20</v>
      </c>
      <c r="F5965" t="str">
        <f>"43608"</f>
        <v>43608</v>
      </c>
      <c r="G5965" t="str">
        <f>"716165"</f>
        <v>716165</v>
      </c>
      <c r="H5965" s="2">
        <f>10</f>
        <v>10</v>
      </c>
      <c r="I5965" t="s">
        <v>27</v>
      </c>
      <c r="J5965" t="s">
        <v>34</v>
      </c>
      <c r="K5965" t="str">
        <f>"123951"</f>
        <v>123951</v>
      </c>
    </row>
    <row r="5966" spans="1:11" x14ac:dyDescent="0.25">
      <c r="A5966">
        <v>2024</v>
      </c>
      <c r="B5966" t="s">
        <v>10646</v>
      </c>
      <c r="C5966" t="s">
        <v>10647</v>
      </c>
      <c r="D5966" t="s">
        <v>1163</v>
      </c>
      <c r="E5966" t="s">
        <v>20</v>
      </c>
      <c r="F5966" t="str">
        <f>"45202"</f>
        <v>45202</v>
      </c>
      <c r="G5966" t="str">
        <f>"716166"</f>
        <v>716166</v>
      </c>
      <c r="H5966" s="2">
        <f>20</f>
        <v>20</v>
      </c>
      <c r="I5966" t="s">
        <v>27</v>
      </c>
      <c r="J5966" t="s">
        <v>262</v>
      </c>
      <c r="K5966" t="str">
        <f>"42079"</f>
        <v>42079</v>
      </c>
    </row>
    <row r="5967" spans="1:11" x14ac:dyDescent="0.25">
      <c r="A5967">
        <v>2024</v>
      </c>
      <c r="B5967" t="s">
        <v>10685</v>
      </c>
      <c r="C5967" t="s">
        <v>10686</v>
      </c>
      <c r="D5967" t="s">
        <v>45</v>
      </c>
      <c r="E5967" t="s">
        <v>20</v>
      </c>
      <c r="F5967" t="str">
        <f>"43542-6718"</f>
        <v>43542-6718</v>
      </c>
      <c r="G5967" t="str">
        <f>"716165"</f>
        <v>716165</v>
      </c>
      <c r="H5967" s="2">
        <f>10</f>
        <v>10</v>
      </c>
      <c r="I5967" t="s">
        <v>27</v>
      </c>
      <c r="J5967" t="s">
        <v>34</v>
      </c>
      <c r="K5967" t="str">
        <f>"124292"</f>
        <v>124292</v>
      </c>
    </row>
    <row r="5968" spans="1:11" x14ac:dyDescent="0.25">
      <c r="A5968">
        <v>2024</v>
      </c>
      <c r="B5968" t="s">
        <v>10701</v>
      </c>
      <c r="C5968" t="s">
        <v>10702</v>
      </c>
      <c r="D5968" t="s">
        <v>422</v>
      </c>
      <c r="E5968" t="s">
        <v>20</v>
      </c>
      <c r="F5968" t="str">
        <f>"44113"</f>
        <v>44113</v>
      </c>
      <c r="G5968" t="str">
        <f>"716166"</f>
        <v>716166</v>
      </c>
      <c r="H5968" s="2">
        <f>6.3</f>
        <v>6.3</v>
      </c>
      <c r="I5968" t="s">
        <v>27</v>
      </c>
      <c r="J5968" t="s">
        <v>262</v>
      </c>
      <c r="K5968" t="str">
        <f>"41980"</f>
        <v>41980</v>
      </c>
    </row>
    <row r="5969" spans="1:11" x14ac:dyDescent="0.25">
      <c r="A5969">
        <v>2024</v>
      </c>
      <c r="B5969" t="s">
        <v>10721</v>
      </c>
      <c r="C5969" t="s">
        <v>10722</v>
      </c>
      <c r="D5969" t="s">
        <v>58</v>
      </c>
      <c r="E5969" t="s">
        <v>20</v>
      </c>
      <c r="F5969" t="str">
        <f>"43616-1053"</f>
        <v>43616-1053</v>
      </c>
      <c r="G5969" t="str">
        <f>"716165"</f>
        <v>716165</v>
      </c>
      <c r="H5969" s="2">
        <f>10</f>
        <v>10</v>
      </c>
      <c r="I5969" t="s">
        <v>27</v>
      </c>
      <c r="J5969" t="s">
        <v>34</v>
      </c>
      <c r="K5969" t="str">
        <f>"123906"</f>
        <v>123906</v>
      </c>
    </row>
    <row r="5970" spans="1:11" x14ac:dyDescent="0.25">
      <c r="A5970">
        <v>2024</v>
      </c>
      <c r="B5970" t="s">
        <v>10737</v>
      </c>
      <c r="C5970" t="s">
        <v>10738</v>
      </c>
      <c r="D5970" t="s">
        <v>19</v>
      </c>
      <c r="E5970" t="s">
        <v>20</v>
      </c>
      <c r="F5970" t="str">
        <f>"43608-1646"</f>
        <v>43608-1646</v>
      </c>
      <c r="G5970" t="str">
        <f>"716165"</f>
        <v>716165</v>
      </c>
      <c r="H5970" s="2">
        <f>10</f>
        <v>10</v>
      </c>
      <c r="I5970" t="s">
        <v>27</v>
      </c>
      <c r="J5970" t="s">
        <v>34</v>
      </c>
      <c r="K5970" t="str">
        <f>"122450"</f>
        <v>122450</v>
      </c>
    </row>
    <row r="5971" spans="1:11" x14ac:dyDescent="0.25">
      <c r="A5971">
        <v>2024</v>
      </c>
      <c r="B5971" t="s">
        <v>10755</v>
      </c>
      <c r="C5971" t="s">
        <v>10756</v>
      </c>
      <c r="D5971" t="s">
        <v>19</v>
      </c>
      <c r="E5971" t="s">
        <v>20</v>
      </c>
      <c r="F5971" t="str">
        <f>"43606-3723"</f>
        <v>43606-3723</v>
      </c>
      <c r="G5971" t="str">
        <f>"716165"</f>
        <v>716165</v>
      </c>
      <c r="H5971" s="2">
        <f>10</f>
        <v>10</v>
      </c>
      <c r="I5971" t="s">
        <v>27</v>
      </c>
      <c r="J5971" t="s">
        <v>34</v>
      </c>
      <c r="K5971" t="str">
        <f>"125114"</f>
        <v>125114</v>
      </c>
    </row>
    <row r="5972" spans="1:11" x14ac:dyDescent="0.25">
      <c r="A5972">
        <v>2024</v>
      </c>
      <c r="B5972" t="s">
        <v>10758</v>
      </c>
      <c r="C5972" t="s">
        <v>10759</v>
      </c>
      <c r="D5972" t="s">
        <v>19</v>
      </c>
      <c r="E5972" t="s">
        <v>20</v>
      </c>
      <c r="F5972" t="str">
        <f>"43611-1230"</f>
        <v>43611-1230</v>
      </c>
      <c r="G5972" t="str">
        <f>"716165"</f>
        <v>716165</v>
      </c>
      <c r="H5972" s="2">
        <f>10</f>
        <v>10</v>
      </c>
      <c r="I5972" t="s">
        <v>27</v>
      </c>
      <c r="J5972" t="s">
        <v>34</v>
      </c>
      <c r="K5972" t="str">
        <f>"123733"</f>
        <v>123733</v>
      </c>
    </row>
    <row r="5973" spans="1:11" x14ac:dyDescent="0.25">
      <c r="A5973">
        <v>2024</v>
      </c>
      <c r="B5973" t="s">
        <v>10760</v>
      </c>
      <c r="C5973" t="s">
        <v>10761</v>
      </c>
      <c r="D5973" t="s">
        <v>19</v>
      </c>
      <c r="E5973" t="s">
        <v>20</v>
      </c>
      <c r="F5973" t="str">
        <f>"43609-2949"</f>
        <v>43609-2949</v>
      </c>
      <c r="G5973" t="str">
        <f>"716165"</f>
        <v>716165</v>
      </c>
      <c r="H5973" s="2">
        <f>10</f>
        <v>10</v>
      </c>
      <c r="I5973" t="s">
        <v>27</v>
      </c>
      <c r="J5973" t="s">
        <v>34</v>
      </c>
      <c r="K5973" t="str">
        <f>"122694"</f>
        <v>122694</v>
      </c>
    </row>
    <row r="5974" spans="1:11" x14ac:dyDescent="0.25">
      <c r="A5974">
        <v>2024</v>
      </c>
      <c r="B5974" t="s">
        <v>10762</v>
      </c>
      <c r="C5974" t="s">
        <v>10763</v>
      </c>
      <c r="D5974" t="s">
        <v>19</v>
      </c>
      <c r="E5974" t="s">
        <v>20</v>
      </c>
      <c r="F5974" t="str">
        <f>"43604"</f>
        <v>43604</v>
      </c>
      <c r="G5974" t="str">
        <f>"718470"</f>
        <v>718470</v>
      </c>
      <c r="H5974" s="2">
        <f>62</f>
        <v>62</v>
      </c>
      <c r="I5974" t="s">
        <v>27</v>
      </c>
      <c r="J5974" t="s">
        <v>34</v>
      </c>
      <c r="K5974" t="str">
        <f>"334427"</f>
        <v>334427</v>
      </c>
    </row>
    <row r="5975" spans="1:11" x14ac:dyDescent="0.25">
      <c r="A5975">
        <v>2024</v>
      </c>
      <c r="B5975" t="s">
        <v>10764</v>
      </c>
      <c r="C5975" t="s">
        <v>10765</v>
      </c>
      <c r="D5975" t="s">
        <v>45</v>
      </c>
      <c r="E5975" t="s">
        <v>20</v>
      </c>
      <c r="F5975" t="str">
        <f>"43542-9737"</f>
        <v>43542-9737</v>
      </c>
      <c r="G5975" t="str">
        <f>"716165"</f>
        <v>716165</v>
      </c>
      <c r="H5975" s="2">
        <f>10</f>
        <v>10</v>
      </c>
      <c r="I5975" t="s">
        <v>27</v>
      </c>
      <c r="J5975" t="s">
        <v>34</v>
      </c>
      <c r="K5975" t="str">
        <f>"122638"</f>
        <v>122638</v>
      </c>
    </row>
    <row r="5976" spans="1:11" x14ac:dyDescent="0.25">
      <c r="A5976">
        <v>2024</v>
      </c>
      <c r="B5976" t="s">
        <v>10776</v>
      </c>
      <c r="C5976" t="s">
        <v>5180</v>
      </c>
      <c r="D5976" t="s">
        <v>19</v>
      </c>
      <c r="E5976" t="s">
        <v>20</v>
      </c>
      <c r="F5976" t="str">
        <f>"43537-4208"</f>
        <v>43537-4208</v>
      </c>
      <c r="G5976" t="str">
        <f>"716165"</f>
        <v>716165</v>
      </c>
      <c r="H5976" s="2">
        <f>10</f>
        <v>10</v>
      </c>
      <c r="I5976" t="s">
        <v>27</v>
      </c>
      <c r="J5976" t="s">
        <v>34</v>
      </c>
      <c r="K5976" t="str">
        <f>"122981"</f>
        <v>122981</v>
      </c>
    </row>
    <row r="5977" spans="1:11" x14ac:dyDescent="0.25">
      <c r="A5977">
        <v>2024</v>
      </c>
      <c r="B5977" t="s">
        <v>10781</v>
      </c>
      <c r="C5977" t="s">
        <v>10782</v>
      </c>
      <c r="D5977" t="s">
        <v>19</v>
      </c>
      <c r="E5977" t="s">
        <v>20</v>
      </c>
      <c r="F5977" t="str">
        <f>"43613-4502"</f>
        <v>43613-4502</v>
      </c>
      <c r="G5977" t="str">
        <f>"716165"</f>
        <v>716165</v>
      </c>
      <c r="H5977" s="2">
        <f>10</f>
        <v>10</v>
      </c>
      <c r="I5977" t="s">
        <v>27</v>
      </c>
      <c r="J5977" t="s">
        <v>34</v>
      </c>
      <c r="K5977" t="str">
        <f>"122294"</f>
        <v>122294</v>
      </c>
    </row>
    <row r="5978" spans="1:11" x14ac:dyDescent="0.25">
      <c r="A5978">
        <v>2024</v>
      </c>
      <c r="B5978" t="s">
        <v>10785</v>
      </c>
      <c r="C5978" t="s">
        <v>10786</v>
      </c>
      <c r="D5978" t="s">
        <v>125</v>
      </c>
      <c r="E5978" t="s">
        <v>20</v>
      </c>
      <c r="F5978" t="str">
        <f>"43537-1049"</f>
        <v>43537-1049</v>
      </c>
      <c r="G5978" t="str">
        <f>"716165"</f>
        <v>716165</v>
      </c>
      <c r="H5978" s="2">
        <f>10</f>
        <v>10</v>
      </c>
      <c r="I5978" t="s">
        <v>27</v>
      </c>
      <c r="J5978" t="s">
        <v>34</v>
      </c>
      <c r="K5978" t="str">
        <f>"123020"</f>
        <v>123020</v>
      </c>
    </row>
    <row r="5979" spans="1:11" x14ac:dyDescent="0.25">
      <c r="A5979">
        <v>2024</v>
      </c>
      <c r="B5979" t="s">
        <v>10823</v>
      </c>
      <c r="C5979" t="s">
        <v>10824</v>
      </c>
      <c r="D5979" t="s">
        <v>19</v>
      </c>
      <c r="E5979" t="s">
        <v>20</v>
      </c>
      <c r="F5979" t="str">
        <f>"43608"</f>
        <v>43608</v>
      </c>
      <c r="G5979" t="str">
        <f>"718470"</f>
        <v>718470</v>
      </c>
      <c r="H5979" s="2">
        <f>5.24</f>
        <v>5.24</v>
      </c>
      <c r="I5979" t="s">
        <v>27</v>
      </c>
      <c r="J5979" t="s">
        <v>34</v>
      </c>
      <c r="K5979" t="str">
        <f>"334670"</f>
        <v>334670</v>
      </c>
    </row>
    <row r="5980" spans="1:11" x14ac:dyDescent="0.25">
      <c r="A5980">
        <v>2024</v>
      </c>
      <c r="B5980" t="s">
        <v>10879</v>
      </c>
      <c r="C5980" t="s">
        <v>10880</v>
      </c>
      <c r="D5980" t="s">
        <v>19</v>
      </c>
      <c r="E5980" t="s">
        <v>20</v>
      </c>
      <c r="F5980" t="str">
        <f>"43612"</f>
        <v>43612</v>
      </c>
      <c r="G5980" t="str">
        <f>"712783"</f>
        <v>712783</v>
      </c>
      <c r="H5980" s="2">
        <f>140</f>
        <v>140</v>
      </c>
      <c r="I5980" t="s">
        <v>519</v>
      </c>
      <c r="J5980" t="s">
        <v>519</v>
      </c>
      <c r="K5980" t="str">
        <f>"11470"</f>
        <v>11470</v>
      </c>
    </row>
    <row r="5981" spans="1:11" x14ac:dyDescent="0.25">
      <c r="A5981">
        <v>2024</v>
      </c>
      <c r="B5981" t="s">
        <v>10883</v>
      </c>
      <c r="C5981" t="s">
        <v>10884</v>
      </c>
      <c r="D5981" t="s">
        <v>19</v>
      </c>
      <c r="E5981" t="s">
        <v>20</v>
      </c>
      <c r="F5981" t="str">
        <f>"43607-2252"</f>
        <v>43607-2252</v>
      </c>
      <c r="G5981" t="str">
        <f>"716165"</f>
        <v>716165</v>
      </c>
      <c r="H5981" s="2">
        <f>10</f>
        <v>10</v>
      </c>
      <c r="I5981" t="s">
        <v>27</v>
      </c>
      <c r="J5981" t="s">
        <v>34</v>
      </c>
      <c r="K5981" t="str">
        <f>"125002"</f>
        <v>125002</v>
      </c>
    </row>
    <row r="5982" spans="1:11" x14ac:dyDescent="0.25">
      <c r="A5982">
        <v>2024</v>
      </c>
      <c r="B5982" t="s">
        <v>10957</v>
      </c>
      <c r="C5982" t="s">
        <v>10958</v>
      </c>
      <c r="D5982" t="s">
        <v>19</v>
      </c>
      <c r="E5982" t="s">
        <v>20</v>
      </c>
      <c r="F5982" t="str">
        <f>"43606-4506"</f>
        <v>43606-4506</v>
      </c>
      <c r="G5982" t="str">
        <f>"716165"</f>
        <v>716165</v>
      </c>
      <c r="H5982" s="2">
        <f>10</f>
        <v>10</v>
      </c>
      <c r="I5982" t="s">
        <v>27</v>
      </c>
      <c r="J5982" t="s">
        <v>34</v>
      </c>
      <c r="K5982" t="str">
        <f>"122203"</f>
        <v>122203</v>
      </c>
    </row>
    <row r="5983" spans="1:11" x14ac:dyDescent="0.25">
      <c r="A5983">
        <v>2024</v>
      </c>
      <c r="B5983" t="s">
        <v>10965</v>
      </c>
      <c r="C5983" t="s">
        <v>10966</v>
      </c>
      <c r="D5983" t="s">
        <v>364</v>
      </c>
      <c r="E5983" t="s">
        <v>14</v>
      </c>
      <c r="F5983" t="str">
        <f>"48228"</f>
        <v>48228</v>
      </c>
      <c r="G5983" t="str">
        <f>"719211"</f>
        <v>719211</v>
      </c>
      <c r="H5983" s="2">
        <f>450</f>
        <v>450</v>
      </c>
      <c r="I5983" t="s">
        <v>27</v>
      </c>
      <c r="J5983" t="s">
        <v>200</v>
      </c>
      <c r="K5983" t="str">
        <f>"N/A"</f>
        <v>N/A</v>
      </c>
    </row>
    <row r="5984" spans="1:11" x14ac:dyDescent="0.25">
      <c r="A5984">
        <v>2024</v>
      </c>
      <c r="B5984" t="s">
        <v>10975</v>
      </c>
      <c r="C5984" t="s">
        <v>10976</v>
      </c>
      <c r="D5984" t="s">
        <v>19</v>
      </c>
      <c r="E5984" t="s">
        <v>20</v>
      </c>
      <c r="F5984" t="str">
        <f>"43604"</f>
        <v>43604</v>
      </c>
      <c r="G5984" t="str">
        <f>"Je03262024"</f>
        <v>Je03262024</v>
      </c>
      <c r="H5984" s="2">
        <f>315</f>
        <v>315</v>
      </c>
      <c r="I5984" t="s">
        <v>15</v>
      </c>
      <c r="J5984" t="s">
        <v>21</v>
      </c>
      <c r="K5984" t="str">
        <f>"60107875"</f>
        <v>60107875</v>
      </c>
    </row>
    <row r="5985" spans="1:11" x14ac:dyDescent="0.25">
      <c r="A5985">
        <v>2024</v>
      </c>
      <c r="B5985" t="s">
        <v>10989</v>
      </c>
      <c r="C5985" t="s">
        <v>5121</v>
      </c>
      <c r="D5985" t="s">
        <v>19</v>
      </c>
      <c r="E5985" t="s">
        <v>20</v>
      </c>
      <c r="F5985" t="str">
        <f>"43604"</f>
        <v>43604</v>
      </c>
      <c r="G5985" t="str">
        <f>"716166"</f>
        <v>716166</v>
      </c>
      <c r="H5985" s="2">
        <f>20</f>
        <v>20</v>
      </c>
      <c r="I5985" t="s">
        <v>27</v>
      </c>
      <c r="J5985" t="s">
        <v>262</v>
      </c>
      <c r="K5985" t="str">
        <f>"41112"</f>
        <v>41112</v>
      </c>
    </row>
    <row r="5986" spans="1:11" x14ac:dyDescent="0.25">
      <c r="A5986">
        <v>2024</v>
      </c>
      <c r="B5986" t="s">
        <v>10990</v>
      </c>
      <c r="C5986" t="s">
        <v>10991</v>
      </c>
      <c r="D5986" t="s">
        <v>19</v>
      </c>
      <c r="E5986" t="s">
        <v>20</v>
      </c>
      <c r="F5986" t="str">
        <f>"43604"</f>
        <v>43604</v>
      </c>
      <c r="G5986" t="str">
        <f>"716166"</f>
        <v>716166</v>
      </c>
      <c r="H5986" s="2">
        <f>12</f>
        <v>12</v>
      </c>
      <c r="I5986" t="s">
        <v>27</v>
      </c>
      <c r="J5986" t="s">
        <v>262</v>
      </c>
      <c r="K5986" t="str">
        <f>"43568"</f>
        <v>43568</v>
      </c>
    </row>
    <row r="5987" spans="1:11" x14ac:dyDescent="0.25">
      <c r="A5987">
        <v>2024</v>
      </c>
      <c r="B5987" t="s">
        <v>10992</v>
      </c>
      <c r="C5987" t="s">
        <v>10993</v>
      </c>
      <c r="D5987" t="s">
        <v>19</v>
      </c>
      <c r="E5987" t="s">
        <v>20</v>
      </c>
      <c r="F5987" t="str">
        <f>"43604"</f>
        <v>43604</v>
      </c>
      <c r="G5987" t="str">
        <f>"716166"</f>
        <v>716166</v>
      </c>
      <c r="H5987" s="2">
        <f>8</f>
        <v>8</v>
      </c>
      <c r="I5987" t="s">
        <v>27</v>
      </c>
      <c r="J5987" t="s">
        <v>262</v>
      </c>
      <c r="K5987" t="str">
        <f>"41777"</f>
        <v>41777</v>
      </c>
    </row>
    <row r="5988" spans="1:11" x14ac:dyDescent="0.25">
      <c r="A5988">
        <v>2024</v>
      </c>
      <c r="B5988" t="s">
        <v>11033</v>
      </c>
      <c r="C5988" t="s">
        <v>11034</v>
      </c>
      <c r="D5988" t="s">
        <v>11035</v>
      </c>
      <c r="E5988" t="s">
        <v>14</v>
      </c>
      <c r="F5988" t="str">
        <f>"48125"</f>
        <v>48125</v>
      </c>
      <c r="G5988" t="str">
        <f>"718470"</f>
        <v>718470</v>
      </c>
      <c r="H5988" s="2">
        <f>150</f>
        <v>150</v>
      </c>
      <c r="I5988" t="s">
        <v>27</v>
      </c>
      <c r="J5988" t="s">
        <v>34</v>
      </c>
      <c r="K5988" t="str">
        <f>"334710"</f>
        <v>334710</v>
      </c>
    </row>
    <row r="5989" spans="1:11" x14ac:dyDescent="0.25">
      <c r="A5989">
        <v>2024</v>
      </c>
      <c r="B5989" t="s">
        <v>11085</v>
      </c>
      <c r="C5989" t="s">
        <v>11086</v>
      </c>
      <c r="D5989" t="s">
        <v>64</v>
      </c>
      <c r="E5989" t="s">
        <v>20</v>
      </c>
      <c r="F5989" t="str">
        <f>"43566"</f>
        <v>43566</v>
      </c>
      <c r="G5989" t="str">
        <f>"716165"</f>
        <v>716165</v>
      </c>
      <c r="H5989" s="2">
        <f>10</f>
        <v>10</v>
      </c>
      <c r="I5989" t="s">
        <v>27</v>
      </c>
      <c r="J5989" t="s">
        <v>34</v>
      </c>
      <c r="K5989" t="str">
        <f>"121835"</f>
        <v>121835</v>
      </c>
    </row>
    <row r="5990" spans="1:11" x14ac:dyDescent="0.25">
      <c r="A5990">
        <v>2024</v>
      </c>
      <c r="B5990" t="s">
        <v>11087</v>
      </c>
      <c r="C5990" t="s">
        <v>11088</v>
      </c>
      <c r="D5990" t="s">
        <v>899</v>
      </c>
      <c r="E5990" t="s">
        <v>20</v>
      </c>
      <c r="F5990" t="str">
        <f>"43412-9746"</f>
        <v>43412-9746</v>
      </c>
      <c r="G5990" t="str">
        <f>"716165"</f>
        <v>716165</v>
      </c>
      <c r="H5990" s="2">
        <f>10</f>
        <v>10</v>
      </c>
      <c r="I5990" t="s">
        <v>27</v>
      </c>
      <c r="J5990" t="s">
        <v>34</v>
      </c>
      <c r="K5990" t="str">
        <f>"125014"</f>
        <v>125014</v>
      </c>
    </row>
    <row r="5991" spans="1:11" x14ac:dyDescent="0.25">
      <c r="A5991">
        <v>2024</v>
      </c>
      <c r="B5991" t="s">
        <v>11089</v>
      </c>
      <c r="C5991" t="s">
        <v>11090</v>
      </c>
      <c r="D5991" t="s">
        <v>11091</v>
      </c>
      <c r="E5991" t="s">
        <v>1341</v>
      </c>
      <c r="F5991" t="str">
        <f>"75561"</f>
        <v>75561</v>
      </c>
      <c r="G5991" t="str">
        <f>"718470"</f>
        <v>718470</v>
      </c>
      <c r="H5991" s="2">
        <f>1.49</f>
        <v>1.49</v>
      </c>
      <c r="I5991" t="s">
        <v>27</v>
      </c>
      <c r="J5991" t="s">
        <v>34</v>
      </c>
      <c r="K5991" t="str">
        <f>"334673"</f>
        <v>334673</v>
      </c>
    </row>
    <row r="5992" spans="1:11" x14ac:dyDescent="0.25">
      <c r="A5992">
        <v>2024</v>
      </c>
      <c r="B5992" t="s">
        <v>11092</v>
      </c>
      <c r="C5992" t="s">
        <v>11093</v>
      </c>
      <c r="D5992" t="s">
        <v>19</v>
      </c>
      <c r="E5992" t="s">
        <v>20</v>
      </c>
      <c r="F5992" t="str">
        <f>"43623-3808"</f>
        <v>43623-3808</v>
      </c>
      <c r="G5992" t="str">
        <f>"716165"</f>
        <v>716165</v>
      </c>
      <c r="H5992" s="2">
        <f>10</f>
        <v>10</v>
      </c>
      <c r="I5992" t="s">
        <v>27</v>
      </c>
      <c r="J5992" t="s">
        <v>34</v>
      </c>
      <c r="K5992" t="str">
        <f>"124741"</f>
        <v>124741</v>
      </c>
    </row>
    <row r="5993" spans="1:11" x14ac:dyDescent="0.25">
      <c r="A5993">
        <v>2024</v>
      </c>
      <c r="B5993" t="s">
        <v>11096</v>
      </c>
      <c r="C5993" t="s">
        <v>11097</v>
      </c>
      <c r="D5993" t="s">
        <v>19</v>
      </c>
      <c r="E5993" t="s">
        <v>20</v>
      </c>
      <c r="F5993" t="str">
        <f>"43605-5606"</f>
        <v>43605-5606</v>
      </c>
      <c r="G5993" t="str">
        <f>"716165"</f>
        <v>716165</v>
      </c>
      <c r="H5993" s="2">
        <f>20</f>
        <v>20</v>
      </c>
      <c r="I5993" t="s">
        <v>27</v>
      </c>
      <c r="J5993" t="s">
        <v>34</v>
      </c>
      <c r="K5993" t="str">
        <f>"121937"</f>
        <v>121937</v>
      </c>
    </row>
    <row r="5994" spans="1:11" x14ac:dyDescent="0.25">
      <c r="A5994">
        <v>2024</v>
      </c>
      <c r="B5994" t="s">
        <v>11106</v>
      </c>
      <c r="C5994" t="s">
        <v>11107</v>
      </c>
      <c r="D5994" t="s">
        <v>105</v>
      </c>
      <c r="E5994" t="s">
        <v>20</v>
      </c>
      <c r="F5994" t="str">
        <f>"43528-8322"</f>
        <v>43528-8322</v>
      </c>
      <c r="G5994" t="str">
        <f>"716165"</f>
        <v>716165</v>
      </c>
      <c r="H5994" s="2">
        <f>10</f>
        <v>10</v>
      </c>
      <c r="I5994" t="s">
        <v>27</v>
      </c>
      <c r="J5994" t="s">
        <v>34</v>
      </c>
      <c r="K5994" t="str">
        <f>"121295"</f>
        <v>121295</v>
      </c>
    </row>
    <row r="5995" spans="1:11" x14ac:dyDescent="0.25">
      <c r="A5995">
        <v>2024</v>
      </c>
      <c r="B5995" t="s">
        <v>11114</v>
      </c>
      <c r="C5995" t="s">
        <v>11115</v>
      </c>
      <c r="D5995" t="s">
        <v>19</v>
      </c>
      <c r="E5995" t="s">
        <v>20</v>
      </c>
      <c r="F5995" t="str">
        <f>"43615-3070"</f>
        <v>43615-3070</v>
      </c>
      <c r="G5995" t="str">
        <f>"716165"</f>
        <v>716165</v>
      </c>
      <c r="H5995" s="2">
        <f>40</f>
        <v>40</v>
      </c>
      <c r="I5995" t="s">
        <v>27</v>
      </c>
      <c r="J5995" t="s">
        <v>34</v>
      </c>
      <c r="K5995" t="str">
        <f>"124127"</f>
        <v>124127</v>
      </c>
    </row>
    <row r="5996" spans="1:11" x14ac:dyDescent="0.25">
      <c r="A5996">
        <v>2024</v>
      </c>
      <c r="B5996" t="s">
        <v>11118</v>
      </c>
      <c r="C5996" t="s">
        <v>11119</v>
      </c>
      <c r="D5996" t="s">
        <v>4326</v>
      </c>
      <c r="E5996" t="s">
        <v>20</v>
      </c>
      <c r="F5996" t="str">
        <f>"44131"</f>
        <v>44131</v>
      </c>
      <c r="G5996" t="str">
        <f>"716166"</f>
        <v>716166</v>
      </c>
      <c r="H5996" s="2">
        <f>12</f>
        <v>12</v>
      </c>
      <c r="I5996" t="s">
        <v>27</v>
      </c>
      <c r="J5996" t="s">
        <v>262</v>
      </c>
      <c r="K5996" t="str">
        <f>"42193"</f>
        <v>42193</v>
      </c>
    </row>
    <row r="5997" spans="1:11" x14ac:dyDescent="0.25">
      <c r="A5997">
        <v>2024</v>
      </c>
      <c r="B5997" t="s">
        <v>11120</v>
      </c>
      <c r="C5997" t="s">
        <v>11121</v>
      </c>
      <c r="D5997" t="s">
        <v>19</v>
      </c>
      <c r="E5997" t="s">
        <v>20</v>
      </c>
      <c r="F5997" t="str">
        <f>"43604"</f>
        <v>43604</v>
      </c>
      <c r="G5997" t="str">
        <f>"718470"</f>
        <v>718470</v>
      </c>
      <c r="H5997" s="2">
        <f>3.04</f>
        <v>3.04</v>
      </c>
      <c r="I5997" t="s">
        <v>27</v>
      </c>
      <c r="J5997" t="s">
        <v>34</v>
      </c>
      <c r="K5997" t="str">
        <f>"334721"</f>
        <v>334721</v>
      </c>
    </row>
    <row r="5998" spans="1:11" x14ac:dyDescent="0.25">
      <c r="A5998">
        <v>2024</v>
      </c>
      <c r="B5998" t="s">
        <v>11122</v>
      </c>
      <c r="C5998" t="s">
        <v>11123</v>
      </c>
      <c r="D5998" t="s">
        <v>383</v>
      </c>
      <c r="E5998" t="s">
        <v>20</v>
      </c>
      <c r="F5998" t="str">
        <f>"44333"</f>
        <v>44333</v>
      </c>
      <c r="G5998" t="str">
        <f>"701123"</f>
        <v>701123</v>
      </c>
      <c r="H5998" s="2">
        <f>55</f>
        <v>55</v>
      </c>
      <c r="I5998" t="s">
        <v>148</v>
      </c>
      <c r="J5998" t="s">
        <v>11124</v>
      </c>
      <c r="K5998" t="str">
        <f>"26769"</f>
        <v>26769</v>
      </c>
    </row>
    <row r="5999" spans="1:11" x14ac:dyDescent="0.25">
      <c r="A5999">
        <v>2024</v>
      </c>
      <c r="B5999" t="s">
        <v>11125</v>
      </c>
      <c r="C5999" t="s">
        <v>11126</v>
      </c>
      <c r="D5999" t="s">
        <v>19</v>
      </c>
      <c r="E5999" t="s">
        <v>20</v>
      </c>
      <c r="F5999" t="str">
        <f>"43606-1606"</f>
        <v>43606-1606</v>
      </c>
      <c r="G5999" t="str">
        <f t="shared" ref="G5999:G6004" si="210">"716165"</f>
        <v>716165</v>
      </c>
      <c r="H5999" s="2">
        <f>10</f>
        <v>10</v>
      </c>
      <c r="I5999" t="s">
        <v>27</v>
      </c>
      <c r="J5999" t="s">
        <v>34</v>
      </c>
      <c r="K5999" t="str">
        <f>"122324"</f>
        <v>122324</v>
      </c>
    </row>
    <row r="6000" spans="1:11" x14ac:dyDescent="0.25">
      <c r="A6000">
        <v>2024</v>
      </c>
      <c r="B6000" t="s">
        <v>11127</v>
      </c>
      <c r="C6000" t="s">
        <v>11128</v>
      </c>
      <c r="D6000" t="s">
        <v>19</v>
      </c>
      <c r="E6000" t="s">
        <v>20</v>
      </c>
      <c r="F6000" t="str">
        <f>"43606-2612"</f>
        <v>43606-2612</v>
      </c>
      <c r="G6000" t="str">
        <f t="shared" si="210"/>
        <v>716165</v>
      </c>
      <c r="H6000" s="2">
        <f>10</f>
        <v>10</v>
      </c>
      <c r="I6000" t="s">
        <v>27</v>
      </c>
      <c r="J6000" t="s">
        <v>34</v>
      </c>
      <c r="K6000" t="str">
        <f>"122585"</f>
        <v>122585</v>
      </c>
    </row>
    <row r="6001" spans="1:11" x14ac:dyDescent="0.25">
      <c r="A6001">
        <v>2024</v>
      </c>
      <c r="B6001" t="s">
        <v>11150</v>
      </c>
      <c r="C6001" t="s">
        <v>11151</v>
      </c>
      <c r="D6001" t="s">
        <v>19</v>
      </c>
      <c r="E6001" t="s">
        <v>20</v>
      </c>
      <c r="F6001" t="str">
        <f>"43612-4227"</f>
        <v>43612-4227</v>
      </c>
      <c r="G6001" t="str">
        <f t="shared" si="210"/>
        <v>716165</v>
      </c>
      <c r="H6001" s="2">
        <f>10</f>
        <v>10</v>
      </c>
      <c r="I6001" t="s">
        <v>27</v>
      </c>
      <c r="J6001" t="s">
        <v>34</v>
      </c>
      <c r="K6001" t="str">
        <f>"123799"</f>
        <v>123799</v>
      </c>
    </row>
    <row r="6002" spans="1:11" x14ac:dyDescent="0.25">
      <c r="A6002">
        <v>2024</v>
      </c>
      <c r="B6002" t="s">
        <v>11154</v>
      </c>
      <c r="C6002" t="s">
        <v>11155</v>
      </c>
      <c r="D6002" t="s">
        <v>19</v>
      </c>
      <c r="E6002" t="s">
        <v>20</v>
      </c>
      <c r="F6002" t="str">
        <f>"43613"</f>
        <v>43613</v>
      </c>
      <c r="G6002" t="str">
        <f t="shared" si="210"/>
        <v>716165</v>
      </c>
      <c r="H6002" s="2">
        <f>10</f>
        <v>10</v>
      </c>
      <c r="I6002" t="s">
        <v>27</v>
      </c>
      <c r="J6002" t="s">
        <v>34</v>
      </c>
      <c r="K6002" t="str">
        <f>"124253"</f>
        <v>124253</v>
      </c>
    </row>
    <row r="6003" spans="1:11" x14ac:dyDescent="0.25">
      <c r="A6003">
        <v>2024</v>
      </c>
      <c r="B6003" t="s">
        <v>11167</v>
      </c>
      <c r="C6003" t="s">
        <v>11168</v>
      </c>
      <c r="D6003" t="s">
        <v>125</v>
      </c>
      <c r="E6003" t="s">
        <v>20</v>
      </c>
      <c r="F6003" t="str">
        <f>"43537-8911"</f>
        <v>43537-8911</v>
      </c>
      <c r="G6003" t="str">
        <f t="shared" si="210"/>
        <v>716165</v>
      </c>
      <c r="H6003" s="2">
        <f>80</f>
        <v>80</v>
      </c>
      <c r="I6003" t="s">
        <v>27</v>
      </c>
      <c r="J6003" t="s">
        <v>34</v>
      </c>
      <c r="K6003" t="str">
        <f>"124444"</f>
        <v>124444</v>
      </c>
    </row>
    <row r="6004" spans="1:11" x14ac:dyDescent="0.25">
      <c r="A6004">
        <v>2024</v>
      </c>
      <c r="B6004" t="s">
        <v>11169</v>
      </c>
      <c r="C6004" t="s">
        <v>11170</v>
      </c>
      <c r="D6004" t="s">
        <v>19</v>
      </c>
      <c r="E6004" t="s">
        <v>20</v>
      </c>
      <c r="F6004" t="str">
        <f>"43611-2035"</f>
        <v>43611-2035</v>
      </c>
      <c r="G6004" t="str">
        <f t="shared" si="210"/>
        <v>716165</v>
      </c>
      <c r="H6004" s="2">
        <f>10</f>
        <v>10</v>
      </c>
      <c r="I6004" t="s">
        <v>27</v>
      </c>
      <c r="J6004" t="s">
        <v>34</v>
      </c>
      <c r="K6004" t="str">
        <f>"124363"</f>
        <v>124363</v>
      </c>
    </row>
    <row r="6005" spans="1:11" x14ac:dyDescent="0.25">
      <c r="A6005">
        <v>2024</v>
      </c>
      <c r="B6005" t="s">
        <v>11171</v>
      </c>
      <c r="C6005" t="s">
        <v>11172</v>
      </c>
      <c r="D6005" t="s">
        <v>19</v>
      </c>
      <c r="E6005" t="s">
        <v>20</v>
      </c>
      <c r="F6005" t="str">
        <f>"43604"</f>
        <v>43604</v>
      </c>
      <c r="G6005" t="str">
        <f>"701123"</f>
        <v>701123</v>
      </c>
      <c r="H6005" s="2">
        <f>12</f>
        <v>12</v>
      </c>
      <c r="I6005" t="s">
        <v>148</v>
      </c>
      <c r="J6005" t="s">
        <v>11173</v>
      </c>
      <c r="K6005" t="str">
        <f>"26769"</f>
        <v>26769</v>
      </c>
    </row>
    <row r="6006" spans="1:11" x14ac:dyDescent="0.25">
      <c r="A6006">
        <v>2024</v>
      </c>
      <c r="B6006" t="s">
        <v>11190</v>
      </c>
      <c r="C6006" t="s">
        <v>11191</v>
      </c>
      <c r="D6006" t="s">
        <v>19</v>
      </c>
      <c r="E6006" t="s">
        <v>20</v>
      </c>
      <c r="F6006" t="str">
        <f>"43611-2023"</f>
        <v>43611-2023</v>
      </c>
      <c r="G6006" t="str">
        <f>"716165"</f>
        <v>716165</v>
      </c>
      <c r="H6006" s="2">
        <f>10</f>
        <v>10</v>
      </c>
      <c r="I6006" t="s">
        <v>27</v>
      </c>
      <c r="J6006" t="s">
        <v>34</v>
      </c>
      <c r="K6006" t="str">
        <f>"124959"</f>
        <v>124959</v>
      </c>
    </row>
    <row r="6007" spans="1:11" x14ac:dyDescent="0.25">
      <c r="A6007">
        <v>2024</v>
      </c>
      <c r="B6007" t="s">
        <v>11236</v>
      </c>
      <c r="C6007" t="s">
        <v>11237</v>
      </c>
      <c r="D6007" t="s">
        <v>19</v>
      </c>
      <c r="E6007" t="s">
        <v>20</v>
      </c>
      <c r="F6007" t="str">
        <f>"43613"</f>
        <v>43613</v>
      </c>
      <c r="G6007" t="str">
        <f>"716166"</f>
        <v>716166</v>
      </c>
      <c r="H6007" s="2">
        <f>44.25</f>
        <v>44.25</v>
      </c>
      <c r="I6007" t="s">
        <v>27</v>
      </c>
      <c r="J6007" t="s">
        <v>262</v>
      </c>
      <c r="K6007" t="str">
        <f>"42794"</f>
        <v>42794</v>
      </c>
    </row>
    <row r="6008" spans="1:11" x14ac:dyDescent="0.25">
      <c r="A6008">
        <v>2024</v>
      </c>
      <c r="B6008" t="s">
        <v>11240</v>
      </c>
      <c r="C6008" t="s">
        <v>11241</v>
      </c>
      <c r="D6008" t="s">
        <v>7070</v>
      </c>
      <c r="E6008" t="s">
        <v>14</v>
      </c>
      <c r="F6008" t="str">
        <f t="shared" ref="F6008:F6018" si="211">"48103"</f>
        <v>48103</v>
      </c>
      <c r="G6008" t="str">
        <f t="shared" ref="G6008:G6018" si="212">"716619"</f>
        <v>716619</v>
      </c>
      <c r="H6008" s="2">
        <f>196.04</f>
        <v>196.04</v>
      </c>
      <c r="I6008" t="s">
        <v>27</v>
      </c>
      <c r="J6008" t="s">
        <v>34</v>
      </c>
      <c r="K6008" t="str">
        <f>"22026147"</f>
        <v>22026147</v>
      </c>
    </row>
    <row r="6009" spans="1:11" x14ac:dyDescent="0.25">
      <c r="A6009">
        <v>2024</v>
      </c>
      <c r="B6009" t="s">
        <v>11240</v>
      </c>
      <c r="C6009" t="s">
        <v>11241</v>
      </c>
      <c r="D6009" t="s">
        <v>7070</v>
      </c>
      <c r="E6009" t="s">
        <v>14</v>
      </c>
      <c r="F6009" t="str">
        <f t="shared" si="211"/>
        <v>48103</v>
      </c>
      <c r="G6009" t="str">
        <f t="shared" si="212"/>
        <v>716619</v>
      </c>
      <c r="H6009" s="2">
        <f>233.9</f>
        <v>233.9</v>
      </c>
      <c r="I6009" t="s">
        <v>27</v>
      </c>
      <c r="J6009" t="s">
        <v>34</v>
      </c>
      <c r="K6009" t="str">
        <f>"22026194"</f>
        <v>22026194</v>
      </c>
    </row>
    <row r="6010" spans="1:11" x14ac:dyDescent="0.25">
      <c r="A6010">
        <v>2024</v>
      </c>
      <c r="B6010" t="s">
        <v>11240</v>
      </c>
      <c r="C6010" t="s">
        <v>11241</v>
      </c>
      <c r="D6010" t="s">
        <v>7070</v>
      </c>
      <c r="E6010" t="s">
        <v>14</v>
      </c>
      <c r="F6010" t="str">
        <f t="shared" si="211"/>
        <v>48103</v>
      </c>
      <c r="G6010" t="str">
        <f t="shared" si="212"/>
        <v>716619</v>
      </c>
      <c r="H6010" s="2">
        <f>272.15</f>
        <v>272.14999999999998</v>
      </c>
      <c r="I6010" t="s">
        <v>27</v>
      </c>
      <c r="J6010" t="s">
        <v>34</v>
      </c>
      <c r="K6010" t="str">
        <f>"22026377"</f>
        <v>22026377</v>
      </c>
    </row>
    <row r="6011" spans="1:11" x14ac:dyDescent="0.25">
      <c r="A6011">
        <v>2024</v>
      </c>
      <c r="B6011" t="s">
        <v>11240</v>
      </c>
      <c r="C6011" t="s">
        <v>11241</v>
      </c>
      <c r="D6011" t="s">
        <v>7070</v>
      </c>
      <c r="E6011" t="s">
        <v>14</v>
      </c>
      <c r="F6011" t="str">
        <f t="shared" si="211"/>
        <v>48103</v>
      </c>
      <c r="G6011" t="str">
        <f t="shared" si="212"/>
        <v>716619</v>
      </c>
      <c r="H6011" s="2">
        <f>294.42</f>
        <v>294.42</v>
      </c>
      <c r="I6011" t="s">
        <v>27</v>
      </c>
      <c r="J6011" t="s">
        <v>34</v>
      </c>
      <c r="K6011" t="str">
        <f>"22026555"</f>
        <v>22026555</v>
      </c>
    </row>
    <row r="6012" spans="1:11" x14ac:dyDescent="0.25">
      <c r="A6012">
        <v>2024</v>
      </c>
      <c r="B6012" t="s">
        <v>11240</v>
      </c>
      <c r="C6012" t="s">
        <v>11241</v>
      </c>
      <c r="D6012" t="s">
        <v>7070</v>
      </c>
      <c r="E6012" t="s">
        <v>14</v>
      </c>
      <c r="F6012" t="str">
        <f t="shared" si="211"/>
        <v>48103</v>
      </c>
      <c r="G6012" t="str">
        <f t="shared" si="212"/>
        <v>716619</v>
      </c>
      <c r="H6012" s="2">
        <f>121.84</f>
        <v>121.84</v>
      </c>
      <c r="I6012" t="s">
        <v>27</v>
      </c>
      <c r="J6012" t="s">
        <v>34</v>
      </c>
      <c r="K6012" t="str">
        <f>"22026649"</f>
        <v>22026649</v>
      </c>
    </row>
    <row r="6013" spans="1:11" x14ac:dyDescent="0.25">
      <c r="A6013">
        <v>2024</v>
      </c>
      <c r="B6013" t="s">
        <v>11242</v>
      </c>
      <c r="C6013" t="s">
        <v>11241</v>
      </c>
      <c r="D6013" t="s">
        <v>7070</v>
      </c>
      <c r="E6013" t="s">
        <v>14</v>
      </c>
      <c r="F6013" t="str">
        <f t="shared" si="211"/>
        <v>48103</v>
      </c>
      <c r="G6013" t="str">
        <f t="shared" si="212"/>
        <v>716619</v>
      </c>
      <c r="H6013" s="2">
        <f>723.9</f>
        <v>723.9</v>
      </c>
      <c r="I6013" t="s">
        <v>27</v>
      </c>
      <c r="J6013" t="s">
        <v>34</v>
      </c>
      <c r="K6013" t="str">
        <f>"22026615"</f>
        <v>22026615</v>
      </c>
    </row>
    <row r="6014" spans="1:11" x14ac:dyDescent="0.25">
      <c r="A6014">
        <v>2024</v>
      </c>
      <c r="B6014" t="s">
        <v>11242</v>
      </c>
      <c r="C6014" t="s">
        <v>11241</v>
      </c>
      <c r="D6014" t="s">
        <v>7070</v>
      </c>
      <c r="E6014" t="s">
        <v>14</v>
      </c>
      <c r="F6014" t="str">
        <f t="shared" si="211"/>
        <v>48103</v>
      </c>
      <c r="G6014" t="str">
        <f t="shared" si="212"/>
        <v>716619</v>
      </c>
      <c r="H6014" s="2">
        <f>330.12</f>
        <v>330.12</v>
      </c>
      <c r="I6014" t="s">
        <v>27</v>
      </c>
      <c r="J6014" t="s">
        <v>34</v>
      </c>
      <c r="K6014" t="str">
        <f>"22026710"</f>
        <v>22026710</v>
      </c>
    </row>
    <row r="6015" spans="1:11" x14ac:dyDescent="0.25">
      <c r="A6015">
        <v>2024</v>
      </c>
      <c r="B6015" t="s">
        <v>11242</v>
      </c>
      <c r="C6015" t="s">
        <v>11241</v>
      </c>
      <c r="D6015" t="s">
        <v>7070</v>
      </c>
      <c r="E6015" t="s">
        <v>14</v>
      </c>
      <c r="F6015" t="str">
        <f t="shared" si="211"/>
        <v>48103</v>
      </c>
      <c r="G6015" t="str">
        <f t="shared" si="212"/>
        <v>716619</v>
      </c>
      <c r="H6015" s="2">
        <f>177.92</f>
        <v>177.92</v>
      </c>
      <c r="I6015" t="s">
        <v>27</v>
      </c>
      <c r="J6015" t="s">
        <v>34</v>
      </c>
      <c r="K6015" t="str">
        <f>"22026711"</f>
        <v>22026711</v>
      </c>
    </row>
    <row r="6016" spans="1:11" x14ac:dyDescent="0.25">
      <c r="A6016">
        <v>2024</v>
      </c>
      <c r="B6016" t="s">
        <v>11242</v>
      </c>
      <c r="C6016" t="s">
        <v>11241</v>
      </c>
      <c r="D6016" t="s">
        <v>7070</v>
      </c>
      <c r="E6016" t="s">
        <v>14</v>
      </c>
      <c r="F6016" t="str">
        <f t="shared" si="211"/>
        <v>48103</v>
      </c>
      <c r="G6016" t="str">
        <f t="shared" si="212"/>
        <v>716619</v>
      </c>
      <c r="H6016" s="2">
        <f>226.63</f>
        <v>226.63</v>
      </c>
      <c r="I6016" t="s">
        <v>27</v>
      </c>
      <c r="J6016" t="s">
        <v>34</v>
      </c>
      <c r="K6016" t="str">
        <f>"22026713"</f>
        <v>22026713</v>
      </c>
    </row>
    <row r="6017" spans="1:11" x14ac:dyDescent="0.25">
      <c r="A6017">
        <v>2024</v>
      </c>
      <c r="B6017" t="s">
        <v>11243</v>
      </c>
      <c r="C6017" t="s">
        <v>11241</v>
      </c>
      <c r="D6017" t="s">
        <v>7070</v>
      </c>
      <c r="E6017" t="s">
        <v>14</v>
      </c>
      <c r="F6017" t="str">
        <f t="shared" si="211"/>
        <v>48103</v>
      </c>
      <c r="G6017" t="str">
        <f t="shared" si="212"/>
        <v>716619</v>
      </c>
      <c r="H6017" s="2">
        <f>181.97</f>
        <v>181.97</v>
      </c>
      <c r="I6017" t="s">
        <v>27</v>
      </c>
      <c r="J6017" t="s">
        <v>34</v>
      </c>
      <c r="K6017" t="str">
        <f>"22026556"</f>
        <v>22026556</v>
      </c>
    </row>
    <row r="6018" spans="1:11" x14ac:dyDescent="0.25">
      <c r="A6018">
        <v>2024</v>
      </c>
      <c r="B6018" t="s">
        <v>11244</v>
      </c>
      <c r="C6018" t="s">
        <v>11241</v>
      </c>
      <c r="D6018" t="s">
        <v>7070</v>
      </c>
      <c r="E6018" t="s">
        <v>14</v>
      </c>
      <c r="F6018" t="str">
        <f t="shared" si="211"/>
        <v>48103</v>
      </c>
      <c r="G6018" t="str">
        <f t="shared" si="212"/>
        <v>716619</v>
      </c>
      <c r="H6018" s="2">
        <f>416.61</f>
        <v>416.61</v>
      </c>
      <c r="I6018" t="s">
        <v>27</v>
      </c>
      <c r="J6018" t="s">
        <v>34</v>
      </c>
      <c r="K6018" t="str">
        <f>"22026245"</f>
        <v>22026245</v>
      </c>
    </row>
    <row r="6019" spans="1:11" x14ac:dyDescent="0.25">
      <c r="A6019">
        <v>2024</v>
      </c>
      <c r="B6019" t="s">
        <v>11249</v>
      </c>
      <c r="C6019" t="s">
        <v>11250</v>
      </c>
      <c r="D6019" t="s">
        <v>19</v>
      </c>
      <c r="E6019" t="s">
        <v>20</v>
      </c>
      <c r="F6019" t="str">
        <f>"43610"</f>
        <v>43610</v>
      </c>
      <c r="G6019" t="str">
        <f>"716165"</f>
        <v>716165</v>
      </c>
      <c r="H6019" s="2">
        <f>20</f>
        <v>20</v>
      </c>
      <c r="I6019" t="s">
        <v>27</v>
      </c>
      <c r="J6019" t="s">
        <v>34</v>
      </c>
      <c r="K6019" t="str">
        <f>"124001"</f>
        <v>124001</v>
      </c>
    </row>
    <row r="6020" spans="1:11" x14ac:dyDescent="0.25">
      <c r="A6020">
        <v>2024</v>
      </c>
      <c r="B6020" t="s">
        <v>11269</v>
      </c>
      <c r="C6020" t="s">
        <v>11270</v>
      </c>
      <c r="D6020" t="s">
        <v>425</v>
      </c>
      <c r="E6020" t="s">
        <v>20</v>
      </c>
      <c r="F6020" t="str">
        <f>"44236"</f>
        <v>44236</v>
      </c>
      <c r="G6020" t="str">
        <f>"716166"</f>
        <v>716166</v>
      </c>
      <c r="H6020" s="2">
        <f>12</f>
        <v>12</v>
      </c>
      <c r="I6020" t="s">
        <v>27</v>
      </c>
      <c r="J6020" t="s">
        <v>262</v>
      </c>
      <c r="K6020" t="str">
        <f>"43287"</f>
        <v>43287</v>
      </c>
    </row>
    <row r="6021" spans="1:11" x14ac:dyDescent="0.25">
      <c r="A6021">
        <v>2024</v>
      </c>
      <c r="B6021" t="s">
        <v>11269</v>
      </c>
      <c r="C6021" t="s">
        <v>11271</v>
      </c>
      <c r="D6021" t="s">
        <v>111</v>
      </c>
      <c r="E6021" t="s">
        <v>20</v>
      </c>
      <c r="F6021" t="str">
        <f>"43215"</f>
        <v>43215</v>
      </c>
      <c r="G6021" t="str">
        <f>"716166"</f>
        <v>716166</v>
      </c>
      <c r="H6021" s="2">
        <f>125</f>
        <v>125</v>
      </c>
      <c r="I6021" t="s">
        <v>27</v>
      </c>
      <c r="J6021" t="s">
        <v>262</v>
      </c>
      <c r="K6021" t="str">
        <f>"42219"</f>
        <v>42219</v>
      </c>
    </row>
    <row r="6022" spans="1:11" x14ac:dyDescent="0.25">
      <c r="A6022">
        <v>2024</v>
      </c>
      <c r="B6022" t="s">
        <v>11276</v>
      </c>
      <c r="C6022" t="s">
        <v>11277</v>
      </c>
      <c r="D6022" t="s">
        <v>4433</v>
      </c>
      <c r="E6022" t="s">
        <v>20</v>
      </c>
      <c r="F6022" t="str">
        <f>"44720"</f>
        <v>44720</v>
      </c>
      <c r="G6022" t="str">
        <f>"Je12122024"</f>
        <v>Je12122024</v>
      </c>
      <c r="H6022" s="2">
        <f>756.34</f>
        <v>756.34</v>
      </c>
      <c r="I6022" t="s">
        <v>15</v>
      </c>
      <c r="J6022" t="s">
        <v>1326</v>
      </c>
      <c r="K6022" t="str">
        <f>"60133650"</f>
        <v>60133650</v>
      </c>
    </row>
    <row r="6023" spans="1:11" x14ac:dyDescent="0.25">
      <c r="A6023">
        <v>2024</v>
      </c>
      <c r="B6023" t="s">
        <v>11276</v>
      </c>
      <c r="C6023" t="s">
        <v>11277</v>
      </c>
      <c r="D6023" t="s">
        <v>4433</v>
      </c>
      <c r="E6023" t="s">
        <v>20</v>
      </c>
      <c r="F6023" t="str">
        <f>"44720"</f>
        <v>44720</v>
      </c>
      <c r="G6023" t="str">
        <f>"Je12122024"</f>
        <v>Je12122024</v>
      </c>
      <c r="H6023" s="2">
        <f>760.64</f>
        <v>760.64</v>
      </c>
      <c r="I6023" t="s">
        <v>15</v>
      </c>
      <c r="J6023" t="s">
        <v>1326</v>
      </c>
      <c r="K6023" t="str">
        <f>"60133651"</f>
        <v>60133651</v>
      </c>
    </row>
    <row r="6024" spans="1:11" x14ac:dyDescent="0.25">
      <c r="A6024">
        <v>2024</v>
      </c>
      <c r="B6024" t="s">
        <v>11280</v>
      </c>
      <c r="C6024" t="s">
        <v>11281</v>
      </c>
      <c r="D6024" t="s">
        <v>19</v>
      </c>
      <c r="E6024" t="s">
        <v>20</v>
      </c>
      <c r="F6024" t="str">
        <f>"43611-2211"</f>
        <v>43611-2211</v>
      </c>
      <c r="G6024" t="str">
        <f>"716165"</f>
        <v>716165</v>
      </c>
      <c r="H6024" s="2">
        <f>20</f>
        <v>20</v>
      </c>
      <c r="I6024" t="s">
        <v>27</v>
      </c>
      <c r="J6024" t="s">
        <v>34</v>
      </c>
      <c r="K6024" t="str">
        <f>"123639"</f>
        <v>123639</v>
      </c>
    </row>
    <row r="6025" spans="1:11" x14ac:dyDescent="0.25">
      <c r="A6025">
        <v>2024</v>
      </c>
      <c r="B6025" t="s">
        <v>11285</v>
      </c>
      <c r="C6025" t="s">
        <v>11286</v>
      </c>
      <c r="D6025" t="s">
        <v>50</v>
      </c>
      <c r="E6025" t="s">
        <v>20</v>
      </c>
      <c r="F6025" t="str">
        <f>"43560-3464"</f>
        <v>43560-3464</v>
      </c>
      <c r="G6025" t="str">
        <f>"716165"</f>
        <v>716165</v>
      </c>
      <c r="H6025" s="2">
        <f>20</f>
        <v>20</v>
      </c>
      <c r="I6025" t="s">
        <v>27</v>
      </c>
      <c r="J6025" t="s">
        <v>34</v>
      </c>
      <c r="K6025" t="str">
        <f>"122497"</f>
        <v>122497</v>
      </c>
    </row>
    <row r="6026" spans="1:11" x14ac:dyDescent="0.25">
      <c r="A6026">
        <v>2024</v>
      </c>
      <c r="B6026" t="s">
        <v>11287</v>
      </c>
      <c r="C6026" t="s">
        <v>11288</v>
      </c>
      <c r="D6026" t="s">
        <v>19</v>
      </c>
      <c r="E6026" t="s">
        <v>20</v>
      </c>
      <c r="F6026" t="str">
        <f>"43623"</f>
        <v>43623</v>
      </c>
      <c r="G6026" t="str">
        <f>"719211"</f>
        <v>719211</v>
      </c>
      <c r="H6026" s="2">
        <f>450</f>
        <v>450</v>
      </c>
      <c r="I6026" t="s">
        <v>27</v>
      </c>
      <c r="J6026" t="s">
        <v>200</v>
      </c>
      <c r="K6026" t="str">
        <f>"N/A"</f>
        <v>N/A</v>
      </c>
    </row>
    <row r="6027" spans="1:11" x14ac:dyDescent="0.25">
      <c r="A6027">
        <v>2024</v>
      </c>
      <c r="B6027" t="s">
        <v>11299</v>
      </c>
      <c r="C6027" t="s">
        <v>11300</v>
      </c>
      <c r="D6027" t="s">
        <v>19</v>
      </c>
      <c r="E6027" t="s">
        <v>20</v>
      </c>
      <c r="F6027" t="str">
        <f>"43613-4302"</f>
        <v>43613-4302</v>
      </c>
      <c r="G6027" t="str">
        <f>"716165"</f>
        <v>716165</v>
      </c>
      <c r="H6027" s="2">
        <f>20</f>
        <v>20</v>
      </c>
      <c r="I6027" t="s">
        <v>27</v>
      </c>
      <c r="J6027" t="s">
        <v>34</v>
      </c>
      <c r="K6027" t="str">
        <f>"122830"</f>
        <v>122830</v>
      </c>
    </row>
    <row r="6028" spans="1:11" x14ac:dyDescent="0.25">
      <c r="A6028">
        <v>2024</v>
      </c>
      <c r="B6028" t="s">
        <v>11317</v>
      </c>
      <c r="C6028" t="s">
        <v>11318</v>
      </c>
      <c r="D6028" t="s">
        <v>45</v>
      </c>
      <c r="E6028" t="s">
        <v>20</v>
      </c>
      <c r="F6028" t="str">
        <f>"43542-8301"</f>
        <v>43542-8301</v>
      </c>
      <c r="G6028" t="str">
        <f>"716165"</f>
        <v>716165</v>
      </c>
      <c r="H6028" s="2">
        <f>40</f>
        <v>40</v>
      </c>
      <c r="I6028" t="s">
        <v>27</v>
      </c>
      <c r="J6028" t="s">
        <v>34</v>
      </c>
      <c r="K6028" t="str">
        <f>"121724"</f>
        <v>121724</v>
      </c>
    </row>
    <row r="6029" spans="1:11" x14ac:dyDescent="0.25">
      <c r="A6029">
        <v>2024</v>
      </c>
      <c r="B6029" t="s">
        <v>11323</v>
      </c>
      <c r="C6029" t="s">
        <v>11324</v>
      </c>
      <c r="D6029" t="s">
        <v>19</v>
      </c>
      <c r="E6029" t="s">
        <v>20</v>
      </c>
      <c r="F6029" t="str">
        <f>"43612-1447"</f>
        <v>43612-1447</v>
      </c>
      <c r="G6029" t="str">
        <f>"716165"</f>
        <v>716165</v>
      </c>
      <c r="H6029" s="2">
        <f>40</f>
        <v>40</v>
      </c>
      <c r="I6029" t="s">
        <v>27</v>
      </c>
      <c r="J6029" t="s">
        <v>34</v>
      </c>
      <c r="K6029" t="str">
        <f>"124183"</f>
        <v>124183</v>
      </c>
    </row>
    <row r="6030" spans="1:11" x14ac:dyDescent="0.25">
      <c r="A6030">
        <v>2024</v>
      </c>
      <c r="B6030" t="s">
        <v>11327</v>
      </c>
      <c r="C6030" t="s">
        <v>11328</v>
      </c>
      <c r="D6030" t="s">
        <v>19</v>
      </c>
      <c r="E6030" t="s">
        <v>20</v>
      </c>
      <c r="F6030" t="str">
        <f>"43612-3337"</f>
        <v>43612-3337</v>
      </c>
      <c r="G6030" t="str">
        <f>"716165"</f>
        <v>716165</v>
      </c>
      <c r="H6030" s="2">
        <f>10</f>
        <v>10</v>
      </c>
      <c r="I6030" t="s">
        <v>27</v>
      </c>
      <c r="J6030" t="s">
        <v>34</v>
      </c>
      <c r="K6030" t="str">
        <f>"121941"</f>
        <v>121941</v>
      </c>
    </row>
    <row r="6031" spans="1:11" x14ac:dyDescent="0.25">
      <c r="A6031">
        <v>2024</v>
      </c>
      <c r="B6031" t="s">
        <v>11334</v>
      </c>
      <c r="C6031" t="s">
        <v>11335</v>
      </c>
      <c r="D6031" t="s">
        <v>19</v>
      </c>
      <c r="E6031" t="s">
        <v>20</v>
      </c>
      <c r="F6031" t="str">
        <f>"43608-1228"</f>
        <v>43608-1228</v>
      </c>
      <c r="G6031" t="str">
        <f>"716165"</f>
        <v>716165</v>
      </c>
      <c r="H6031" s="2">
        <f>10</f>
        <v>10</v>
      </c>
      <c r="I6031" t="s">
        <v>27</v>
      </c>
      <c r="J6031" t="s">
        <v>34</v>
      </c>
      <c r="K6031" t="str">
        <f>"123417"</f>
        <v>123417</v>
      </c>
    </row>
    <row r="6032" spans="1:11" x14ac:dyDescent="0.25">
      <c r="A6032">
        <v>2024</v>
      </c>
      <c r="B6032" t="s">
        <v>11358</v>
      </c>
      <c r="C6032" t="s">
        <v>11359</v>
      </c>
      <c r="D6032" t="s">
        <v>19</v>
      </c>
      <c r="E6032" t="s">
        <v>20</v>
      </c>
      <c r="F6032" t="str">
        <f>"43612"</f>
        <v>43612</v>
      </c>
      <c r="G6032" t="str">
        <f>"718470"</f>
        <v>718470</v>
      </c>
      <c r="H6032" s="2">
        <f>8.65</f>
        <v>8.65</v>
      </c>
      <c r="I6032" t="s">
        <v>27</v>
      </c>
      <c r="J6032" t="s">
        <v>34</v>
      </c>
      <c r="K6032" t="str">
        <f>"334568"</f>
        <v>334568</v>
      </c>
    </row>
    <row r="6033" spans="1:11" x14ac:dyDescent="0.25">
      <c r="A6033">
        <v>2024</v>
      </c>
      <c r="B6033" t="s">
        <v>11373</v>
      </c>
      <c r="C6033" t="s">
        <v>11374</v>
      </c>
      <c r="D6033" t="s">
        <v>19</v>
      </c>
      <c r="E6033" t="s">
        <v>20</v>
      </c>
      <c r="F6033" t="str">
        <f>"43620-1427"</f>
        <v>43620-1427</v>
      </c>
      <c r="G6033" t="str">
        <f>"716165"</f>
        <v>716165</v>
      </c>
      <c r="H6033" s="2">
        <f>40</f>
        <v>40</v>
      </c>
      <c r="I6033" t="s">
        <v>27</v>
      </c>
      <c r="J6033" t="s">
        <v>34</v>
      </c>
      <c r="K6033" t="str">
        <f>"123854"</f>
        <v>123854</v>
      </c>
    </row>
    <row r="6034" spans="1:11" x14ac:dyDescent="0.25">
      <c r="A6034">
        <v>2024</v>
      </c>
      <c r="B6034" t="s">
        <v>11395</v>
      </c>
      <c r="C6034" t="s">
        <v>11396</v>
      </c>
      <c r="D6034" t="s">
        <v>19</v>
      </c>
      <c r="E6034" t="s">
        <v>20</v>
      </c>
      <c r="F6034" t="str">
        <f>"43606"</f>
        <v>43606</v>
      </c>
      <c r="G6034" t="str">
        <f>"716619"</f>
        <v>716619</v>
      </c>
      <c r="H6034" s="2">
        <f>7.04</f>
        <v>7.04</v>
      </c>
      <c r="I6034" t="s">
        <v>27</v>
      </c>
      <c r="J6034" t="s">
        <v>34</v>
      </c>
      <c r="K6034" t="str">
        <f>"22026755"</f>
        <v>22026755</v>
      </c>
    </row>
    <row r="6035" spans="1:11" x14ac:dyDescent="0.25">
      <c r="A6035">
        <v>2024</v>
      </c>
      <c r="B6035" t="s">
        <v>11409</v>
      </c>
      <c r="C6035" t="s">
        <v>11410</v>
      </c>
      <c r="D6035" t="s">
        <v>19</v>
      </c>
      <c r="E6035" t="s">
        <v>20</v>
      </c>
      <c r="F6035" t="str">
        <f>"43608-1229"</f>
        <v>43608-1229</v>
      </c>
      <c r="G6035" t="str">
        <f>"716165"</f>
        <v>716165</v>
      </c>
      <c r="H6035" s="2">
        <f>20</f>
        <v>20</v>
      </c>
      <c r="I6035" t="s">
        <v>27</v>
      </c>
      <c r="J6035" t="s">
        <v>34</v>
      </c>
      <c r="K6035" t="str">
        <f>"123600"</f>
        <v>123600</v>
      </c>
    </row>
    <row r="6036" spans="1:11" x14ac:dyDescent="0.25">
      <c r="A6036">
        <v>2024</v>
      </c>
      <c r="B6036" t="s">
        <v>11420</v>
      </c>
      <c r="C6036" t="s">
        <v>11421</v>
      </c>
      <c r="D6036" t="s">
        <v>164</v>
      </c>
      <c r="E6036" t="s">
        <v>20</v>
      </c>
      <c r="F6036" t="str">
        <f>"43558-9482"</f>
        <v>43558-9482</v>
      </c>
      <c r="G6036" t="str">
        <f>"716165"</f>
        <v>716165</v>
      </c>
      <c r="H6036" s="2">
        <f>30</f>
        <v>30</v>
      </c>
      <c r="I6036" t="s">
        <v>27</v>
      </c>
      <c r="J6036" t="s">
        <v>34</v>
      </c>
      <c r="K6036" t="str">
        <f>"123950"</f>
        <v>123950</v>
      </c>
    </row>
    <row r="6037" spans="1:11" x14ac:dyDescent="0.25">
      <c r="A6037">
        <v>2024</v>
      </c>
      <c r="B6037" t="s">
        <v>11438</v>
      </c>
      <c r="C6037" t="s">
        <v>11440</v>
      </c>
      <c r="D6037" t="s">
        <v>19</v>
      </c>
      <c r="E6037" t="s">
        <v>20</v>
      </c>
      <c r="F6037" t="str">
        <f>"43615"</f>
        <v>43615</v>
      </c>
      <c r="G6037" t="str">
        <f>"716619"</f>
        <v>716619</v>
      </c>
      <c r="H6037" s="2">
        <f>15</f>
        <v>15</v>
      </c>
      <c r="I6037" t="s">
        <v>27</v>
      </c>
      <c r="J6037" t="s">
        <v>34</v>
      </c>
      <c r="K6037" t="str">
        <f>"33012778"</f>
        <v>33012778</v>
      </c>
    </row>
    <row r="6038" spans="1:11" x14ac:dyDescent="0.25">
      <c r="A6038">
        <v>2024</v>
      </c>
      <c r="B6038" t="s">
        <v>11438</v>
      </c>
      <c r="C6038" t="s">
        <v>11440</v>
      </c>
      <c r="D6038" t="s">
        <v>19</v>
      </c>
      <c r="E6038" t="s">
        <v>20</v>
      </c>
      <c r="F6038" t="str">
        <f>"43615"</f>
        <v>43615</v>
      </c>
      <c r="G6038" t="str">
        <f>"716619"</f>
        <v>716619</v>
      </c>
      <c r="H6038" s="2">
        <f>15</f>
        <v>15</v>
      </c>
      <c r="I6038" t="s">
        <v>27</v>
      </c>
      <c r="J6038" t="s">
        <v>34</v>
      </c>
      <c r="K6038" t="str">
        <f>"33012602"</f>
        <v>33012602</v>
      </c>
    </row>
    <row r="6039" spans="1:11" x14ac:dyDescent="0.25">
      <c r="A6039">
        <v>2024</v>
      </c>
      <c r="B6039" t="s">
        <v>11441</v>
      </c>
      <c r="C6039" t="s">
        <v>11442</v>
      </c>
      <c r="D6039" t="s">
        <v>19</v>
      </c>
      <c r="E6039" t="s">
        <v>20</v>
      </c>
      <c r="F6039" t="str">
        <f>"43606"</f>
        <v>43606</v>
      </c>
      <c r="G6039" t="str">
        <f>"716165"</f>
        <v>716165</v>
      </c>
      <c r="H6039" s="2">
        <f>20</f>
        <v>20</v>
      </c>
      <c r="I6039" t="s">
        <v>27</v>
      </c>
      <c r="J6039" t="s">
        <v>34</v>
      </c>
      <c r="K6039" t="str">
        <f>"123102"</f>
        <v>123102</v>
      </c>
    </row>
    <row r="6040" spans="1:11" x14ac:dyDescent="0.25">
      <c r="A6040">
        <v>2024</v>
      </c>
      <c r="B6040" t="s">
        <v>11449</v>
      </c>
      <c r="C6040" t="s">
        <v>11450</v>
      </c>
      <c r="D6040" t="s">
        <v>19</v>
      </c>
      <c r="E6040" t="s">
        <v>20</v>
      </c>
      <c r="F6040" t="str">
        <f>"43613-5239"</f>
        <v>43613-5239</v>
      </c>
      <c r="G6040" t="str">
        <f>"716165"</f>
        <v>716165</v>
      </c>
      <c r="H6040" s="2">
        <f>10</f>
        <v>10</v>
      </c>
      <c r="I6040" t="s">
        <v>27</v>
      </c>
      <c r="J6040" t="s">
        <v>34</v>
      </c>
      <c r="K6040" t="str">
        <f>"125136"</f>
        <v>125136</v>
      </c>
    </row>
    <row r="6041" spans="1:11" x14ac:dyDescent="0.25">
      <c r="A6041">
        <v>2024</v>
      </c>
      <c r="B6041" t="s">
        <v>11462</v>
      </c>
      <c r="C6041" t="s">
        <v>11463</v>
      </c>
      <c r="D6041" t="s">
        <v>11464</v>
      </c>
      <c r="E6041" t="s">
        <v>923</v>
      </c>
      <c r="F6041" t="str">
        <f>"94513"</f>
        <v>94513</v>
      </c>
      <c r="G6041" t="str">
        <f>"Je10112024"</f>
        <v>Je10112024</v>
      </c>
      <c r="H6041" s="2">
        <f>113.44</f>
        <v>113.44</v>
      </c>
      <c r="I6041" t="s">
        <v>15</v>
      </c>
      <c r="J6041" t="s">
        <v>205</v>
      </c>
      <c r="K6041" t="str">
        <f>"60129085"</f>
        <v>60129085</v>
      </c>
    </row>
    <row r="6042" spans="1:11" x14ac:dyDescent="0.25">
      <c r="A6042">
        <v>2024</v>
      </c>
      <c r="B6042" t="s">
        <v>11502</v>
      </c>
      <c r="C6042" t="s">
        <v>11503</v>
      </c>
      <c r="D6042" t="s">
        <v>19</v>
      </c>
      <c r="E6042" t="s">
        <v>20</v>
      </c>
      <c r="F6042" t="str">
        <f>"43607"</f>
        <v>43607</v>
      </c>
      <c r="G6042" t="str">
        <f>"716619"</f>
        <v>716619</v>
      </c>
      <c r="H6042" s="2">
        <f>3</f>
        <v>3</v>
      </c>
      <c r="I6042" t="s">
        <v>27</v>
      </c>
      <c r="J6042" t="s">
        <v>34</v>
      </c>
      <c r="K6042" t="str">
        <f>"11004647"</f>
        <v>11004647</v>
      </c>
    </row>
    <row r="6043" spans="1:11" x14ac:dyDescent="0.25">
      <c r="A6043">
        <v>2024</v>
      </c>
      <c r="B6043" t="s">
        <v>11510</v>
      </c>
      <c r="C6043" t="s">
        <v>11511</v>
      </c>
      <c r="D6043" t="s">
        <v>323</v>
      </c>
      <c r="E6043" t="s">
        <v>20</v>
      </c>
      <c r="F6043" t="str">
        <f>"43571-9013"</f>
        <v>43571-9013</v>
      </c>
      <c r="G6043" t="str">
        <f>"716165"</f>
        <v>716165</v>
      </c>
      <c r="H6043" s="2">
        <f>10</f>
        <v>10</v>
      </c>
      <c r="I6043" t="s">
        <v>27</v>
      </c>
      <c r="J6043" t="s">
        <v>34</v>
      </c>
      <c r="K6043" t="str">
        <f>"121248"</f>
        <v>121248</v>
      </c>
    </row>
    <row r="6044" spans="1:11" x14ac:dyDescent="0.25">
      <c r="A6044">
        <v>2024</v>
      </c>
      <c r="B6044" t="s">
        <v>11516</v>
      </c>
      <c r="C6044" t="s">
        <v>11517</v>
      </c>
      <c r="D6044" t="s">
        <v>19</v>
      </c>
      <c r="E6044" t="s">
        <v>20</v>
      </c>
      <c r="F6044" t="str">
        <f>"43613"</f>
        <v>43613</v>
      </c>
      <c r="G6044" t="str">
        <f>"716165"</f>
        <v>716165</v>
      </c>
      <c r="H6044" s="2">
        <f>20</f>
        <v>20</v>
      </c>
      <c r="I6044" t="s">
        <v>27</v>
      </c>
      <c r="J6044" t="s">
        <v>34</v>
      </c>
      <c r="K6044" t="str">
        <f>"123070"</f>
        <v>123070</v>
      </c>
    </row>
    <row r="6045" spans="1:11" x14ac:dyDescent="0.25">
      <c r="A6045">
        <v>2024</v>
      </c>
      <c r="B6045" t="s">
        <v>11525</v>
      </c>
      <c r="C6045" t="s">
        <v>11526</v>
      </c>
      <c r="D6045" t="s">
        <v>19</v>
      </c>
      <c r="E6045" t="s">
        <v>20</v>
      </c>
      <c r="F6045" t="str">
        <f>"43604"</f>
        <v>43604</v>
      </c>
      <c r="G6045" t="str">
        <f>"716166"</f>
        <v>716166</v>
      </c>
      <c r="H6045" s="2">
        <f>20</f>
        <v>20</v>
      </c>
      <c r="I6045" t="s">
        <v>27</v>
      </c>
      <c r="J6045" t="s">
        <v>262</v>
      </c>
      <c r="K6045" t="str">
        <f>"41474"</f>
        <v>41474</v>
      </c>
    </row>
    <row r="6046" spans="1:11" x14ac:dyDescent="0.25">
      <c r="A6046">
        <v>2024</v>
      </c>
      <c r="B6046" t="s">
        <v>11539</v>
      </c>
      <c r="C6046" t="s">
        <v>11540</v>
      </c>
      <c r="D6046" t="s">
        <v>19</v>
      </c>
      <c r="E6046" t="s">
        <v>20</v>
      </c>
      <c r="F6046" t="str">
        <f>"43614"</f>
        <v>43614</v>
      </c>
      <c r="G6046" t="str">
        <f>"Je08072024"</f>
        <v>Je08072024</v>
      </c>
      <c r="H6046" s="2">
        <f>125.62</f>
        <v>125.62</v>
      </c>
      <c r="I6046" t="s">
        <v>15</v>
      </c>
      <c r="J6046" t="s">
        <v>1647</v>
      </c>
      <c r="K6046" t="str">
        <f>"60115819"</f>
        <v>60115819</v>
      </c>
    </row>
    <row r="6047" spans="1:11" x14ac:dyDescent="0.25">
      <c r="A6047">
        <v>2024</v>
      </c>
      <c r="B6047" t="s">
        <v>11549</v>
      </c>
      <c r="C6047" t="s">
        <v>11550</v>
      </c>
      <c r="D6047" t="s">
        <v>19</v>
      </c>
      <c r="E6047" t="s">
        <v>20</v>
      </c>
      <c r="F6047" t="str">
        <f>"43604"</f>
        <v>43604</v>
      </c>
      <c r="G6047" t="str">
        <f>"716166"</f>
        <v>716166</v>
      </c>
      <c r="H6047" s="2">
        <f>2.64</f>
        <v>2.64</v>
      </c>
      <c r="I6047" t="s">
        <v>27</v>
      </c>
      <c r="J6047" t="s">
        <v>262</v>
      </c>
      <c r="K6047" t="str">
        <f>"42054"</f>
        <v>42054</v>
      </c>
    </row>
    <row r="6048" spans="1:11" x14ac:dyDescent="0.25">
      <c r="A6048">
        <v>2024</v>
      </c>
      <c r="B6048" t="s">
        <v>11553</v>
      </c>
      <c r="C6048" t="s">
        <v>11554</v>
      </c>
      <c r="D6048" t="s">
        <v>10854</v>
      </c>
      <c r="E6048" t="s">
        <v>418</v>
      </c>
      <c r="F6048" t="str">
        <f>"60197"</f>
        <v>60197</v>
      </c>
      <c r="G6048" t="str">
        <f>"Je12122024"</f>
        <v>Je12122024</v>
      </c>
      <c r="H6048" s="2">
        <f>54.76</f>
        <v>54.76</v>
      </c>
      <c r="I6048" t="s">
        <v>15</v>
      </c>
      <c r="J6048" t="s">
        <v>1326</v>
      </c>
      <c r="K6048" t="str">
        <f>"60133592"</f>
        <v>60133592</v>
      </c>
    </row>
    <row r="6049" spans="1:11" x14ac:dyDescent="0.25">
      <c r="A6049">
        <v>2024</v>
      </c>
      <c r="B6049" t="s">
        <v>11557</v>
      </c>
      <c r="C6049" t="s">
        <v>11558</v>
      </c>
      <c r="D6049" t="s">
        <v>19</v>
      </c>
      <c r="E6049" t="s">
        <v>20</v>
      </c>
      <c r="F6049" t="str">
        <f>"43613"</f>
        <v>43613</v>
      </c>
      <c r="G6049" t="str">
        <f>"716619"</f>
        <v>716619</v>
      </c>
      <c r="H6049" s="2">
        <f>5</f>
        <v>5</v>
      </c>
      <c r="I6049" t="s">
        <v>27</v>
      </c>
      <c r="J6049" t="s">
        <v>34</v>
      </c>
      <c r="K6049" t="str">
        <f>"11004501"</f>
        <v>11004501</v>
      </c>
    </row>
    <row r="6050" spans="1:11" x14ac:dyDescent="0.25">
      <c r="A6050">
        <v>2024</v>
      </c>
      <c r="B6050" t="s">
        <v>11562</v>
      </c>
      <c r="C6050" t="s">
        <v>11563</v>
      </c>
      <c r="D6050" t="s">
        <v>19</v>
      </c>
      <c r="E6050" t="s">
        <v>20</v>
      </c>
      <c r="F6050" t="str">
        <f>"43614-5638"</f>
        <v>43614-5638</v>
      </c>
      <c r="G6050" t="str">
        <f>"Je12122024"</f>
        <v>Je12122024</v>
      </c>
      <c r="H6050" s="2">
        <f>291</f>
        <v>291</v>
      </c>
      <c r="I6050" t="s">
        <v>15</v>
      </c>
      <c r="J6050" t="s">
        <v>1326</v>
      </c>
      <c r="K6050" t="str">
        <f>"60140538"</f>
        <v>60140538</v>
      </c>
    </row>
    <row r="6051" spans="1:11" x14ac:dyDescent="0.25">
      <c r="A6051">
        <v>2024</v>
      </c>
      <c r="B6051" t="s">
        <v>11571</v>
      </c>
      <c r="C6051" t="s">
        <v>11572</v>
      </c>
      <c r="D6051" t="s">
        <v>19</v>
      </c>
      <c r="E6051" t="s">
        <v>20</v>
      </c>
      <c r="F6051" t="str">
        <f>"43623-2758"</f>
        <v>43623-2758</v>
      </c>
      <c r="G6051" t="str">
        <f>"716165"</f>
        <v>716165</v>
      </c>
      <c r="H6051" s="2">
        <f>10</f>
        <v>10</v>
      </c>
      <c r="I6051" t="s">
        <v>27</v>
      </c>
      <c r="J6051" t="s">
        <v>34</v>
      </c>
      <c r="K6051" t="str">
        <f>"121249"</f>
        <v>121249</v>
      </c>
    </row>
    <row r="6052" spans="1:11" x14ac:dyDescent="0.25">
      <c r="A6052">
        <v>2024</v>
      </c>
      <c r="B6052" t="s">
        <v>11573</v>
      </c>
      <c r="C6052" t="s">
        <v>11574</v>
      </c>
      <c r="D6052" t="s">
        <v>50</v>
      </c>
      <c r="E6052" t="s">
        <v>20</v>
      </c>
      <c r="F6052" t="str">
        <f>"43560-1315"</f>
        <v>43560-1315</v>
      </c>
      <c r="G6052" t="str">
        <f>"716165"</f>
        <v>716165</v>
      </c>
      <c r="H6052" s="2">
        <f>10</f>
        <v>10</v>
      </c>
      <c r="I6052" t="s">
        <v>27</v>
      </c>
      <c r="J6052" t="s">
        <v>34</v>
      </c>
      <c r="K6052" t="str">
        <f>"121943"</f>
        <v>121943</v>
      </c>
    </row>
    <row r="6053" spans="1:11" x14ac:dyDescent="0.25">
      <c r="A6053">
        <v>2024</v>
      </c>
      <c r="B6053" t="s">
        <v>11577</v>
      </c>
      <c r="C6053" t="s">
        <v>11578</v>
      </c>
      <c r="D6053" t="s">
        <v>19</v>
      </c>
      <c r="E6053" t="s">
        <v>20</v>
      </c>
      <c r="F6053" t="str">
        <f>"43615"</f>
        <v>43615</v>
      </c>
      <c r="G6053" t="str">
        <f>"718470"</f>
        <v>718470</v>
      </c>
      <c r="H6053" s="2">
        <f>33.54</f>
        <v>33.54</v>
      </c>
      <c r="I6053" t="s">
        <v>27</v>
      </c>
      <c r="J6053" t="s">
        <v>34</v>
      </c>
      <c r="K6053" t="str">
        <f>"334637"</f>
        <v>334637</v>
      </c>
    </row>
    <row r="6054" spans="1:11" x14ac:dyDescent="0.25">
      <c r="A6054">
        <v>2024</v>
      </c>
      <c r="B6054" t="s">
        <v>11597</v>
      </c>
      <c r="C6054" t="s">
        <v>1569</v>
      </c>
      <c r="D6054" t="s">
        <v>19</v>
      </c>
      <c r="E6054" t="s">
        <v>20</v>
      </c>
      <c r="F6054" t="str">
        <f>"43604"</f>
        <v>43604</v>
      </c>
      <c r="G6054" t="str">
        <f>"701123"</f>
        <v>701123</v>
      </c>
      <c r="H6054" s="2">
        <f>10</f>
        <v>10</v>
      </c>
      <c r="I6054" t="s">
        <v>148</v>
      </c>
      <c r="J6054" t="s">
        <v>11598</v>
      </c>
      <c r="K6054" t="str">
        <f>"26769"</f>
        <v>26769</v>
      </c>
    </row>
    <row r="6055" spans="1:11" x14ac:dyDescent="0.25">
      <c r="A6055">
        <v>2024</v>
      </c>
      <c r="B6055" t="s">
        <v>11615</v>
      </c>
      <c r="C6055" t="s">
        <v>11616</v>
      </c>
      <c r="D6055" t="s">
        <v>19</v>
      </c>
      <c r="E6055" t="s">
        <v>20</v>
      </c>
      <c r="F6055" t="str">
        <f>"43613-3279"</f>
        <v>43613-3279</v>
      </c>
      <c r="G6055" t="str">
        <f>"716165"</f>
        <v>716165</v>
      </c>
      <c r="H6055" s="2">
        <f>10</f>
        <v>10</v>
      </c>
      <c r="I6055" t="s">
        <v>27</v>
      </c>
      <c r="J6055" t="s">
        <v>34</v>
      </c>
      <c r="K6055" t="str">
        <f>"122809"</f>
        <v>122809</v>
      </c>
    </row>
    <row r="6056" spans="1:11" x14ac:dyDescent="0.25">
      <c r="A6056">
        <v>2024</v>
      </c>
      <c r="B6056" t="s">
        <v>11617</v>
      </c>
      <c r="C6056" t="s">
        <v>11618</v>
      </c>
      <c r="D6056" t="s">
        <v>19</v>
      </c>
      <c r="E6056" t="s">
        <v>20</v>
      </c>
      <c r="F6056" t="str">
        <f>"43615-2242"</f>
        <v>43615-2242</v>
      </c>
      <c r="G6056" t="str">
        <f>"716165"</f>
        <v>716165</v>
      </c>
      <c r="H6056" s="2">
        <f>10</f>
        <v>10</v>
      </c>
      <c r="I6056" t="s">
        <v>27</v>
      </c>
      <c r="J6056" t="s">
        <v>34</v>
      </c>
      <c r="K6056" t="str">
        <f>"124375"</f>
        <v>124375</v>
      </c>
    </row>
    <row r="6057" spans="1:11" x14ac:dyDescent="0.25">
      <c r="A6057">
        <v>2024</v>
      </c>
      <c r="B6057" t="s">
        <v>11619</v>
      </c>
      <c r="C6057" t="s">
        <v>11620</v>
      </c>
      <c r="D6057" t="s">
        <v>125</v>
      </c>
      <c r="E6057" t="s">
        <v>20</v>
      </c>
      <c r="F6057" t="str">
        <f>"43537-2051"</f>
        <v>43537-2051</v>
      </c>
      <c r="G6057" t="str">
        <f>"716165"</f>
        <v>716165</v>
      </c>
      <c r="H6057" s="2">
        <f>10</f>
        <v>10</v>
      </c>
      <c r="I6057" t="s">
        <v>27</v>
      </c>
      <c r="J6057" t="s">
        <v>34</v>
      </c>
      <c r="K6057" t="str">
        <f>"123405"</f>
        <v>123405</v>
      </c>
    </row>
    <row r="6058" spans="1:11" x14ac:dyDescent="0.25">
      <c r="A6058">
        <v>2024</v>
      </c>
      <c r="B6058" t="s">
        <v>11625</v>
      </c>
      <c r="C6058" t="s">
        <v>11626</v>
      </c>
      <c r="D6058" t="s">
        <v>19</v>
      </c>
      <c r="E6058" t="s">
        <v>20</v>
      </c>
      <c r="F6058" t="str">
        <f>"43604"</f>
        <v>43604</v>
      </c>
      <c r="G6058" t="str">
        <f>"701123"</f>
        <v>701123</v>
      </c>
      <c r="H6058" s="2">
        <f>10</f>
        <v>10</v>
      </c>
      <c r="I6058" t="s">
        <v>148</v>
      </c>
      <c r="J6058" t="s">
        <v>11627</v>
      </c>
      <c r="K6058" t="str">
        <f>"26769"</f>
        <v>26769</v>
      </c>
    </row>
    <row r="6059" spans="1:11" x14ac:dyDescent="0.25">
      <c r="A6059">
        <v>2024</v>
      </c>
      <c r="B6059" t="s">
        <v>11636</v>
      </c>
      <c r="C6059" t="s">
        <v>11637</v>
      </c>
      <c r="D6059" t="s">
        <v>19</v>
      </c>
      <c r="E6059" t="s">
        <v>20</v>
      </c>
      <c r="F6059" t="str">
        <f>"43606-3445"</f>
        <v>43606-3445</v>
      </c>
      <c r="G6059" t="str">
        <f>"716165"</f>
        <v>716165</v>
      </c>
      <c r="H6059" s="2">
        <f>10</f>
        <v>10</v>
      </c>
      <c r="I6059" t="s">
        <v>27</v>
      </c>
      <c r="J6059" t="s">
        <v>34</v>
      </c>
      <c r="K6059" t="str">
        <f>"125118"</f>
        <v>125118</v>
      </c>
    </row>
    <row r="6060" spans="1:11" x14ac:dyDescent="0.25">
      <c r="A6060">
        <v>2024</v>
      </c>
      <c r="B6060" t="s">
        <v>11645</v>
      </c>
      <c r="C6060" t="s">
        <v>11646</v>
      </c>
      <c r="D6060" t="s">
        <v>19</v>
      </c>
      <c r="E6060" t="s">
        <v>20</v>
      </c>
      <c r="F6060" t="str">
        <f>"43614"</f>
        <v>43614</v>
      </c>
      <c r="G6060" t="str">
        <f>"719211"</f>
        <v>719211</v>
      </c>
      <c r="H6060" s="2">
        <f>225</f>
        <v>225</v>
      </c>
      <c r="I6060" t="s">
        <v>27</v>
      </c>
      <c r="J6060" t="s">
        <v>200</v>
      </c>
      <c r="K6060" t="str">
        <f>"N/A"</f>
        <v>N/A</v>
      </c>
    </row>
    <row r="6061" spans="1:11" x14ac:dyDescent="0.25">
      <c r="A6061">
        <v>2024</v>
      </c>
      <c r="B6061" t="s">
        <v>11649</v>
      </c>
      <c r="C6061" t="s">
        <v>11650</v>
      </c>
      <c r="D6061" t="s">
        <v>19</v>
      </c>
      <c r="E6061" t="s">
        <v>20</v>
      </c>
      <c r="F6061" t="str">
        <f>"43614-2562"</f>
        <v>43614-2562</v>
      </c>
      <c r="G6061" t="str">
        <f>"716165"</f>
        <v>716165</v>
      </c>
      <c r="H6061" s="2">
        <f>10</f>
        <v>10</v>
      </c>
      <c r="I6061" t="s">
        <v>27</v>
      </c>
      <c r="J6061" t="s">
        <v>34</v>
      </c>
      <c r="K6061" t="str">
        <f>"121348"</f>
        <v>121348</v>
      </c>
    </row>
    <row r="6062" spans="1:11" x14ac:dyDescent="0.25">
      <c r="A6062">
        <v>2024</v>
      </c>
      <c r="B6062" t="s">
        <v>11661</v>
      </c>
      <c r="C6062" t="s">
        <v>11662</v>
      </c>
      <c r="D6062" t="s">
        <v>19</v>
      </c>
      <c r="E6062" t="s">
        <v>20</v>
      </c>
      <c r="F6062" t="str">
        <f>"43606"</f>
        <v>43606</v>
      </c>
      <c r="G6062" t="str">
        <f>"701126"</f>
        <v>701126</v>
      </c>
      <c r="H6062" s="2">
        <f>25525.9</f>
        <v>25525.9</v>
      </c>
      <c r="I6062" t="s">
        <v>148</v>
      </c>
      <c r="J6062" t="s">
        <v>11663</v>
      </c>
      <c r="K6062" t="str">
        <f>"26770"</f>
        <v>26770</v>
      </c>
    </row>
    <row r="6063" spans="1:11" x14ac:dyDescent="0.25">
      <c r="A6063">
        <v>2024</v>
      </c>
      <c r="B6063" t="s">
        <v>11680</v>
      </c>
      <c r="C6063" t="s">
        <v>11681</v>
      </c>
      <c r="D6063" t="s">
        <v>19</v>
      </c>
      <c r="E6063" t="s">
        <v>20</v>
      </c>
      <c r="F6063" t="str">
        <f>"43609"</f>
        <v>43609</v>
      </c>
      <c r="G6063" t="str">
        <f>"Je03262024"</f>
        <v>Je03262024</v>
      </c>
      <c r="H6063" s="2">
        <f>701.79</f>
        <v>701.79</v>
      </c>
      <c r="I6063" t="s">
        <v>15</v>
      </c>
      <c r="J6063" t="s">
        <v>21</v>
      </c>
      <c r="K6063" t="str">
        <f>"60114361"</f>
        <v>60114361</v>
      </c>
    </row>
    <row r="6064" spans="1:11" x14ac:dyDescent="0.25">
      <c r="A6064">
        <v>2024</v>
      </c>
      <c r="B6064" t="s">
        <v>11698</v>
      </c>
      <c r="C6064" t="s">
        <v>11699</v>
      </c>
      <c r="D6064" t="s">
        <v>50</v>
      </c>
      <c r="E6064" t="s">
        <v>20</v>
      </c>
      <c r="F6064" t="str">
        <f>"43560"</f>
        <v>43560</v>
      </c>
      <c r="G6064" t="str">
        <f>"719211"</f>
        <v>719211</v>
      </c>
      <c r="H6064" s="2">
        <f>450</f>
        <v>450</v>
      </c>
      <c r="I6064" t="s">
        <v>27</v>
      </c>
      <c r="J6064" t="s">
        <v>200</v>
      </c>
      <c r="K6064" t="str">
        <f>"N/A"</f>
        <v>N/A</v>
      </c>
    </row>
    <row r="6065" spans="1:11" x14ac:dyDescent="0.25">
      <c r="A6065">
        <v>2024</v>
      </c>
      <c r="B6065" t="s">
        <v>11704</v>
      </c>
      <c r="C6065" t="s">
        <v>11705</v>
      </c>
      <c r="D6065" t="s">
        <v>105</v>
      </c>
      <c r="E6065" t="s">
        <v>20</v>
      </c>
      <c r="F6065" t="str">
        <f>"43528-9605"</f>
        <v>43528-9605</v>
      </c>
      <c r="G6065" t="str">
        <f>"716165"</f>
        <v>716165</v>
      </c>
      <c r="H6065" s="2">
        <f>10</f>
        <v>10</v>
      </c>
      <c r="I6065" t="s">
        <v>27</v>
      </c>
      <c r="J6065" t="s">
        <v>34</v>
      </c>
      <c r="K6065" t="str">
        <f>"125113"</f>
        <v>125113</v>
      </c>
    </row>
    <row r="6066" spans="1:11" x14ac:dyDescent="0.25">
      <c r="A6066">
        <v>2024</v>
      </c>
      <c r="B6066" t="s">
        <v>11706</v>
      </c>
      <c r="C6066" t="s">
        <v>11707</v>
      </c>
      <c r="D6066" t="s">
        <v>2098</v>
      </c>
      <c r="E6066" t="s">
        <v>20</v>
      </c>
      <c r="F6066" t="str">
        <f>"44702"</f>
        <v>44702</v>
      </c>
      <c r="G6066" t="str">
        <f>"701123"</f>
        <v>701123</v>
      </c>
      <c r="H6066" s="2">
        <f>18.9</f>
        <v>18.899999999999999</v>
      </c>
      <c r="I6066" t="s">
        <v>148</v>
      </c>
      <c r="J6066" t="s">
        <v>11708</v>
      </c>
      <c r="K6066" t="str">
        <f>"26769"</f>
        <v>26769</v>
      </c>
    </row>
    <row r="6067" spans="1:11" x14ac:dyDescent="0.25">
      <c r="A6067">
        <v>2024</v>
      </c>
      <c r="B6067" t="s">
        <v>11711</v>
      </c>
      <c r="C6067" t="s">
        <v>11712</v>
      </c>
      <c r="D6067" t="s">
        <v>111</v>
      </c>
      <c r="E6067" t="s">
        <v>20</v>
      </c>
      <c r="F6067" t="str">
        <f>"43220"</f>
        <v>43220</v>
      </c>
      <c r="G6067" t="str">
        <f>"716166"</f>
        <v>716166</v>
      </c>
      <c r="H6067" s="2">
        <f>82.5</f>
        <v>82.5</v>
      </c>
      <c r="I6067" t="s">
        <v>27</v>
      </c>
      <c r="J6067" t="s">
        <v>262</v>
      </c>
      <c r="K6067" t="str">
        <f>"43036"</f>
        <v>43036</v>
      </c>
    </row>
    <row r="6068" spans="1:11" x14ac:dyDescent="0.25">
      <c r="A6068">
        <v>2024</v>
      </c>
      <c r="B6068" t="s">
        <v>11715</v>
      </c>
      <c r="C6068" t="s">
        <v>11716</v>
      </c>
      <c r="D6068" t="s">
        <v>19</v>
      </c>
      <c r="E6068" t="s">
        <v>20</v>
      </c>
      <c r="F6068" t="str">
        <f>"43606"</f>
        <v>43606</v>
      </c>
      <c r="G6068" t="str">
        <f>"716165"</f>
        <v>716165</v>
      </c>
      <c r="H6068" s="2">
        <f>10</f>
        <v>10</v>
      </c>
      <c r="I6068" t="s">
        <v>27</v>
      </c>
      <c r="J6068" t="s">
        <v>34</v>
      </c>
      <c r="K6068" t="str">
        <f>"123484"</f>
        <v>123484</v>
      </c>
    </row>
    <row r="6069" spans="1:11" x14ac:dyDescent="0.25">
      <c r="A6069">
        <v>2024</v>
      </c>
      <c r="B6069" t="s">
        <v>11721</v>
      </c>
      <c r="C6069" t="s">
        <v>11722</v>
      </c>
      <c r="D6069" t="s">
        <v>164</v>
      </c>
      <c r="E6069" t="s">
        <v>20</v>
      </c>
      <c r="F6069" t="str">
        <f>"43558"</f>
        <v>43558</v>
      </c>
      <c r="G6069" t="str">
        <f>"716619"</f>
        <v>716619</v>
      </c>
      <c r="H6069" s="2">
        <f>17</f>
        <v>17</v>
      </c>
      <c r="I6069" t="s">
        <v>27</v>
      </c>
      <c r="J6069" t="s">
        <v>34</v>
      </c>
      <c r="K6069" t="str">
        <f>"44010309"</f>
        <v>44010309</v>
      </c>
    </row>
    <row r="6070" spans="1:11" x14ac:dyDescent="0.25">
      <c r="A6070">
        <v>2024</v>
      </c>
      <c r="B6070" t="s">
        <v>11727</v>
      </c>
      <c r="C6070" t="s">
        <v>11728</v>
      </c>
      <c r="D6070" t="s">
        <v>19</v>
      </c>
      <c r="E6070" t="s">
        <v>20</v>
      </c>
      <c r="F6070" t="str">
        <f>"43611-2303"</f>
        <v>43611-2303</v>
      </c>
      <c r="G6070" t="str">
        <f>"716165"</f>
        <v>716165</v>
      </c>
      <c r="H6070" s="2">
        <f>20</f>
        <v>20</v>
      </c>
      <c r="I6070" t="s">
        <v>27</v>
      </c>
      <c r="J6070" t="s">
        <v>34</v>
      </c>
      <c r="K6070" t="str">
        <f>"121164"</f>
        <v>121164</v>
      </c>
    </row>
    <row r="6071" spans="1:11" x14ac:dyDescent="0.25">
      <c r="A6071">
        <v>2024</v>
      </c>
      <c r="B6071" t="s">
        <v>11737</v>
      </c>
      <c r="C6071" t="s">
        <v>895</v>
      </c>
      <c r="D6071" t="s">
        <v>895</v>
      </c>
      <c r="F6071" t="str">
        <f>"99999"</f>
        <v>99999</v>
      </c>
      <c r="G6071" t="str">
        <f>"727613"</f>
        <v>727613</v>
      </c>
      <c r="H6071" s="2">
        <f>2937.5</f>
        <v>2937.5</v>
      </c>
      <c r="I6071" t="s">
        <v>148</v>
      </c>
      <c r="J6071" t="s">
        <v>5472</v>
      </c>
      <c r="K6071" t="str">
        <f>"27242"</f>
        <v>27242</v>
      </c>
    </row>
    <row r="6072" spans="1:11" x14ac:dyDescent="0.25">
      <c r="A6072">
        <v>2024</v>
      </c>
      <c r="B6072" t="s">
        <v>11738</v>
      </c>
      <c r="C6072" t="s">
        <v>11739</v>
      </c>
      <c r="D6072" t="s">
        <v>323</v>
      </c>
      <c r="E6072" t="s">
        <v>20</v>
      </c>
      <c r="F6072" t="str">
        <f>"43571-9825"</f>
        <v>43571-9825</v>
      </c>
      <c r="G6072" t="str">
        <f>"716165"</f>
        <v>716165</v>
      </c>
      <c r="H6072" s="2">
        <f>10</f>
        <v>10</v>
      </c>
      <c r="I6072" t="s">
        <v>27</v>
      </c>
      <c r="J6072" t="s">
        <v>34</v>
      </c>
      <c r="K6072" t="str">
        <f>"123035"</f>
        <v>123035</v>
      </c>
    </row>
    <row r="6073" spans="1:11" x14ac:dyDescent="0.25">
      <c r="A6073">
        <v>2024</v>
      </c>
      <c r="B6073" t="s">
        <v>11742</v>
      </c>
      <c r="C6073" t="s">
        <v>11743</v>
      </c>
      <c r="D6073" t="s">
        <v>164</v>
      </c>
      <c r="E6073" t="s">
        <v>20</v>
      </c>
      <c r="F6073" t="str">
        <f>"43558-9183"</f>
        <v>43558-9183</v>
      </c>
      <c r="G6073" t="str">
        <f>"716165"</f>
        <v>716165</v>
      </c>
      <c r="H6073" s="2">
        <f>20</f>
        <v>20</v>
      </c>
      <c r="I6073" t="s">
        <v>27</v>
      </c>
      <c r="J6073" t="s">
        <v>34</v>
      </c>
      <c r="K6073" t="str">
        <f>"122167"</f>
        <v>122167</v>
      </c>
    </row>
    <row r="6074" spans="1:11" x14ac:dyDescent="0.25">
      <c r="A6074">
        <v>2024</v>
      </c>
      <c r="B6074" t="s">
        <v>11773</v>
      </c>
      <c r="C6074" t="s">
        <v>11774</v>
      </c>
      <c r="D6074" t="s">
        <v>19</v>
      </c>
      <c r="E6074" t="s">
        <v>20</v>
      </c>
      <c r="F6074" t="str">
        <f>"43609-1844"</f>
        <v>43609-1844</v>
      </c>
      <c r="G6074" t="str">
        <f>"716165"</f>
        <v>716165</v>
      </c>
      <c r="H6074" s="2">
        <f>10</f>
        <v>10</v>
      </c>
      <c r="I6074" t="s">
        <v>27</v>
      </c>
      <c r="J6074" t="s">
        <v>34</v>
      </c>
      <c r="K6074" t="str">
        <f>"124359"</f>
        <v>124359</v>
      </c>
    </row>
    <row r="6075" spans="1:11" x14ac:dyDescent="0.25">
      <c r="A6075">
        <v>2024</v>
      </c>
      <c r="B6075" t="s">
        <v>11777</v>
      </c>
      <c r="C6075" t="s">
        <v>11779</v>
      </c>
      <c r="D6075" t="s">
        <v>19</v>
      </c>
      <c r="E6075" t="s">
        <v>20</v>
      </c>
      <c r="F6075" t="str">
        <f>"43604"</f>
        <v>43604</v>
      </c>
      <c r="G6075" t="str">
        <f>"Je03262024"</f>
        <v>Je03262024</v>
      </c>
      <c r="H6075" s="2">
        <f>561.24</f>
        <v>561.24</v>
      </c>
      <c r="I6075" t="s">
        <v>15</v>
      </c>
      <c r="J6075" t="s">
        <v>21</v>
      </c>
      <c r="K6075" t="str">
        <f>"60113286"</f>
        <v>60113286</v>
      </c>
    </row>
    <row r="6076" spans="1:11" x14ac:dyDescent="0.25">
      <c r="A6076">
        <v>2024</v>
      </c>
      <c r="B6076" t="s">
        <v>11790</v>
      </c>
      <c r="C6076" t="s">
        <v>11791</v>
      </c>
      <c r="D6076" t="s">
        <v>19</v>
      </c>
      <c r="E6076" t="s">
        <v>20</v>
      </c>
      <c r="F6076" t="str">
        <f>"43613"</f>
        <v>43613</v>
      </c>
      <c r="G6076" t="str">
        <f>"718470"</f>
        <v>718470</v>
      </c>
      <c r="H6076" s="2">
        <f>16.18</f>
        <v>16.18</v>
      </c>
      <c r="I6076" t="s">
        <v>27</v>
      </c>
      <c r="J6076" t="s">
        <v>34</v>
      </c>
      <c r="K6076" t="str">
        <f>"334429"</f>
        <v>334429</v>
      </c>
    </row>
    <row r="6077" spans="1:11" x14ac:dyDescent="0.25">
      <c r="A6077">
        <v>2024</v>
      </c>
      <c r="B6077" t="s">
        <v>11792</v>
      </c>
      <c r="C6077" t="s">
        <v>11793</v>
      </c>
      <c r="D6077" t="s">
        <v>125</v>
      </c>
      <c r="E6077" t="s">
        <v>20</v>
      </c>
      <c r="F6077" t="str">
        <f>"43537-8922"</f>
        <v>43537-8922</v>
      </c>
      <c r="G6077" t="str">
        <f>"716165"</f>
        <v>716165</v>
      </c>
      <c r="H6077" s="2">
        <f>10</f>
        <v>10</v>
      </c>
      <c r="I6077" t="s">
        <v>27</v>
      </c>
      <c r="J6077" t="s">
        <v>34</v>
      </c>
      <c r="K6077" t="str">
        <f>"124728"</f>
        <v>124728</v>
      </c>
    </row>
    <row r="6078" spans="1:11" x14ac:dyDescent="0.25">
      <c r="A6078">
        <v>2024</v>
      </c>
      <c r="B6078" t="s">
        <v>11796</v>
      </c>
      <c r="C6078" t="s">
        <v>11797</v>
      </c>
      <c r="D6078" t="s">
        <v>364</v>
      </c>
      <c r="E6078" t="s">
        <v>14</v>
      </c>
      <c r="F6078" t="str">
        <f>"48226"</f>
        <v>48226</v>
      </c>
      <c r="G6078" t="str">
        <f>"716166"</f>
        <v>716166</v>
      </c>
      <c r="H6078" s="2">
        <f>20</f>
        <v>20</v>
      </c>
      <c r="I6078" t="s">
        <v>27</v>
      </c>
      <c r="J6078" t="s">
        <v>262</v>
      </c>
      <c r="K6078" t="str">
        <f>"42108"</f>
        <v>42108</v>
      </c>
    </row>
    <row r="6079" spans="1:11" x14ac:dyDescent="0.25">
      <c r="A6079">
        <v>2024</v>
      </c>
      <c r="B6079" t="s">
        <v>11802</v>
      </c>
      <c r="C6079" t="s">
        <v>11803</v>
      </c>
      <c r="D6079" t="s">
        <v>105</v>
      </c>
      <c r="E6079" t="s">
        <v>20</v>
      </c>
      <c r="F6079" t="str">
        <f>"43528"</f>
        <v>43528</v>
      </c>
      <c r="G6079" t="str">
        <f>"716619"</f>
        <v>716619</v>
      </c>
      <c r="H6079" s="2">
        <f>20</f>
        <v>20</v>
      </c>
      <c r="I6079" t="s">
        <v>27</v>
      </c>
      <c r="J6079" t="s">
        <v>34</v>
      </c>
      <c r="K6079" t="str">
        <f>"33012747"</f>
        <v>33012747</v>
      </c>
    </row>
    <row r="6080" spans="1:11" x14ac:dyDescent="0.25">
      <c r="A6080">
        <v>2024</v>
      </c>
      <c r="B6080" t="s">
        <v>11806</v>
      </c>
      <c r="C6080" t="s">
        <v>11807</v>
      </c>
      <c r="D6080" t="s">
        <v>19</v>
      </c>
      <c r="E6080" t="s">
        <v>20</v>
      </c>
      <c r="F6080" t="str">
        <f>"43612-1741"</f>
        <v>43612-1741</v>
      </c>
      <c r="G6080" t="str">
        <f>"716165"</f>
        <v>716165</v>
      </c>
      <c r="H6080" s="2">
        <f>10</f>
        <v>10</v>
      </c>
      <c r="I6080" t="s">
        <v>27</v>
      </c>
      <c r="J6080" t="s">
        <v>34</v>
      </c>
      <c r="K6080" t="str">
        <f>"123469"</f>
        <v>123469</v>
      </c>
    </row>
    <row r="6081" spans="1:11" x14ac:dyDescent="0.25">
      <c r="A6081">
        <v>2024</v>
      </c>
      <c r="B6081" t="s">
        <v>11808</v>
      </c>
      <c r="C6081" t="s">
        <v>11809</v>
      </c>
      <c r="D6081" t="s">
        <v>19</v>
      </c>
      <c r="E6081" t="s">
        <v>20</v>
      </c>
      <c r="F6081" t="str">
        <f>"43612-2521"</f>
        <v>43612-2521</v>
      </c>
      <c r="G6081" t="str">
        <f>"716165"</f>
        <v>716165</v>
      </c>
      <c r="H6081" s="2">
        <f>20</f>
        <v>20</v>
      </c>
      <c r="I6081" t="s">
        <v>27</v>
      </c>
      <c r="J6081" t="s">
        <v>34</v>
      </c>
      <c r="K6081" t="str">
        <f>"123675"</f>
        <v>123675</v>
      </c>
    </row>
    <row r="6082" spans="1:11" x14ac:dyDescent="0.25">
      <c r="A6082">
        <v>2024</v>
      </c>
      <c r="B6082" t="s">
        <v>11839</v>
      </c>
      <c r="C6082" t="s">
        <v>11838</v>
      </c>
      <c r="D6082" t="s">
        <v>19</v>
      </c>
      <c r="E6082" t="s">
        <v>20</v>
      </c>
      <c r="F6082" t="str">
        <f t="shared" ref="F6082:F6093" si="213">"43613"</f>
        <v>43613</v>
      </c>
      <c r="G6082" t="str">
        <f t="shared" ref="G6082:G6093" si="214">"716619"</f>
        <v>716619</v>
      </c>
      <c r="H6082" s="2">
        <f>6.12</f>
        <v>6.12</v>
      </c>
      <c r="I6082" t="s">
        <v>27</v>
      </c>
      <c r="J6082" t="s">
        <v>34</v>
      </c>
      <c r="K6082" t="str">
        <f>"33012708"</f>
        <v>33012708</v>
      </c>
    </row>
    <row r="6083" spans="1:11" x14ac:dyDescent="0.25">
      <c r="A6083">
        <v>2024</v>
      </c>
      <c r="B6083" t="s">
        <v>11839</v>
      </c>
      <c r="C6083" t="s">
        <v>11838</v>
      </c>
      <c r="D6083" t="s">
        <v>19</v>
      </c>
      <c r="E6083" t="s">
        <v>20</v>
      </c>
      <c r="F6083" t="str">
        <f t="shared" si="213"/>
        <v>43613</v>
      </c>
      <c r="G6083" t="str">
        <f t="shared" si="214"/>
        <v>716619</v>
      </c>
      <c r="H6083" s="2">
        <f>27.41</f>
        <v>27.41</v>
      </c>
      <c r="I6083" t="s">
        <v>27</v>
      </c>
      <c r="J6083" t="s">
        <v>34</v>
      </c>
      <c r="K6083" t="str">
        <f>"33012719"</f>
        <v>33012719</v>
      </c>
    </row>
    <row r="6084" spans="1:11" x14ac:dyDescent="0.25">
      <c r="A6084">
        <v>2024</v>
      </c>
      <c r="B6084" t="s">
        <v>11839</v>
      </c>
      <c r="C6084" t="s">
        <v>11838</v>
      </c>
      <c r="D6084" t="s">
        <v>19</v>
      </c>
      <c r="E6084" t="s">
        <v>20</v>
      </c>
      <c r="F6084" t="str">
        <f t="shared" si="213"/>
        <v>43613</v>
      </c>
      <c r="G6084" t="str">
        <f t="shared" si="214"/>
        <v>716619</v>
      </c>
      <c r="H6084" s="2">
        <f>18.48</f>
        <v>18.48</v>
      </c>
      <c r="I6084" t="s">
        <v>27</v>
      </c>
      <c r="J6084" t="s">
        <v>34</v>
      </c>
      <c r="K6084" t="str">
        <f>"33012813"</f>
        <v>33012813</v>
      </c>
    </row>
    <row r="6085" spans="1:11" x14ac:dyDescent="0.25">
      <c r="A6085">
        <v>2024</v>
      </c>
      <c r="B6085" t="s">
        <v>11839</v>
      </c>
      <c r="C6085" t="s">
        <v>11838</v>
      </c>
      <c r="D6085" t="s">
        <v>19</v>
      </c>
      <c r="E6085" t="s">
        <v>20</v>
      </c>
      <c r="F6085" t="str">
        <f t="shared" si="213"/>
        <v>43613</v>
      </c>
      <c r="G6085" t="str">
        <f t="shared" si="214"/>
        <v>716619</v>
      </c>
      <c r="H6085" s="2">
        <f>1.5</f>
        <v>1.5</v>
      </c>
      <c r="I6085" t="s">
        <v>27</v>
      </c>
      <c r="J6085" t="s">
        <v>34</v>
      </c>
      <c r="K6085" t="str">
        <f>"33012797"</f>
        <v>33012797</v>
      </c>
    </row>
    <row r="6086" spans="1:11" x14ac:dyDescent="0.25">
      <c r="A6086">
        <v>2024</v>
      </c>
      <c r="B6086" t="s">
        <v>11839</v>
      </c>
      <c r="C6086" t="s">
        <v>11838</v>
      </c>
      <c r="D6086" t="s">
        <v>19</v>
      </c>
      <c r="E6086" t="s">
        <v>20</v>
      </c>
      <c r="F6086" t="str">
        <f t="shared" si="213"/>
        <v>43613</v>
      </c>
      <c r="G6086" t="str">
        <f t="shared" si="214"/>
        <v>716619</v>
      </c>
      <c r="H6086" s="2">
        <f>142</f>
        <v>142</v>
      </c>
      <c r="I6086" t="s">
        <v>27</v>
      </c>
      <c r="J6086" t="s">
        <v>34</v>
      </c>
      <c r="K6086" t="str">
        <f>"33012618"</f>
        <v>33012618</v>
      </c>
    </row>
    <row r="6087" spans="1:11" x14ac:dyDescent="0.25">
      <c r="A6087">
        <v>2024</v>
      </c>
      <c r="B6087" t="s">
        <v>11839</v>
      </c>
      <c r="C6087" t="s">
        <v>11838</v>
      </c>
      <c r="D6087" t="s">
        <v>19</v>
      </c>
      <c r="E6087" t="s">
        <v>20</v>
      </c>
      <c r="F6087" t="str">
        <f t="shared" si="213"/>
        <v>43613</v>
      </c>
      <c r="G6087" t="str">
        <f t="shared" si="214"/>
        <v>716619</v>
      </c>
      <c r="H6087" s="2">
        <f>27.12</f>
        <v>27.12</v>
      </c>
      <c r="I6087" t="s">
        <v>27</v>
      </c>
      <c r="J6087" t="s">
        <v>34</v>
      </c>
      <c r="K6087" t="str">
        <f>"33012567"</f>
        <v>33012567</v>
      </c>
    </row>
    <row r="6088" spans="1:11" x14ac:dyDescent="0.25">
      <c r="A6088">
        <v>2024</v>
      </c>
      <c r="B6088" t="s">
        <v>11839</v>
      </c>
      <c r="C6088" t="s">
        <v>11838</v>
      </c>
      <c r="D6088" t="s">
        <v>19</v>
      </c>
      <c r="E6088" t="s">
        <v>20</v>
      </c>
      <c r="F6088" t="str">
        <f t="shared" si="213"/>
        <v>43613</v>
      </c>
      <c r="G6088" t="str">
        <f t="shared" si="214"/>
        <v>716619</v>
      </c>
      <c r="H6088" s="2">
        <f>99.63</f>
        <v>99.63</v>
      </c>
      <c r="I6088" t="s">
        <v>27</v>
      </c>
      <c r="J6088" t="s">
        <v>34</v>
      </c>
      <c r="K6088" t="str">
        <f>"33012674"</f>
        <v>33012674</v>
      </c>
    </row>
    <row r="6089" spans="1:11" x14ac:dyDescent="0.25">
      <c r="A6089">
        <v>2024</v>
      </c>
      <c r="B6089" t="s">
        <v>11839</v>
      </c>
      <c r="C6089" t="s">
        <v>11838</v>
      </c>
      <c r="D6089" t="s">
        <v>19</v>
      </c>
      <c r="E6089" t="s">
        <v>20</v>
      </c>
      <c r="F6089" t="str">
        <f t="shared" si="213"/>
        <v>43613</v>
      </c>
      <c r="G6089" t="str">
        <f t="shared" si="214"/>
        <v>716619</v>
      </c>
      <c r="H6089" s="2">
        <f>26.74</f>
        <v>26.74</v>
      </c>
      <c r="I6089" t="s">
        <v>27</v>
      </c>
      <c r="J6089" t="s">
        <v>34</v>
      </c>
      <c r="K6089" t="str">
        <f>"33012681"</f>
        <v>33012681</v>
      </c>
    </row>
    <row r="6090" spans="1:11" x14ac:dyDescent="0.25">
      <c r="A6090">
        <v>2024</v>
      </c>
      <c r="B6090" t="s">
        <v>11839</v>
      </c>
      <c r="C6090" t="s">
        <v>11838</v>
      </c>
      <c r="D6090" t="s">
        <v>19</v>
      </c>
      <c r="E6090" t="s">
        <v>20</v>
      </c>
      <c r="F6090" t="str">
        <f t="shared" si="213"/>
        <v>43613</v>
      </c>
      <c r="G6090" t="str">
        <f t="shared" si="214"/>
        <v>716619</v>
      </c>
      <c r="H6090" s="2">
        <f>1.76</f>
        <v>1.76</v>
      </c>
      <c r="I6090" t="s">
        <v>27</v>
      </c>
      <c r="J6090" t="s">
        <v>34</v>
      </c>
      <c r="K6090" t="str">
        <f>"33012701"</f>
        <v>33012701</v>
      </c>
    </row>
    <row r="6091" spans="1:11" x14ac:dyDescent="0.25">
      <c r="A6091">
        <v>2024</v>
      </c>
      <c r="B6091" t="s">
        <v>11839</v>
      </c>
      <c r="C6091" t="s">
        <v>11838</v>
      </c>
      <c r="D6091" t="s">
        <v>19</v>
      </c>
      <c r="E6091" t="s">
        <v>20</v>
      </c>
      <c r="F6091" t="str">
        <f t="shared" si="213"/>
        <v>43613</v>
      </c>
      <c r="G6091" t="str">
        <f t="shared" si="214"/>
        <v>716619</v>
      </c>
      <c r="H6091" s="2">
        <f>2.81</f>
        <v>2.81</v>
      </c>
      <c r="I6091" t="s">
        <v>27</v>
      </c>
      <c r="J6091" t="s">
        <v>34</v>
      </c>
      <c r="K6091" t="str">
        <f>"33012461"</f>
        <v>33012461</v>
      </c>
    </row>
    <row r="6092" spans="1:11" x14ac:dyDescent="0.25">
      <c r="A6092">
        <v>2024</v>
      </c>
      <c r="B6092" t="s">
        <v>11839</v>
      </c>
      <c r="C6092" t="s">
        <v>11838</v>
      </c>
      <c r="D6092" t="s">
        <v>19</v>
      </c>
      <c r="E6092" t="s">
        <v>20</v>
      </c>
      <c r="F6092" t="str">
        <f t="shared" si="213"/>
        <v>43613</v>
      </c>
      <c r="G6092" t="str">
        <f t="shared" si="214"/>
        <v>716619</v>
      </c>
      <c r="H6092" s="2">
        <f>7.86</f>
        <v>7.86</v>
      </c>
      <c r="I6092" t="s">
        <v>27</v>
      </c>
      <c r="J6092" t="s">
        <v>34</v>
      </c>
      <c r="K6092" t="str">
        <f>"33012426"</f>
        <v>33012426</v>
      </c>
    </row>
    <row r="6093" spans="1:11" x14ac:dyDescent="0.25">
      <c r="A6093">
        <v>2024</v>
      </c>
      <c r="B6093" t="s">
        <v>11839</v>
      </c>
      <c r="C6093" t="s">
        <v>11838</v>
      </c>
      <c r="D6093" t="s">
        <v>19</v>
      </c>
      <c r="E6093" t="s">
        <v>20</v>
      </c>
      <c r="F6093" t="str">
        <f t="shared" si="213"/>
        <v>43613</v>
      </c>
      <c r="G6093" t="str">
        <f t="shared" si="214"/>
        <v>716619</v>
      </c>
      <c r="H6093" s="2">
        <f>21.01</f>
        <v>21.01</v>
      </c>
      <c r="I6093" t="s">
        <v>27</v>
      </c>
      <c r="J6093" t="s">
        <v>34</v>
      </c>
      <c r="K6093" t="str">
        <f>"33012441"</f>
        <v>33012441</v>
      </c>
    </row>
    <row r="6094" spans="1:11" x14ac:dyDescent="0.25">
      <c r="A6094">
        <v>2024</v>
      </c>
      <c r="B6094" t="s">
        <v>11845</v>
      </c>
      <c r="C6094" t="s">
        <v>11846</v>
      </c>
      <c r="D6094" t="s">
        <v>50</v>
      </c>
      <c r="E6094" t="s">
        <v>20</v>
      </c>
      <c r="F6094" t="str">
        <f>"43560"</f>
        <v>43560</v>
      </c>
      <c r="G6094" t="str">
        <f>"Je10112024"</f>
        <v>Je10112024</v>
      </c>
      <c r="H6094" s="2">
        <f>220</f>
        <v>220</v>
      </c>
      <c r="I6094" t="s">
        <v>15</v>
      </c>
      <c r="J6094" t="s">
        <v>205</v>
      </c>
      <c r="K6094" t="str">
        <f>"60128304"</f>
        <v>60128304</v>
      </c>
    </row>
    <row r="6095" spans="1:11" x14ac:dyDescent="0.25">
      <c r="A6095">
        <v>2024</v>
      </c>
      <c r="B6095" t="s">
        <v>11887</v>
      </c>
      <c r="C6095" t="s">
        <v>11888</v>
      </c>
      <c r="D6095" t="s">
        <v>19</v>
      </c>
      <c r="E6095" t="s">
        <v>20</v>
      </c>
      <c r="F6095" t="str">
        <f>"43610"</f>
        <v>43610</v>
      </c>
      <c r="G6095" t="str">
        <f>"Je12122024"</f>
        <v>Je12122024</v>
      </c>
      <c r="H6095" s="2">
        <f>20</f>
        <v>20</v>
      </c>
      <c r="I6095" t="s">
        <v>15</v>
      </c>
      <c r="J6095" t="s">
        <v>1326</v>
      </c>
      <c r="K6095" t="str">
        <f>"60137719"</f>
        <v>60137719</v>
      </c>
    </row>
    <row r="6096" spans="1:11" x14ac:dyDescent="0.25">
      <c r="A6096">
        <v>2024</v>
      </c>
      <c r="B6096" t="s">
        <v>11891</v>
      </c>
      <c r="C6096" t="s">
        <v>11892</v>
      </c>
      <c r="D6096" t="s">
        <v>19</v>
      </c>
      <c r="E6096" t="s">
        <v>20</v>
      </c>
      <c r="F6096" t="str">
        <f>"43607-1304"</f>
        <v>43607-1304</v>
      </c>
      <c r="G6096" t="str">
        <f>"716165"</f>
        <v>716165</v>
      </c>
      <c r="H6096" s="2">
        <f>40</f>
        <v>40</v>
      </c>
      <c r="I6096" t="s">
        <v>27</v>
      </c>
      <c r="J6096" t="s">
        <v>34</v>
      </c>
      <c r="K6096" t="str">
        <f>"123629"</f>
        <v>123629</v>
      </c>
    </row>
    <row r="6097" spans="1:11" x14ac:dyDescent="0.25">
      <c r="A6097">
        <v>2024</v>
      </c>
      <c r="B6097" t="s">
        <v>11895</v>
      </c>
      <c r="C6097" t="s">
        <v>11890</v>
      </c>
      <c r="D6097" t="s">
        <v>19</v>
      </c>
      <c r="E6097" t="s">
        <v>20</v>
      </c>
      <c r="F6097" t="str">
        <f>"43617-1283"</f>
        <v>43617-1283</v>
      </c>
      <c r="G6097" t="str">
        <f>"716165"</f>
        <v>716165</v>
      </c>
      <c r="H6097" s="2">
        <f>30</f>
        <v>30</v>
      </c>
      <c r="I6097" t="s">
        <v>27</v>
      </c>
      <c r="J6097" t="s">
        <v>34</v>
      </c>
      <c r="K6097" t="str">
        <f>"125191"</f>
        <v>125191</v>
      </c>
    </row>
    <row r="6098" spans="1:11" x14ac:dyDescent="0.25">
      <c r="A6098">
        <v>2024</v>
      </c>
      <c r="B6098" t="s">
        <v>11902</v>
      </c>
      <c r="C6098" t="s">
        <v>11903</v>
      </c>
      <c r="D6098" t="s">
        <v>58</v>
      </c>
      <c r="E6098" t="s">
        <v>20</v>
      </c>
      <c r="F6098" t="str">
        <f>"43616-1605"</f>
        <v>43616-1605</v>
      </c>
      <c r="G6098" t="str">
        <f>"716165"</f>
        <v>716165</v>
      </c>
      <c r="H6098" s="2">
        <f>10</f>
        <v>10</v>
      </c>
      <c r="I6098" t="s">
        <v>27</v>
      </c>
      <c r="J6098" t="s">
        <v>34</v>
      </c>
      <c r="K6098" t="str">
        <f>"123892"</f>
        <v>123892</v>
      </c>
    </row>
    <row r="6099" spans="1:11" x14ac:dyDescent="0.25">
      <c r="A6099">
        <v>2024</v>
      </c>
      <c r="B6099" t="s">
        <v>11904</v>
      </c>
      <c r="C6099" t="s">
        <v>11905</v>
      </c>
      <c r="D6099" t="s">
        <v>19</v>
      </c>
      <c r="E6099" t="s">
        <v>20</v>
      </c>
      <c r="F6099" t="str">
        <f>"43609-1738"</f>
        <v>43609-1738</v>
      </c>
      <c r="G6099" t="str">
        <f>"716165"</f>
        <v>716165</v>
      </c>
      <c r="H6099" s="2">
        <f>10</f>
        <v>10</v>
      </c>
      <c r="I6099" t="s">
        <v>27</v>
      </c>
      <c r="J6099" t="s">
        <v>34</v>
      </c>
      <c r="K6099" t="str">
        <f>"121946"</f>
        <v>121946</v>
      </c>
    </row>
    <row r="6100" spans="1:11" x14ac:dyDescent="0.25">
      <c r="A6100">
        <v>2024</v>
      </c>
      <c r="B6100" t="s">
        <v>11920</v>
      </c>
      <c r="C6100" t="s">
        <v>11921</v>
      </c>
      <c r="D6100" t="s">
        <v>19</v>
      </c>
      <c r="E6100" t="s">
        <v>20</v>
      </c>
      <c r="F6100" t="str">
        <f>"43604"</f>
        <v>43604</v>
      </c>
      <c r="G6100" t="str">
        <f>"701123"</f>
        <v>701123</v>
      </c>
      <c r="H6100" s="2">
        <f>7</f>
        <v>7</v>
      </c>
      <c r="I6100" t="s">
        <v>148</v>
      </c>
      <c r="J6100" t="s">
        <v>11922</v>
      </c>
      <c r="K6100" t="str">
        <f>"26769"</f>
        <v>26769</v>
      </c>
    </row>
    <row r="6101" spans="1:11" x14ac:dyDescent="0.25">
      <c r="A6101">
        <v>2024</v>
      </c>
      <c r="B6101" t="s">
        <v>11929</v>
      </c>
      <c r="C6101" t="s">
        <v>11930</v>
      </c>
      <c r="D6101" t="s">
        <v>19</v>
      </c>
      <c r="E6101" t="s">
        <v>20</v>
      </c>
      <c r="F6101" t="str">
        <f>"43614-4325"</f>
        <v>43614-4325</v>
      </c>
      <c r="G6101" t="str">
        <f>"716165"</f>
        <v>716165</v>
      </c>
      <c r="H6101" s="2">
        <f>10</f>
        <v>10</v>
      </c>
      <c r="I6101" t="s">
        <v>27</v>
      </c>
      <c r="J6101" t="s">
        <v>34</v>
      </c>
      <c r="K6101" t="str">
        <f>"124993"</f>
        <v>124993</v>
      </c>
    </row>
    <row r="6102" spans="1:11" x14ac:dyDescent="0.25">
      <c r="A6102">
        <v>2024</v>
      </c>
      <c r="B6102" t="s">
        <v>11941</v>
      </c>
      <c r="C6102" t="s">
        <v>11942</v>
      </c>
      <c r="D6102" t="s">
        <v>19</v>
      </c>
      <c r="E6102" t="s">
        <v>20</v>
      </c>
      <c r="F6102" t="str">
        <f>"43609"</f>
        <v>43609</v>
      </c>
      <c r="G6102" t="str">
        <f>"719211"</f>
        <v>719211</v>
      </c>
      <c r="H6102" s="2">
        <f>135</f>
        <v>135</v>
      </c>
      <c r="I6102" t="s">
        <v>27</v>
      </c>
      <c r="J6102" t="s">
        <v>200</v>
      </c>
      <c r="K6102" t="str">
        <f>"N/A"</f>
        <v>N/A</v>
      </c>
    </row>
    <row r="6103" spans="1:11" x14ac:dyDescent="0.25">
      <c r="A6103">
        <v>2024</v>
      </c>
      <c r="B6103" t="s">
        <v>11953</v>
      </c>
      <c r="C6103" t="s">
        <v>11954</v>
      </c>
      <c r="D6103" t="s">
        <v>1074</v>
      </c>
      <c r="E6103" t="s">
        <v>20</v>
      </c>
      <c r="F6103" t="str">
        <f>"43551"</f>
        <v>43551</v>
      </c>
      <c r="G6103" t="str">
        <f>"716166"</f>
        <v>716166</v>
      </c>
      <c r="H6103" s="2">
        <f>4.4</f>
        <v>4.4000000000000004</v>
      </c>
      <c r="I6103" t="s">
        <v>27</v>
      </c>
      <c r="J6103" t="s">
        <v>262</v>
      </c>
      <c r="K6103" t="str">
        <f>"41768"</f>
        <v>41768</v>
      </c>
    </row>
    <row r="6104" spans="1:11" x14ac:dyDescent="0.25">
      <c r="A6104">
        <v>2024</v>
      </c>
      <c r="B6104" t="s">
        <v>11961</v>
      </c>
      <c r="C6104" t="s">
        <v>11962</v>
      </c>
      <c r="D6104" t="s">
        <v>19</v>
      </c>
      <c r="E6104" t="s">
        <v>20</v>
      </c>
      <c r="F6104" t="str">
        <f>"43614"</f>
        <v>43614</v>
      </c>
      <c r="G6104" t="str">
        <f>"716165"</f>
        <v>716165</v>
      </c>
      <c r="H6104" s="2">
        <f>10</f>
        <v>10</v>
      </c>
      <c r="I6104" t="s">
        <v>27</v>
      </c>
      <c r="J6104" t="s">
        <v>34</v>
      </c>
      <c r="K6104" t="str">
        <f>"121108"</f>
        <v>121108</v>
      </c>
    </row>
    <row r="6105" spans="1:11" x14ac:dyDescent="0.25">
      <c r="A6105">
        <v>2024</v>
      </c>
      <c r="B6105" t="s">
        <v>11986</v>
      </c>
      <c r="C6105" t="s">
        <v>11987</v>
      </c>
      <c r="D6105" t="s">
        <v>19</v>
      </c>
      <c r="E6105" t="s">
        <v>20</v>
      </c>
      <c r="F6105" t="str">
        <f>"43615"</f>
        <v>43615</v>
      </c>
      <c r="G6105" t="str">
        <f>"718470"</f>
        <v>718470</v>
      </c>
      <c r="H6105" s="2">
        <f>3.34</f>
        <v>3.34</v>
      </c>
      <c r="I6105" t="s">
        <v>27</v>
      </c>
      <c r="J6105" t="s">
        <v>34</v>
      </c>
      <c r="K6105" t="str">
        <f>"334569"</f>
        <v>334569</v>
      </c>
    </row>
    <row r="6106" spans="1:11" x14ac:dyDescent="0.25">
      <c r="A6106">
        <v>2024</v>
      </c>
      <c r="B6106" t="s">
        <v>11992</v>
      </c>
      <c r="C6106" t="s">
        <v>11993</v>
      </c>
      <c r="D6106" t="s">
        <v>19</v>
      </c>
      <c r="E6106" t="s">
        <v>20</v>
      </c>
      <c r="F6106" t="str">
        <f>"43613"</f>
        <v>43613</v>
      </c>
      <c r="G6106" t="str">
        <f>"716165"</f>
        <v>716165</v>
      </c>
      <c r="H6106" s="2">
        <f>10</f>
        <v>10</v>
      </c>
      <c r="I6106" t="s">
        <v>27</v>
      </c>
      <c r="J6106" t="s">
        <v>34</v>
      </c>
      <c r="K6106" t="str">
        <f>"123588"</f>
        <v>123588</v>
      </c>
    </row>
    <row r="6107" spans="1:11" x14ac:dyDescent="0.25">
      <c r="A6107">
        <v>2024</v>
      </c>
      <c r="B6107" t="s">
        <v>12021</v>
      </c>
      <c r="C6107" t="s">
        <v>12022</v>
      </c>
      <c r="D6107" t="s">
        <v>19</v>
      </c>
      <c r="E6107" t="s">
        <v>20</v>
      </c>
      <c r="F6107" t="str">
        <f>"43604-8241"</f>
        <v>43604-8241</v>
      </c>
      <c r="G6107" t="str">
        <f>"716165"</f>
        <v>716165</v>
      </c>
      <c r="H6107" s="2">
        <f>10</f>
        <v>10</v>
      </c>
      <c r="I6107" t="s">
        <v>27</v>
      </c>
      <c r="J6107" t="s">
        <v>34</v>
      </c>
      <c r="K6107" t="str">
        <f>"122702"</f>
        <v>122702</v>
      </c>
    </row>
    <row r="6108" spans="1:11" x14ac:dyDescent="0.25">
      <c r="A6108">
        <v>2024</v>
      </c>
      <c r="B6108" t="s">
        <v>12023</v>
      </c>
      <c r="C6108" t="s">
        <v>12024</v>
      </c>
      <c r="D6108" t="s">
        <v>50</v>
      </c>
      <c r="E6108" t="s">
        <v>20</v>
      </c>
      <c r="F6108" t="str">
        <f>"43560-8965"</f>
        <v>43560-8965</v>
      </c>
      <c r="G6108" t="str">
        <f>"716165"</f>
        <v>716165</v>
      </c>
      <c r="H6108" s="2">
        <f>40</f>
        <v>40</v>
      </c>
      <c r="I6108" t="s">
        <v>27</v>
      </c>
      <c r="J6108" t="s">
        <v>34</v>
      </c>
      <c r="K6108" t="str">
        <f>"123146"</f>
        <v>123146</v>
      </c>
    </row>
    <row r="6109" spans="1:11" x14ac:dyDescent="0.25">
      <c r="A6109">
        <v>2024</v>
      </c>
      <c r="B6109" t="s">
        <v>12023</v>
      </c>
      <c r="C6109" t="s">
        <v>12024</v>
      </c>
      <c r="D6109" t="s">
        <v>50</v>
      </c>
      <c r="E6109" t="s">
        <v>20</v>
      </c>
      <c r="F6109" t="str">
        <f>"43560-8965"</f>
        <v>43560-8965</v>
      </c>
      <c r="G6109" t="str">
        <f>"716165"</f>
        <v>716165</v>
      </c>
      <c r="H6109" s="2">
        <f>40</f>
        <v>40</v>
      </c>
      <c r="I6109" t="s">
        <v>27</v>
      </c>
      <c r="J6109" t="s">
        <v>34</v>
      </c>
      <c r="K6109" t="str">
        <f>"123253"</f>
        <v>123253</v>
      </c>
    </row>
    <row r="6110" spans="1:11" x14ac:dyDescent="0.25">
      <c r="A6110">
        <v>2024</v>
      </c>
      <c r="B6110" t="s">
        <v>12027</v>
      </c>
      <c r="C6110" t="s">
        <v>12028</v>
      </c>
      <c r="D6110" t="s">
        <v>19</v>
      </c>
      <c r="E6110" t="s">
        <v>20</v>
      </c>
      <c r="F6110" t="str">
        <f>"43609"</f>
        <v>43609</v>
      </c>
      <c r="G6110" t="str">
        <f>"716619"</f>
        <v>716619</v>
      </c>
      <c r="H6110" s="2">
        <f>20</f>
        <v>20</v>
      </c>
      <c r="I6110" t="s">
        <v>27</v>
      </c>
      <c r="J6110" t="s">
        <v>34</v>
      </c>
      <c r="K6110" t="str">
        <f>"44010190"</f>
        <v>44010190</v>
      </c>
    </row>
    <row r="6111" spans="1:11" x14ac:dyDescent="0.25">
      <c r="A6111">
        <v>2024</v>
      </c>
      <c r="B6111" t="s">
        <v>12035</v>
      </c>
      <c r="C6111" t="s">
        <v>2194</v>
      </c>
      <c r="D6111" t="s">
        <v>19</v>
      </c>
      <c r="E6111" t="s">
        <v>20</v>
      </c>
      <c r="F6111" t="str">
        <f>"43613"</f>
        <v>43613</v>
      </c>
      <c r="G6111" t="str">
        <f>"718470"</f>
        <v>718470</v>
      </c>
      <c r="H6111" s="2">
        <f>1</f>
        <v>1</v>
      </c>
      <c r="I6111" t="s">
        <v>27</v>
      </c>
      <c r="J6111" t="s">
        <v>34</v>
      </c>
      <c r="K6111" t="str">
        <f>"334299"</f>
        <v>334299</v>
      </c>
    </row>
    <row r="6112" spans="1:11" x14ac:dyDescent="0.25">
      <c r="A6112">
        <v>2024</v>
      </c>
      <c r="B6112" t="s">
        <v>12040</v>
      </c>
      <c r="C6112" t="s">
        <v>12041</v>
      </c>
      <c r="D6112" t="s">
        <v>323</v>
      </c>
      <c r="E6112" t="s">
        <v>20</v>
      </c>
      <c r="F6112" t="str">
        <f>"43571-8100"</f>
        <v>43571-8100</v>
      </c>
      <c r="G6112" t="str">
        <f>"716165"</f>
        <v>716165</v>
      </c>
      <c r="H6112" s="2">
        <f>30</f>
        <v>30</v>
      </c>
      <c r="I6112" t="s">
        <v>27</v>
      </c>
      <c r="J6112" t="s">
        <v>34</v>
      </c>
      <c r="K6112" t="str">
        <f>"124226"</f>
        <v>124226</v>
      </c>
    </row>
    <row r="6113" spans="1:11" x14ac:dyDescent="0.25">
      <c r="A6113">
        <v>2024</v>
      </c>
      <c r="B6113" t="s">
        <v>12058</v>
      </c>
      <c r="C6113" t="s">
        <v>12059</v>
      </c>
      <c r="D6113" t="s">
        <v>997</v>
      </c>
      <c r="E6113" t="s">
        <v>418</v>
      </c>
      <c r="F6113" t="str">
        <f>"60680-9488"</f>
        <v>60680-9488</v>
      </c>
      <c r="G6113" t="str">
        <f>"Je12122024"</f>
        <v>Je12122024</v>
      </c>
      <c r="H6113" s="2">
        <f>14.92</f>
        <v>14.92</v>
      </c>
      <c r="I6113" t="s">
        <v>15</v>
      </c>
      <c r="J6113" t="s">
        <v>1326</v>
      </c>
      <c r="K6113" t="str">
        <f>"60140396"</f>
        <v>60140396</v>
      </c>
    </row>
    <row r="6114" spans="1:11" x14ac:dyDescent="0.25">
      <c r="A6114">
        <v>2024</v>
      </c>
      <c r="B6114" t="s">
        <v>12066</v>
      </c>
      <c r="C6114" t="s">
        <v>12067</v>
      </c>
      <c r="D6114" t="s">
        <v>12068</v>
      </c>
      <c r="E6114" t="s">
        <v>12069</v>
      </c>
      <c r="F6114" t="str">
        <f>"04915-4084"</f>
        <v>04915-4084</v>
      </c>
      <c r="G6114" t="str">
        <f>"703451"</f>
        <v>703451</v>
      </c>
      <c r="H6114" s="2">
        <f>80</f>
        <v>80</v>
      </c>
      <c r="I6114" t="s">
        <v>148</v>
      </c>
      <c r="J6114" t="s">
        <v>2500</v>
      </c>
      <c r="K6114" t="str">
        <f>"26821"</f>
        <v>26821</v>
      </c>
    </row>
    <row r="6115" spans="1:11" x14ac:dyDescent="0.25">
      <c r="A6115">
        <v>2024</v>
      </c>
      <c r="B6115" t="s">
        <v>12084</v>
      </c>
      <c r="C6115" t="s">
        <v>12085</v>
      </c>
      <c r="D6115" t="s">
        <v>10850</v>
      </c>
      <c r="E6115" t="s">
        <v>10851</v>
      </c>
      <c r="F6115" t="str">
        <f>"19801"</f>
        <v>19801</v>
      </c>
      <c r="G6115" t="str">
        <f>"716166"</f>
        <v>716166</v>
      </c>
      <c r="H6115" s="2">
        <f>12.5</f>
        <v>12.5</v>
      </c>
      <c r="I6115" t="s">
        <v>27</v>
      </c>
      <c r="J6115" t="s">
        <v>262</v>
      </c>
      <c r="K6115" t="str">
        <f>"42071"</f>
        <v>42071</v>
      </c>
    </row>
    <row r="6116" spans="1:11" x14ac:dyDescent="0.25">
      <c r="A6116">
        <v>2024</v>
      </c>
      <c r="B6116" t="s">
        <v>12100</v>
      </c>
      <c r="C6116" t="s">
        <v>12101</v>
      </c>
      <c r="D6116" t="s">
        <v>12102</v>
      </c>
      <c r="E6116" t="s">
        <v>923</v>
      </c>
      <c r="F6116" t="str">
        <f>"92610"</f>
        <v>92610</v>
      </c>
      <c r="G6116" t="str">
        <f>"716619"</f>
        <v>716619</v>
      </c>
      <c r="H6116" s="2">
        <f>5</f>
        <v>5</v>
      </c>
      <c r="I6116" t="s">
        <v>27</v>
      </c>
      <c r="J6116" t="s">
        <v>34</v>
      </c>
      <c r="K6116" t="str">
        <f>"33012870"</f>
        <v>33012870</v>
      </c>
    </row>
    <row r="6117" spans="1:11" x14ac:dyDescent="0.25">
      <c r="A6117">
        <v>2024</v>
      </c>
      <c r="B6117" t="s">
        <v>12117</v>
      </c>
      <c r="C6117" t="s">
        <v>12118</v>
      </c>
      <c r="D6117" t="s">
        <v>19</v>
      </c>
      <c r="E6117" t="s">
        <v>20</v>
      </c>
      <c r="F6117" t="str">
        <f>"43615-6805"</f>
        <v>43615-6805</v>
      </c>
      <c r="G6117" t="str">
        <f>"716165"</f>
        <v>716165</v>
      </c>
      <c r="H6117" s="2">
        <f>10</f>
        <v>10</v>
      </c>
      <c r="I6117" t="s">
        <v>27</v>
      </c>
      <c r="J6117" t="s">
        <v>34</v>
      </c>
      <c r="K6117" t="str">
        <f>"123693"</f>
        <v>123693</v>
      </c>
    </row>
    <row r="6118" spans="1:11" x14ac:dyDescent="0.25">
      <c r="A6118">
        <v>2024</v>
      </c>
      <c r="B6118" t="s">
        <v>12123</v>
      </c>
      <c r="C6118" t="s">
        <v>12124</v>
      </c>
      <c r="D6118" t="s">
        <v>19</v>
      </c>
      <c r="E6118" t="s">
        <v>20</v>
      </c>
      <c r="F6118" t="str">
        <f>"43612"</f>
        <v>43612</v>
      </c>
      <c r="G6118" t="str">
        <f>"716619"</f>
        <v>716619</v>
      </c>
      <c r="H6118" s="2">
        <f>6.5</f>
        <v>6.5</v>
      </c>
      <c r="I6118" t="s">
        <v>27</v>
      </c>
      <c r="J6118" t="s">
        <v>34</v>
      </c>
      <c r="K6118" t="str">
        <f>"22026840"</f>
        <v>22026840</v>
      </c>
    </row>
    <row r="6119" spans="1:11" x14ac:dyDescent="0.25">
      <c r="A6119">
        <v>2024</v>
      </c>
      <c r="B6119" t="s">
        <v>12123</v>
      </c>
      <c r="C6119" t="s">
        <v>12124</v>
      </c>
      <c r="D6119" t="s">
        <v>19</v>
      </c>
      <c r="E6119" t="s">
        <v>20</v>
      </c>
      <c r="F6119" t="str">
        <f>"43612"</f>
        <v>43612</v>
      </c>
      <c r="G6119" t="str">
        <f>"716619"</f>
        <v>716619</v>
      </c>
      <c r="H6119" s="2">
        <f>16.77</f>
        <v>16.77</v>
      </c>
      <c r="I6119" t="s">
        <v>27</v>
      </c>
      <c r="J6119" t="s">
        <v>34</v>
      </c>
      <c r="K6119" t="str">
        <f>"22026765"</f>
        <v>22026765</v>
      </c>
    </row>
    <row r="6120" spans="1:11" x14ac:dyDescent="0.25">
      <c r="A6120">
        <v>2024</v>
      </c>
      <c r="B6120" t="s">
        <v>12126</v>
      </c>
      <c r="C6120" t="s">
        <v>11954</v>
      </c>
      <c r="D6120" t="s">
        <v>1074</v>
      </c>
      <c r="E6120" t="s">
        <v>20</v>
      </c>
      <c r="F6120" t="str">
        <f>"43551"</f>
        <v>43551</v>
      </c>
      <c r="G6120" t="str">
        <f>"716166"</f>
        <v>716166</v>
      </c>
      <c r="H6120" s="2">
        <f>19.45</f>
        <v>19.45</v>
      </c>
      <c r="I6120" t="s">
        <v>27</v>
      </c>
      <c r="J6120" t="s">
        <v>262</v>
      </c>
      <c r="K6120" t="str">
        <f>"41136"</f>
        <v>41136</v>
      </c>
    </row>
    <row r="6121" spans="1:11" x14ac:dyDescent="0.25">
      <c r="A6121">
        <v>2024</v>
      </c>
      <c r="B6121" t="s">
        <v>12129</v>
      </c>
      <c r="C6121" t="s">
        <v>12130</v>
      </c>
      <c r="D6121" t="s">
        <v>19</v>
      </c>
      <c r="E6121" t="s">
        <v>20</v>
      </c>
      <c r="F6121" t="str">
        <f>"43615"</f>
        <v>43615</v>
      </c>
      <c r="G6121" t="str">
        <f>"718470"</f>
        <v>718470</v>
      </c>
      <c r="H6121" s="2">
        <f>9.82</f>
        <v>9.82</v>
      </c>
      <c r="I6121" t="s">
        <v>27</v>
      </c>
      <c r="J6121" t="s">
        <v>34</v>
      </c>
      <c r="K6121" t="str">
        <f>"334316"</f>
        <v>334316</v>
      </c>
    </row>
    <row r="6122" spans="1:11" x14ac:dyDescent="0.25">
      <c r="A6122">
        <v>2024</v>
      </c>
      <c r="B6122" t="s">
        <v>12131</v>
      </c>
      <c r="C6122" t="s">
        <v>3287</v>
      </c>
      <c r="D6122" t="s">
        <v>64</v>
      </c>
      <c r="E6122" t="s">
        <v>20</v>
      </c>
      <c r="F6122" t="str">
        <f>"43566-1141"</f>
        <v>43566-1141</v>
      </c>
      <c r="G6122" t="str">
        <f>"716165"</f>
        <v>716165</v>
      </c>
      <c r="H6122" s="2">
        <f>10</f>
        <v>10</v>
      </c>
      <c r="I6122" t="s">
        <v>27</v>
      </c>
      <c r="J6122" t="s">
        <v>34</v>
      </c>
      <c r="K6122" t="str">
        <f>"125078"</f>
        <v>125078</v>
      </c>
    </row>
    <row r="6123" spans="1:11" x14ac:dyDescent="0.25">
      <c r="A6123">
        <v>2024</v>
      </c>
      <c r="B6123" t="s">
        <v>12132</v>
      </c>
      <c r="C6123" t="s">
        <v>12133</v>
      </c>
      <c r="D6123" t="s">
        <v>19</v>
      </c>
      <c r="E6123" t="s">
        <v>20</v>
      </c>
      <c r="F6123" t="str">
        <f>"43606-3158"</f>
        <v>43606-3158</v>
      </c>
      <c r="G6123" t="str">
        <f>"716165"</f>
        <v>716165</v>
      </c>
      <c r="H6123" s="2">
        <f>10</f>
        <v>10</v>
      </c>
      <c r="I6123" t="s">
        <v>27</v>
      </c>
      <c r="J6123" t="s">
        <v>34</v>
      </c>
      <c r="K6123" t="str">
        <f>"123144"</f>
        <v>123144</v>
      </c>
    </row>
    <row r="6124" spans="1:11" x14ac:dyDescent="0.25">
      <c r="A6124">
        <v>2024</v>
      </c>
      <c r="B6124" t="s">
        <v>12134</v>
      </c>
      <c r="C6124" t="s">
        <v>12135</v>
      </c>
      <c r="D6124" t="s">
        <v>19</v>
      </c>
      <c r="E6124" t="s">
        <v>20</v>
      </c>
      <c r="F6124" t="str">
        <f>"43611-2014"</f>
        <v>43611-2014</v>
      </c>
      <c r="G6124" t="str">
        <f>"716165"</f>
        <v>716165</v>
      </c>
      <c r="H6124" s="2">
        <f>20</f>
        <v>20</v>
      </c>
      <c r="I6124" t="s">
        <v>27</v>
      </c>
      <c r="J6124" t="s">
        <v>34</v>
      </c>
      <c r="K6124" t="str">
        <f>"123732"</f>
        <v>123732</v>
      </c>
    </row>
    <row r="6125" spans="1:11" x14ac:dyDescent="0.25">
      <c r="A6125">
        <v>2024</v>
      </c>
      <c r="B6125" t="s">
        <v>12153</v>
      </c>
      <c r="C6125" t="s">
        <v>12154</v>
      </c>
      <c r="D6125" t="s">
        <v>19</v>
      </c>
      <c r="E6125" t="s">
        <v>20</v>
      </c>
      <c r="F6125" t="str">
        <f>"43620-1908"</f>
        <v>43620-1908</v>
      </c>
      <c r="G6125" t="str">
        <f>"716165"</f>
        <v>716165</v>
      </c>
      <c r="H6125" s="2">
        <f>10</f>
        <v>10</v>
      </c>
      <c r="I6125" t="s">
        <v>27</v>
      </c>
      <c r="J6125" t="s">
        <v>34</v>
      </c>
      <c r="K6125" t="str">
        <f>"122704"</f>
        <v>122704</v>
      </c>
    </row>
    <row r="6126" spans="1:11" x14ac:dyDescent="0.25">
      <c r="A6126">
        <v>2024</v>
      </c>
      <c r="B6126" t="s">
        <v>12159</v>
      </c>
      <c r="C6126" t="s">
        <v>12160</v>
      </c>
      <c r="D6126" t="s">
        <v>512</v>
      </c>
      <c r="E6126" t="s">
        <v>20</v>
      </c>
      <c r="F6126" t="str">
        <f>"43512"</f>
        <v>43512</v>
      </c>
      <c r="G6126" t="str">
        <f>"716166"</f>
        <v>716166</v>
      </c>
      <c r="H6126" s="2">
        <f>5.32</f>
        <v>5.32</v>
      </c>
      <c r="I6126" t="s">
        <v>27</v>
      </c>
      <c r="J6126" t="s">
        <v>262</v>
      </c>
      <c r="K6126" t="str">
        <f>"41079"</f>
        <v>41079</v>
      </c>
    </row>
    <row r="6127" spans="1:11" x14ac:dyDescent="0.25">
      <c r="A6127">
        <v>2024</v>
      </c>
      <c r="B6127" t="s">
        <v>12161</v>
      </c>
      <c r="C6127" t="s">
        <v>12162</v>
      </c>
      <c r="D6127" t="s">
        <v>19</v>
      </c>
      <c r="E6127" t="s">
        <v>20</v>
      </c>
      <c r="F6127" t="str">
        <f>"43608"</f>
        <v>43608</v>
      </c>
      <c r="G6127" t="str">
        <f>"718470"</f>
        <v>718470</v>
      </c>
      <c r="H6127" s="2">
        <f>3.49</f>
        <v>3.49</v>
      </c>
      <c r="I6127" t="s">
        <v>27</v>
      </c>
      <c r="J6127" t="s">
        <v>34</v>
      </c>
      <c r="K6127" t="str">
        <f>"334505"</f>
        <v>334505</v>
      </c>
    </row>
    <row r="6128" spans="1:11" x14ac:dyDescent="0.25">
      <c r="A6128">
        <v>2024</v>
      </c>
      <c r="B6128" t="s">
        <v>12173</v>
      </c>
      <c r="C6128" t="s">
        <v>12174</v>
      </c>
      <c r="D6128" t="s">
        <v>19</v>
      </c>
      <c r="E6128" t="s">
        <v>20</v>
      </c>
      <c r="F6128" t="str">
        <f>"43614"</f>
        <v>43614</v>
      </c>
      <c r="G6128" t="str">
        <f>"716165"</f>
        <v>716165</v>
      </c>
      <c r="H6128" s="2">
        <f>10</f>
        <v>10</v>
      </c>
      <c r="I6128" t="s">
        <v>27</v>
      </c>
      <c r="J6128" t="s">
        <v>34</v>
      </c>
      <c r="K6128" t="str">
        <f>"124006"</f>
        <v>124006</v>
      </c>
    </row>
    <row r="6129" spans="1:11" x14ac:dyDescent="0.25">
      <c r="A6129">
        <v>2024</v>
      </c>
      <c r="B6129" t="s">
        <v>12181</v>
      </c>
      <c r="C6129" t="s">
        <v>12182</v>
      </c>
      <c r="D6129" t="s">
        <v>125</v>
      </c>
      <c r="E6129" t="s">
        <v>20</v>
      </c>
      <c r="F6129" t="str">
        <f>"43537-9203"</f>
        <v>43537-9203</v>
      </c>
      <c r="G6129" t="str">
        <f>"Je12122024"</f>
        <v>Je12122024</v>
      </c>
      <c r="H6129" s="2">
        <f>400</f>
        <v>400</v>
      </c>
      <c r="I6129" t="s">
        <v>15</v>
      </c>
      <c r="J6129" t="s">
        <v>1326</v>
      </c>
      <c r="K6129" t="str">
        <f>"60140691"</f>
        <v>60140691</v>
      </c>
    </row>
    <row r="6130" spans="1:11" x14ac:dyDescent="0.25">
      <c r="A6130">
        <v>2024</v>
      </c>
      <c r="B6130" t="s">
        <v>12196</v>
      </c>
      <c r="C6130" t="s">
        <v>12197</v>
      </c>
      <c r="D6130" t="s">
        <v>64</v>
      </c>
      <c r="E6130" t="s">
        <v>20</v>
      </c>
      <c r="F6130" t="str">
        <f>"43566-1712"</f>
        <v>43566-1712</v>
      </c>
      <c r="G6130" t="str">
        <f>"716165"</f>
        <v>716165</v>
      </c>
      <c r="H6130" s="2">
        <f>10</f>
        <v>10</v>
      </c>
      <c r="I6130" t="s">
        <v>27</v>
      </c>
      <c r="J6130" t="s">
        <v>34</v>
      </c>
      <c r="K6130" t="str">
        <f>"124719"</f>
        <v>124719</v>
      </c>
    </row>
    <row r="6131" spans="1:11" x14ac:dyDescent="0.25">
      <c r="A6131">
        <v>2024</v>
      </c>
      <c r="B6131" t="s">
        <v>12198</v>
      </c>
      <c r="C6131" t="s">
        <v>12199</v>
      </c>
      <c r="D6131" t="s">
        <v>58</v>
      </c>
      <c r="E6131" t="s">
        <v>20</v>
      </c>
      <c r="F6131" t="str">
        <f>"43616"</f>
        <v>43616</v>
      </c>
      <c r="G6131" t="str">
        <f>"718470"</f>
        <v>718470</v>
      </c>
      <c r="H6131" s="2">
        <f>6.65</f>
        <v>6.65</v>
      </c>
      <c r="I6131" t="s">
        <v>27</v>
      </c>
      <c r="J6131" t="s">
        <v>34</v>
      </c>
      <c r="K6131" t="str">
        <f>"334315"</f>
        <v>334315</v>
      </c>
    </row>
    <row r="6132" spans="1:11" x14ac:dyDescent="0.25">
      <c r="A6132">
        <v>2024</v>
      </c>
      <c r="B6132" t="s">
        <v>12202</v>
      </c>
      <c r="C6132" t="s">
        <v>12203</v>
      </c>
      <c r="D6132" t="s">
        <v>19</v>
      </c>
      <c r="E6132" t="s">
        <v>20</v>
      </c>
      <c r="F6132" t="str">
        <f>"43612"</f>
        <v>43612</v>
      </c>
      <c r="G6132" t="str">
        <f>"716619"</f>
        <v>716619</v>
      </c>
      <c r="H6132" s="2">
        <f>1</f>
        <v>1</v>
      </c>
      <c r="I6132" t="s">
        <v>27</v>
      </c>
      <c r="J6132" t="s">
        <v>34</v>
      </c>
      <c r="K6132" t="str">
        <f>"22026800"</f>
        <v>22026800</v>
      </c>
    </row>
    <row r="6133" spans="1:11" x14ac:dyDescent="0.25">
      <c r="A6133">
        <v>2024</v>
      </c>
      <c r="B6133" t="s">
        <v>12206</v>
      </c>
      <c r="C6133" t="s">
        <v>12207</v>
      </c>
      <c r="D6133" t="s">
        <v>19</v>
      </c>
      <c r="E6133" t="s">
        <v>20</v>
      </c>
      <c r="F6133" t="str">
        <f>"43605"</f>
        <v>43605</v>
      </c>
      <c r="G6133" t="str">
        <f>"Je12122024"</f>
        <v>Je12122024</v>
      </c>
      <c r="H6133" s="2">
        <f>20</f>
        <v>20</v>
      </c>
      <c r="I6133" t="s">
        <v>15</v>
      </c>
      <c r="J6133" t="s">
        <v>1326</v>
      </c>
      <c r="K6133" t="str">
        <f>"60137742"</f>
        <v>60137742</v>
      </c>
    </row>
    <row r="6134" spans="1:11" x14ac:dyDescent="0.25">
      <c r="A6134">
        <v>2024</v>
      </c>
      <c r="B6134" t="s">
        <v>12208</v>
      </c>
      <c r="C6134" t="s">
        <v>12209</v>
      </c>
      <c r="D6134" t="s">
        <v>19</v>
      </c>
      <c r="E6134" t="s">
        <v>20</v>
      </c>
      <c r="F6134" t="str">
        <f>"43614"</f>
        <v>43614</v>
      </c>
      <c r="G6134" t="str">
        <f>"719211"</f>
        <v>719211</v>
      </c>
      <c r="H6134" s="2">
        <f>225</f>
        <v>225</v>
      </c>
      <c r="I6134" t="s">
        <v>27</v>
      </c>
      <c r="J6134" t="s">
        <v>200</v>
      </c>
      <c r="K6134" t="str">
        <f>"N/A"</f>
        <v>N/A</v>
      </c>
    </row>
    <row r="6135" spans="1:11" x14ac:dyDescent="0.25">
      <c r="A6135">
        <v>2024</v>
      </c>
      <c r="B6135" t="s">
        <v>12212</v>
      </c>
      <c r="C6135" t="s">
        <v>12213</v>
      </c>
      <c r="D6135" t="s">
        <v>19</v>
      </c>
      <c r="E6135" t="s">
        <v>20</v>
      </c>
      <c r="F6135" t="str">
        <f>"43612-2039"</f>
        <v>43612-2039</v>
      </c>
      <c r="G6135" t="str">
        <f>"716165"</f>
        <v>716165</v>
      </c>
      <c r="H6135" s="2">
        <f>20</f>
        <v>20</v>
      </c>
      <c r="I6135" t="s">
        <v>27</v>
      </c>
      <c r="J6135" t="s">
        <v>34</v>
      </c>
      <c r="K6135" t="str">
        <f>"122841"</f>
        <v>122841</v>
      </c>
    </row>
    <row r="6136" spans="1:11" x14ac:dyDescent="0.25">
      <c r="A6136">
        <v>2024</v>
      </c>
      <c r="B6136" t="s">
        <v>12231</v>
      </c>
      <c r="C6136" t="s">
        <v>12232</v>
      </c>
      <c r="D6136" t="s">
        <v>12233</v>
      </c>
      <c r="E6136" t="s">
        <v>4545</v>
      </c>
      <c r="F6136" t="str">
        <f>"36691"</f>
        <v>36691</v>
      </c>
      <c r="G6136" t="str">
        <f>"716619"</f>
        <v>716619</v>
      </c>
      <c r="H6136" s="2">
        <f>3.16</f>
        <v>3.16</v>
      </c>
      <c r="I6136" t="s">
        <v>27</v>
      </c>
      <c r="J6136" t="s">
        <v>34</v>
      </c>
      <c r="K6136" t="str">
        <f>"33012529"</f>
        <v>33012529</v>
      </c>
    </row>
    <row r="6137" spans="1:11" x14ac:dyDescent="0.25">
      <c r="A6137">
        <v>2024</v>
      </c>
      <c r="B6137" t="s">
        <v>12231</v>
      </c>
      <c r="C6137" t="s">
        <v>12232</v>
      </c>
      <c r="D6137" t="s">
        <v>12233</v>
      </c>
      <c r="E6137" t="s">
        <v>4545</v>
      </c>
      <c r="F6137" t="str">
        <f>"36691"</f>
        <v>36691</v>
      </c>
      <c r="G6137" t="str">
        <f>"716619"</f>
        <v>716619</v>
      </c>
      <c r="H6137" s="2">
        <f>4.54</f>
        <v>4.54</v>
      </c>
      <c r="I6137" t="s">
        <v>27</v>
      </c>
      <c r="J6137" t="s">
        <v>34</v>
      </c>
      <c r="K6137" t="str">
        <f>"22025796"</f>
        <v>22025796</v>
      </c>
    </row>
    <row r="6138" spans="1:11" x14ac:dyDescent="0.25">
      <c r="A6138">
        <v>2024</v>
      </c>
      <c r="B6138" t="s">
        <v>12234</v>
      </c>
      <c r="C6138" t="s">
        <v>12235</v>
      </c>
      <c r="D6138" t="s">
        <v>19</v>
      </c>
      <c r="E6138" t="s">
        <v>20</v>
      </c>
      <c r="F6138" t="str">
        <f>"43605"</f>
        <v>43605</v>
      </c>
      <c r="G6138" t="str">
        <f>"Je03262024"</f>
        <v>Je03262024</v>
      </c>
      <c r="H6138" s="2">
        <f>8</f>
        <v>8</v>
      </c>
      <c r="I6138" t="s">
        <v>15</v>
      </c>
      <c r="J6138" t="s">
        <v>21</v>
      </c>
      <c r="K6138" t="str">
        <f>"60108189"</f>
        <v>60108189</v>
      </c>
    </row>
    <row r="6139" spans="1:11" x14ac:dyDescent="0.25">
      <c r="A6139">
        <v>2024</v>
      </c>
      <c r="B6139" t="s">
        <v>12240</v>
      </c>
      <c r="C6139" t="s">
        <v>12241</v>
      </c>
      <c r="D6139" t="s">
        <v>1074</v>
      </c>
      <c r="E6139" t="s">
        <v>20</v>
      </c>
      <c r="F6139" t="str">
        <f>"43551"</f>
        <v>43551</v>
      </c>
      <c r="G6139" t="str">
        <f>"Je10112024"</f>
        <v>Je10112024</v>
      </c>
      <c r="H6139" s="2">
        <f>430.75</f>
        <v>430.75</v>
      </c>
      <c r="I6139" t="s">
        <v>15</v>
      </c>
      <c r="J6139" t="s">
        <v>205</v>
      </c>
      <c r="K6139" t="str">
        <f>"60130596"</f>
        <v>60130596</v>
      </c>
    </row>
    <row r="6140" spans="1:11" x14ac:dyDescent="0.25">
      <c r="A6140">
        <v>2024</v>
      </c>
      <c r="B6140" t="s">
        <v>12277</v>
      </c>
      <c r="C6140" t="s">
        <v>10690</v>
      </c>
      <c r="D6140" t="s">
        <v>125</v>
      </c>
      <c r="E6140" t="s">
        <v>20</v>
      </c>
      <c r="F6140" t="str">
        <f>"43537-8632"</f>
        <v>43537-8632</v>
      </c>
      <c r="G6140" t="str">
        <f>"716165"</f>
        <v>716165</v>
      </c>
      <c r="H6140" s="2">
        <f>30</f>
        <v>30</v>
      </c>
      <c r="I6140" t="s">
        <v>27</v>
      </c>
      <c r="J6140" t="s">
        <v>34</v>
      </c>
      <c r="K6140" t="str">
        <f>"124055"</f>
        <v>124055</v>
      </c>
    </row>
    <row r="6141" spans="1:11" x14ac:dyDescent="0.25">
      <c r="A6141">
        <v>2024</v>
      </c>
      <c r="B6141" t="s">
        <v>12286</v>
      </c>
      <c r="C6141" t="s">
        <v>12287</v>
      </c>
      <c r="D6141" t="s">
        <v>19</v>
      </c>
      <c r="E6141" t="s">
        <v>20</v>
      </c>
      <c r="F6141" t="str">
        <f>"43617-2214"</f>
        <v>43617-2214</v>
      </c>
      <c r="G6141" t="str">
        <f>"716165"</f>
        <v>716165</v>
      </c>
      <c r="H6141" s="2">
        <f>20</f>
        <v>20</v>
      </c>
      <c r="I6141" t="s">
        <v>27</v>
      </c>
      <c r="J6141" t="s">
        <v>34</v>
      </c>
      <c r="K6141" t="str">
        <f>"121855"</f>
        <v>121855</v>
      </c>
    </row>
    <row r="6142" spans="1:11" x14ac:dyDescent="0.25">
      <c r="A6142">
        <v>2024</v>
      </c>
      <c r="B6142" t="s">
        <v>12290</v>
      </c>
      <c r="C6142" t="s">
        <v>12291</v>
      </c>
      <c r="D6142" t="s">
        <v>19</v>
      </c>
      <c r="E6142" t="s">
        <v>20</v>
      </c>
      <c r="F6142" t="str">
        <f>"43604"</f>
        <v>43604</v>
      </c>
      <c r="G6142" t="str">
        <f>"Je10112024"</f>
        <v>Je10112024</v>
      </c>
      <c r="H6142" s="2">
        <f>225</f>
        <v>225</v>
      </c>
      <c r="I6142" t="s">
        <v>15</v>
      </c>
      <c r="J6142" t="s">
        <v>205</v>
      </c>
      <c r="K6142" t="str">
        <f>"60129075"</f>
        <v>60129075</v>
      </c>
    </row>
    <row r="6143" spans="1:11" x14ac:dyDescent="0.25">
      <c r="A6143">
        <v>2024</v>
      </c>
      <c r="B6143" t="s">
        <v>12299</v>
      </c>
      <c r="C6143" t="s">
        <v>12300</v>
      </c>
      <c r="D6143" t="s">
        <v>19</v>
      </c>
      <c r="E6143" t="s">
        <v>20</v>
      </c>
      <c r="F6143" t="str">
        <f>"43615"</f>
        <v>43615</v>
      </c>
      <c r="G6143" t="str">
        <f>"716619"</f>
        <v>716619</v>
      </c>
      <c r="H6143" s="2">
        <f>2</f>
        <v>2</v>
      </c>
      <c r="I6143" t="s">
        <v>27</v>
      </c>
      <c r="J6143" t="s">
        <v>34</v>
      </c>
      <c r="K6143" t="str">
        <f>"33012281"</f>
        <v>33012281</v>
      </c>
    </row>
    <row r="6144" spans="1:11" x14ac:dyDescent="0.25">
      <c r="A6144">
        <v>2024</v>
      </c>
      <c r="B6144" t="s">
        <v>12304</v>
      </c>
      <c r="C6144" t="s">
        <v>12305</v>
      </c>
      <c r="D6144" t="s">
        <v>64</v>
      </c>
      <c r="E6144" t="s">
        <v>20</v>
      </c>
      <c r="F6144" t="str">
        <f>"43566"</f>
        <v>43566</v>
      </c>
      <c r="G6144" t="str">
        <f>"701123"</f>
        <v>701123</v>
      </c>
      <c r="H6144" s="2">
        <f>83.3</f>
        <v>83.3</v>
      </c>
      <c r="I6144" t="s">
        <v>148</v>
      </c>
      <c r="J6144" t="s">
        <v>12306</v>
      </c>
      <c r="K6144" t="str">
        <f>"26769"</f>
        <v>26769</v>
      </c>
    </row>
    <row r="6145" spans="1:11" x14ac:dyDescent="0.25">
      <c r="A6145">
        <v>2024</v>
      </c>
      <c r="B6145" t="s">
        <v>12336</v>
      </c>
      <c r="C6145" t="s">
        <v>12337</v>
      </c>
      <c r="D6145" t="s">
        <v>19</v>
      </c>
      <c r="E6145" t="s">
        <v>20</v>
      </c>
      <c r="F6145" t="str">
        <f>"43614-4142"</f>
        <v>43614-4142</v>
      </c>
      <c r="G6145" t="str">
        <f>"716165"</f>
        <v>716165</v>
      </c>
      <c r="H6145" s="2">
        <f>20</f>
        <v>20</v>
      </c>
      <c r="I6145" t="s">
        <v>27</v>
      </c>
      <c r="J6145" t="s">
        <v>34</v>
      </c>
      <c r="K6145" t="str">
        <f>"123713"</f>
        <v>123713</v>
      </c>
    </row>
    <row r="6146" spans="1:11" x14ac:dyDescent="0.25">
      <c r="A6146">
        <v>2024</v>
      </c>
      <c r="B6146" t="s">
        <v>12344</v>
      </c>
      <c r="C6146" t="s">
        <v>12345</v>
      </c>
      <c r="D6146" t="s">
        <v>19</v>
      </c>
      <c r="E6146" t="s">
        <v>20</v>
      </c>
      <c r="F6146" t="str">
        <f>"43608"</f>
        <v>43608</v>
      </c>
      <c r="G6146" t="str">
        <f>"719211"</f>
        <v>719211</v>
      </c>
      <c r="H6146" s="2">
        <f>450</f>
        <v>450</v>
      </c>
      <c r="I6146" t="s">
        <v>27</v>
      </c>
      <c r="J6146" t="s">
        <v>200</v>
      </c>
      <c r="K6146" t="str">
        <f>"N/A"</f>
        <v>N/A</v>
      </c>
    </row>
    <row r="6147" spans="1:11" x14ac:dyDescent="0.25">
      <c r="A6147">
        <v>2024</v>
      </c>
      <c r="B6147" t="s">
        <v>12346</v>
      </c>
      <c r="C6147" t="s">
        <v>12347</v>
      </c>
      <c r="D6147" t="s">
        <v>105</v>
      </c>
      <c r="E6147" t="s">
        <v>20</v>
      </c>
      <c r="F6147" t="str">
        <f>"43528"</f>
        <v>43528</v>
      </c>
      <c r="G6147" t="str">
        <f>"Je12122024"</f>
        <v>Je12122024</v>
      </c>
      <c r="H6147" s="2">
        <f>20</f>
        <v>20</v>
      </c>
      <c r="I6147" t="s">
        <v>15</v>
      </c>
      <c r="J6147" t="s">
        <v>1326</v>
      </c>
      <c r="K6147" t="str">
        <f>"60137777"</f>
        <v>60137777</v>
      </c>
    </row>
    <row r="6148" spans="1:11" x14ac:dyDescent="0.25">
      <c r="A6148">
        <v>2024</v>
      </c>
      <c r="B6148" t="s">
        <v>12358</v>
      </c>
      <c r="C6148" t="s">
        <v>12359</v>
      </c>
      <c r="D6148" t="s">
        <v>105</v>
      </c>
      <c r="E6148" t="s">
        <v>20</v>
      </c>
      <c r="F6148" t="str">
        <f>"43528-8567"</f>
        <v>43528-8567</v>
      </c>
      <c r="G6148" t="str">
        <f>"716165"</f>
        <v>716165</v>
      </c>
      <c r="H6148" s="2">
        <f>20</f>
        <v>20</v>
      </c>
      <c r="I6148" t="s">
        <v>27</v>
      </c>
      <c r="J6148" t="s">
        <v>34</v>
      </c>
      <c r="K6148" t="str">
        <f>"121577"</f>
        <v>121577</v>
      </c>
    </row>
    <row r="6149" spans="1:11" x14ac:dyDescent="0.25">
      <c r="A6149">
        <v>2024</v>
      </c>
      <c r="B6149" t="s">
        <v>12366</v>
      </c>
      <c r="C6149" t="s">
        <v>12367</v>
      </c>
      <c r="D6149" t="s">
        <v>19</v>
      </c>
      <c r="E6149" t="s">
        <v>20</v>
      </c>
      <c r="F6149" t="str">
        <f>"43605"</f>
        <v>43605</v>
      </c>
      <c r="G6149" t="str">
        <f>"Je08072024"</f>
        <v>Je08072024</v>
      </c>
      <c r="H6149" s="2">
        <f>72.56</f>
        <v>72.56</v>
      </c>
      <c r="I6149" t="s">
        <v>15</v>
      </c>
      <c r="J6149" t="s">
        <v>1647</v>
      </c>
      <c r="K6149" t="str">
        <f>"60116074"</f>
        <v>60116074</v>
      </c>
    </row>
    <row r="6150" spans="1:11" x14ac:dyDescent="0.25">
      <c r="A6150">
        <v>2024</v>
      </c>
      <c r="B6150" t="s">
        <v>12391</v>
      </c>
      <c r="C6150" t="s">
        <v>12392</v>
      </c>
      <c r="D6150" t="s">
        <v>1074</v>
      </c>
      <c r="E6150" t="s">
        <v>20</v>
      </c>
      <c r="F6150" t="str">
        <f>"43552"</f>
        <v>43552</v>
      </c>
      <c r="G6150" t="str">
        <f>"716166"</f>
        <v>716166</v>
      </c>
      <c r="H6150" s="2">
        <f>224.2</f>
        <v>224.2</v>
      </c>
      <c r="I6150" t="s">
        <v>27</v>
      </c>
      <c r="J6150" t="s">
        <v>262</v>
      </c>
      <c r="K6150" t="str">
        <f>"41670"</f>
        <v>41670</v>
      </c>
    </row>
    <row r="6151" spans="1:11" x14ac:dyDescent="0.25">
      <c r="A6151">
        <v>2024</v>
      </c>
      <c r="B6151" t="s">
        <v>12395</v>
      </c>
      <c r="C6151" t="s">
        <v>12396</v>
      </c>
      <c r="D6151" t="s">
        <v>64</v>
      </c>
      <c r="E6151" t="s">
        <v>20</v>
      </c>
      <c r="F6151" t="str">
        <f>"43566"</f>
        <v>43566</v>
      </c>
      <c r="G6151" t="str">
        <f>"Je12122024"</f>
        <v>Je12122024</v>
      </c>
      <c r="H6151" s="2">
        <f>763.16</f>
        <v>763.16</v>
      </c>
      <c r="I6151" t="s">
        <v>15</v>
      </c>
      <c r="J6151" t="s">
        <v>1326</v>
      </c>
      <c r="K6151" t="str">
        <f>"60133519"</f>
        <v>60133519</v>
      </c>
    </row>
    <row r="6152" spans="1:11" x14ac:dyDescent="0.25">
      <c r="A6152">
        <v>2024</v>
      </c>
      <c r="B6152" t="s">
        <v>12426</v>
      </c>
      <c r="C6152" t="s">
        <v>12427</v>
      </c>
      <c r="D6152" t="s">
        <v>50</v>
      </c>
      <c r="E6152" t="s">
        <v>20</v>
      </c>
      <c r="F6152" t="str">
        <f>"43560-8627"</f>
        <v>43560-8627</v>
      </c>
      <c r="G6152" t="str">
        <f>"716165"</f>
        <v>716165</v>
      </c>
      <c r="H6152" s="2">
        <f>10</f>
        <v>10</v>
      </c>
      <c r="I6152" t="s">
        <v>27</v>
      </c>
      <c r="J6152" t="s">
        <v>34</v>
      </c>
      <c r="K6152" t="str">
        <f>"124288"</f>
        <v>124288</v>
      </c>
    </row>
    <row r="6153" spans="1:11" x14ac:dyDescent="0.25">
      <c r="A6153">
        <v>2024</v>
      </c>
      <c r="B6153" t="s">
        <v>12430</v>
      </c>
      <c r="C6153" t="s">
        <v>12431</v>
      </c>
      <c r="D6153" t="s">
        <v>323</v>
      </c>
      <c r="E6153" t="s">
        <v>20</v>
      </c>
      <c r="F6153" t="str">
        <f>"43571-0595"</f>
        <v>43571-0595</v>
      </c>
      <c r="G6153" t="str">
        <f>"716165"</f>
        <v>716165</v>
      </c>
      <c r="H6153" s="2">
        <f>40</f>
        <v>40</v>
      </c>
      <c r="I6153" t="s">
        <v>27</v>
      </c>
      <c r="J6153" t="s">
        <v>34</v>
      </c>
      <c r="K6153" t="str">
        <f>"124843"</f>
        <v>124843</v>
      </c>
    </row>
    <row r="6154" spans="1:11" x14ac:dyDescent="0.25">
      <c r="A6154">
        <v>2024</v>
      </c>
      <c r="B6154" t="s">
        <v>12432</v>
      </c>
      <c r="C6154" t="s">
        <v>12433</v>
      </c>
      <c r="D6154" t="s">
        <v>19</v>
      </c>
      <c r="E6154" t="s">
        <v>20</v>
      </c>
      <c r="F6154" t="str">
        <f>"43605-3545"</f>
        <v>43605-3545</v>
      </c>
      <c r="G6154" t="str">
        <f>"716165"</f>
        <v>716165</v>
      </c>
      <c r="H6154" s="2">
        <f>20</f>
        <v>20</v>
      </c>
      <c r="I6154" t="s">
        <v>27</v>
      </c>
      <c r="J6154" t="s">
        <v>34</v>
      </c>
      <c r="K6154" t="str">
        <f>"122755"</f>
        <v>122755</v>
      </c>
    </row>
    <row r="6155" spans="1:11" x14ac:dyDescent="0.25">
      <c r="A6155">
        <v>2024</v>
      </c>
      <c r="B6155" t="s">
        <v>12436</v>
      </c>
      <c r="C6155" t="s">
        <v>12437</v>
      </c>
      <c r="D6155" t="s">
        <v>19</v>
      </c>
      <c r="E6155" t="s">
        <v>20</v>
      </c>
      <c r="F6155" t="str">
        <f>"43609-2149"</f>
        <v>43609-2149</v>
      </c>
      <c r="G6155" t="str">
        <f>"716165"</f>
        <v>716165</v>
      </c>
      <c r="H6155" s="2">
        <f>10</f>
        <v>10</v>
      </c>
      <c r="I6155" t="s">
        <v>27</v>
      </c>
      <c r="J6155" t="s">
        <v>34</v>
      </c>
      <c r="K6155" t="str">
        <f>"122295"</f>
        <v>122295</v>
      </c>
    </row>
    <row r="6156" spans="1:11" x14ac:dyDescent="0.25">
      <c r="A6156">
        <v>2024</v>
      </c>
      <c r="B6156" t="s">
        <v>12444</v>
      </c>
      <c r="C6156" t="s">
        <v>12445</v>
      </c>
      <c r="D6156" t="s">
        <v>19</v>
      </c>
      <c r="E6156" t="s">
        <v>20</v>
      </c>
      <c r="F6156" t="str">
        <f>"43607-3034"</f>
        <v>43607-3034</v>
      </c>
      <c r="G6156" t="str">
        <f>"716165"</f>
        <v>716165</v>
      </c>
      <c r="H6156" s="2">
        <f>10</f>
        <v>10</v>
      </c>
      <c r="I6156" t="s">
        <v>27</v>
      </c>
      <c r="J6156" t="s">
        <v>34</v>
      </c>
      <c r="K6156" t="str">
        <f>"121253"</f>
        <v>121253</v>
      </c>
    </row>
    <row r="6157" spans="1:11" x14ac:dyDescent="0.25">
      <c r="A6157">
        <v>2024</v>
      </c>
      <c r="B6157" t="s">
        <v>12467</v>
      </c>
      <c r="C6157" t="s">
        <v>12468</v>
      </c>
      <c r="D6157" t="s">
        <v>125</v>
      </c>
      <c r="E6157" t="s">
        <v>20</v>
      </c>
      <c r="F6157" t="str">
        <f>"43537"</f>
        <v>43537</v>
      </c>
      <c r="G6157" t="str">
        <f>"Je03262024"</f>
        <v>Je03262024</v>
      </c>
      <c r="H6157" s="2">
        <f>25</f>
        <v>25</v>
      </c>
      <c r="I6157" t="s">
        <v>15</v>
      </c>
      <c r="J6157" t="s">
        <v>21</v>
      </c>
      <c r="K6157" t="str">
        <f>"60110983"</f>
        <v>60110983</v>
      </c>
    </row>
    <row r="6158" spans="1:11" x14ac:dyDescent="0.25">
      <c r="A6158">
        <v>2024</v>
      </c>
      <c r="B6158" t="s">
        <v>12471</v>
      </c>
      <c r="C6158" t="s">
        <v>12472</v>
      </c>
      <c r="D6158" t="s">
        <v>164</v>
      </c>
      <c r="E6158" t="s">
        <v>20</v>
      </c>
      <c r="F6158" t="str">
        <f>"43558"</f>
        <v>43558</v>
      </c>
      <c r="G6158" t="str">
        <f>"Je03262024"</f>
        <v>Je03262024</v>
      </c>
      <c r="H6158" s="2">
        <f>3212.79</f>
        <v>3212.79</v>
      </c>
      <c r="I6158" t="s">
        <v>15</v>
      </c>
      <c r="J6158" t="s">
        <v>21</v>
      </c>
      <c r="K6158" t="str">
        <f>"60086523"</f>
        <v>60086523</v>
      </c>
    </row>
    <row r="6159" spans="1:11" x14ac:dyDescent="0.25">
      <c r="A6159">
        <v>2024</v>
      </c>
      <c r="B6159" t="s">
        <v>12471</v>
      </c>
      <c r="C6159" t="s">
        <v>12472</v>
      </c>
      <c r="D6159" t="s">
        <v>164</v>
      </c>
      <c r="E6159" t="s">
        <v>20</v>
      </c>
      <c r="F6159" t="str">
        <f>"43558"</f>
        <v>43558</v>
      </c>
      <c r="G6159" t="str">
        <f>"Je03262024"</f>
        <v>Je03262024</v>
      </c>
      <c r="H6159" s="2">
        <f>3022.78</f>
        <v>3022.78</v>
      </c>
      <c r="I6159" t="s">
        <v>15</v>
      </c>
      <c r="J6159" t="s">
        <v>21</v>
      </c>
      <c r="K6159" t="str">
        <f>"60086522"</f>
        <v>60086522</v>
      </c>
    </row>
    <row r="6160" spans="1:11" x14ac:dyDescent="0.25">
      <c r="A6160">
        <v>2024</v>
      </c>
      <c r="B6160" t="s">
        <v>12490</v>
      </c>
      <c r="C6160" t="s">
        <v>12491</v>
      </c>
      <c r="D6160" t="s">
        <v>19</v>
      </c>
      <c r="E6160" t="s">
        <v>20</v>
      </c>
      <c r="F6160" t="str">
        <f>"43623"</f>
        <v>43623</v>
      </c>
      <c r="G6160" t="str">
        <f>"Je10112024"</f>
        <v>Je10112024</v>
      </c>
      <c r="H6160" s="2">
        <f>245</f>
        <v>245</v>
      </c>
      <c r="I6160" t="s">
        <v>15</v>
      </c>
      <c r="J6160" t="s">
        <v>205</v>
      </c>
      <c r="K6160" t="str">
        <f>"60128389"</f>
        <v>60128389</v>
      </c>
    </row>
    <row r="6161" spans="1:11" x14ac:dyDescent="0.25">
      <c r="A6161">
        <v>2024</v>
      </c>
      <c r="B6161" t="s">
        <v>12496</v>
      </c>
      <c r="C6161" t="s">
        <v>12497</v>
      </c>
      <c r="D6161" t="s">
        <v>19</v>
      </c>
      <c r="E6161" t="s">
        <v>20</v>
      </c>
      <c r="F6161" t="str">
        <f>"43609"</f>
        <v>43609</v>
      </c>
      <c r="G6161" t="str">
        <f>"Je08072024"</f>
        <v>Je08072024</v>
      </c>
      <c r="H6161" s="2">
        <f>70.28</f>
        <v>70.28</v>
      </c>
      <c r="I6161" t="s">
        <v>15</v>
      </c>
      <c r="J6161" t="s">
        <v>1647</v>
      </c>
      <c r="K6161" t="str">
        <f>"60116450"</f>
        <v>60116450</v>
      </c>
    </row>
    <row r="6162" spans="1:11" x14ac:dyDescent="0.25">
      <c r="A6162">
        <v>2024</v>
      </c>
      <c r="B6162" t="s">
        <v>12511</v>
      </c>
      <c r="C6162" t="s">
        <v>12512</v>
      </c>
      <c r="D6162" t="s">
        <v>19</v>
      </c>
      <c r="E6162" t="s">
        <v>20</v>
      </c>
      <c r="F6162" t="str">
        <f>"43612"</f>
        <v>43612</v>
      </c>
      <c r="G6162" t="str">
        <f>"716165"</f>
        <v>716165</v>
      </c>
      <c r="H6162" s="2">
        <f>10</f>
        <v>10</v>
      </c>
      <c r="I6162" t="s">
        <v>27</v>
      </c>
      <c r="J6162" t="s">
        <v>34</v>
      </c>
      <c r="K6162" t="str">
        <f>"121255"</f>
        <v>121255</v>
      </c>
    </row>
    <row r="6163" spans="1:11" x14ac:dyDescent="0.25">
      <c r="A6163">
        <v>2024</v>
      </c>
      <c r="B6163" t="s">
        <v>12516</v>
      </c>
      <c r="C6163" t="s">
        <v>12517</v>
      </c>
      <c r="D6163" t="s">
        <v>19</v>
      </c>
      <c r="E6163" t="s">
        <v>20</v>
      </c>
      <c r="F6163" t="str">
        <f>"43623"</f>
        <v>43623</v>
      </c>
      <c r="G6163" t="str">
        <f>"Je10112024"</f>
        <v>Je10112024</v>
      </c>
      <c r="H6163" s="2">
        <f>20</f>
        <v>20</v>
      </c>
      <c r="I6163" t="s">
        <v>15</v>
      </c>
      <c r="J6163" t="s">
        <v>205</v>
      </c>
      <c r="K6163" t="str">
        <f>"60128405"</f>
        <v>60128405</v>
      </c>
    </row>
    <row r="6164" spans="1:11" x14ac:dyDescent="0.25">
      <c r="A6164">
        <v>2024</v>
      </c>
      <c r="B6164" t="s">
        <v>12518</v>
      </c>
      <c r="C6164" t="s">
        <v>12519</v>
      </c>
      <c r="D6164" t="s">
        <v>19</v>
      </c>
      <c r="E6164" t="s">
        <v>20</v>
      </c>
      <c r="F6164" t="str">
        <f>"43607-1615"</f>
        <v>43607-1615</v>
      </c>
      <c r="G6164" t="str">
        <f>"716165"</f>
        <v>716165</v>
      </c>
      <c r="H6164" s="2">
        <f>10</f>
        <v>10</v>
      </c>
      <c r="I6164" t="s">
        <v>27</v>
      </c>
      <c r="J6164" t="s">
        <v>34</v>
      </c>
      <c r="K6164" t="str">
        <f>"123121"</f>
        <v>123121</v>
      </c>
    </row>
    <row r="6165" spans="1:11" x14ac:dyDescent="0.25">
      <c r="A6165">
        <v>2024</v>
      </c>
      <c r="B6165" t="s">
        <v>12525</v>
      </c>
      <c r="C6165" t="s">
        <v>4389</v>
      </c>
      <c r="D6165" t="s">
        <v>4390</v>
      </c>
      <c r="E6165" t="s">
        <v>14</v>
      </c>
      <c r="F6165" t="str">
        <f>"48131"</f>
        <v>48131</v>
      </c>
      <c r="G6165" t="str">
        <f>"716619"</f>
        <v>716619</v>
      </c>
      <c r="H6165" s="2">
        <f>1.72</f>
        <v>1.72</v>
      </c>
      <c r="I6165" t="s">
        <v>27</v>
      </c>
      <c r="J6165" t="s">
        <v>34</v>
      </c>
      <c r="K6165" t="str">
        <f>"33012414"</f>
        <v>33012414</v>
      </c>
    </row>
    <row r="6166" spans="1:11" x14ac:dyDescent="0.25">
      <c r="A6166">
        <v>2024</v>
      </c>
      <c r="B6166" t="s">
        <v>12525</v>
      </c>
      <c r="C6166" t="s">
        <v>4389</v>
      </c>
      <c r="D6166" t="s">
        <v>4390</v>
      </c>
      <c r="E6166" t="s">
        <v>14</v>
      </c>
      <c r="F6166" t="str">
        <f>"48131"</f>
        <v>48131</v>
      </c>
      <c r="G6166" t="str">
        <f>"716619"</f>
        <v>716619</v>
      </c>
      <c r="H6166" s="2">
        <f>2.92</f>
        <v>2.92</v>
      </c>
      <c r="I6166" t="s">
        <v>27</v>
      </c>
      <c r="J6166" t="s">
        <v>34</v>
      </c>
      <c r="K6166" t="str">
        <f>"33012248"</f>
        <v>33012248</v>
      </c>
    </row>
    <row r="6167" spans="1:11" x14ac:dyDescent="0.25">
      <c r="A6167">
        <v>2024</v>
      </c>
      <c r="B6167" t="s">
        <v>12525</v>
      </c>
      <c r="C6167" t="s">
        <v>4389</v>
      </c>
      <c r="D6167" t="s">
        <v>4390</v>
      </c>
      <c r="E6167" t="s">
        <v>14</v>
      </c>
      <c r="F6167" t="str">
        <f>"48131"</f>
        <v>48131</v>
      </c>
      <c r="G6167" t="str">
        <f>"716619"</f>
        <v>716619</v>
      </c>
      <c r="H6167" s="2">
        <f>1.24</f>
        <v>1.24</v>
      </c>
      <c r="I6167" t="s">
        <v>27</v>
      </c>
      <c r="J6167" t="s">
        <v>34</v>
      </c>
      <c r="K6167" t="str">
        <f>"33012793"</f>
        <v>33012793</v>
      </c>
    </row>
    <row r="6168" spans="1:11" x14ac:dyDescent="0.25">
      <c r="A6168">
        <v>2024</v>
      </c>
      <c r="B6168" t="s">
        <v>12525</v>
      </c>
      <c r="C6168" t="s">
        <v>4389</v>
      </c>
      <c r="D6168" t="s">
        <v>4390</v>
      </c>
      <c r="E6168" t="s">
        <v>14</v>
      </c>
      <c r="F6168" t="str">
        <f>"48131"</f>
        <v>48131</v>
      </c>
      <c r="G6168" t="str">
        <f>"716619"</f>
        <v>716619</v>
      </c>
      <c r="H6168" s="2">
        <f>3.67</f>
        <v>3.67</v>
      </c>
      <c r="I6168" t="s">
        <v>27</v>
      </c>
      <c r="J6168" t="s">
        <v>34</v>
      </c>
      <c r="K6168" t="str">
        <f>"33012537"</f>
        <v>33012537</v>
      </c>
    </row>
    <row r="6169" spans="1:11" x14ac:dyDescent="0.25">
      <c r="A6169">
        <v>2024</v>
      </c>
      <c r="B6169" t="s">
        <v>12525</v>
      </c>
      <c r="C6169" t="s">
        <v>4389</v>
      </c>
      <c r="D6169" t="s">
        <v>4390</v>
      </c>
      <c r="E6169" t="s">
        <v>14</v>
      </c>
      <c r="F6169" t="str">
        <f>"48131"</f>
        <v>48131</v>
      </c>
      <c r="G6169" t="str">
        <f>"716619"</f>
        <v>716619</v>
      </c>
      <c r="H6169" s="2">
        <f>2.56</f>
        <v>2.56</v>
      </c>
      <c r="I6169" t="s">
        <v>27</v>
      </c>
      <c r="J6169" t="s">
        <v>34</v>
      </c>
      <c r="K6169" t="str">
        <f>"33012581"</f>
        <v>33012581</v>
      </c>
    </row>
    <row r="6170" spans="1:11" x14ac:dyDescent="0.25">
      <c r="A6170">
        <v>2024</v>
      </c>
      <c r="B6170" t="s">
        <v>12566</v>
      </c>
      <c r="C6170" t="s">
        <v>12567</v>
      </c>
      <c r="D6170" t="s">
        <v>1074</v>
      </c>
      <c r="E6170" t="s">
        <v>20</v>
      </c>
      <c r="F6170" t="str">
        <f>"43551"</f>
        <v>43551</v>
      </c>
      <c r="G6170" t="str">
        <f>"Je12122024"</f>
        <v>Je12122024</v>
      </c>
      <c r="H6170" s="2">
        <f>107.74</f>
        <v>107.74</v>
      </c>
      <c r="I6170" t="s">
        <v>15</v>
      </c>
      <c r="J6170" t="s">
        <v>1326</v>
      </c>
      <c r="K6170" t="str">
        <f>"60140319"</f>
        <v>60140319</v>
      </c>
    </row>
    <row r="6171" spans="1:11" x14ac:dyDescent="0.25">
      <c r="A6171">
        <v>2024</v>
      </c>
      <c r="B6171" t="s">
        <v>12574</v>
      </c>
      <c r="C6171" t="s">
        <v>12575</v>
      </c>
      <c r="D6171" t="s">
        <v>19</v>
      </c>
      <c r="E6171" t="s">
        <v>20</v>
      </c>
      <c r="F6171" t="str">
        <f>"43605"</f>
        <v>43605</v>
      </c>
      <c r="G6171" t="str">
        <f>"Je08072024"</f>
        <v>Je08072024</v>
      </c>
      <c r="H6171" s="2">
        <f>194.8</f>
        <v>194.8</v>
      </c>
      <c r="I6171" t="s">
        <v>15</v>
      </c>
      <c r="J6171" t="s">
        <v>1647</v>
      </c>
      <c r="K6171" t="str">
        <f>"60115989"</f>
        <v>60115989</v>
      </c>
    </row>
    <row r="6172" spans="1:11" x14ac:dyDescent="0.25">
      <c r="A6172">
        <v>2024</v>
      </c>
      <c r="B6172" t="s">
        <v>12598</v>
      </c>
      <c r="C6172" t="s">
        <v>12599</v>
      </c>
      <c r="D6172" t="s">
        <v>58</v>
      </c>
      <c r="E6172" t="s">
        <v>20</v>
      </c>
      <c r="F6172" t="str">
        <f>"43616-4421"</f>
        <v>43616-4421</v>
      </c>
      <c r="G6172" t="str">
        <f>"716165"</f>
        <v>716165</v>
      </c>
      <c r="H6172" s="2">
        <f>10</f>
        <v>10</v>
      </c>
      <c r="I6172" t="s">
        <v>27</v>
      </c>
      <c r="J6172" t="s">
        <v>34</v>
      </c>
      <c r="K6172" t="str">
        <f>"121056"</f>
        <v>121056</v>
      </c>
    </row>
    <row r="6173" spans="1:11" x14ac:dyDescent="0.25">
      <c r="A6173">
        <v>2024</v>
      </c>
      <c r="B6173" t="s">
        <v>12612</v>
      </c>
      <c r="C6173" t="s">
        <v>6134</v>
      </c>
      <c r="D6173" t="s">
        <v>19</v>
      </c>
      <c r="E6173" t="s">
        <v>20</v>
      </c>
      <c r="F6173" t="str">
        <f>"43604"</f>
        <v>43604</v>
      </c>
      <c r="G6173" t="str">
        <f>"718470"</f>
        <v>718470</v>
      </c>
      <c r="H6173" s="2">
        <f>2.76</f>
        <v>2.76</v>
      </c>
      <c r="I6173" t="s">
        <v>27</v>
      </c>
      <c r="J6173" t="s">
        <v>34</v>
      </c>
      <c r="K6173" t="str">
        <f>"334502"</f>
        <v>334502</v>
      </c>
    </row>
    <row r="6174" spans="1:11" x14ac:dyDescent="0.25">
      <c r="A6174">
        <v>2024</v>
      </c>
      <c r="B6174" t="s">
        <v>12616</v>
      </c>
      <c r="C6174" t="s">
        <v>12617</v>
      </c>
      <c r="D6174" t="s">
        <v>58</v>
      </c>
      <c r="E6174" t="s">
        <v>20</v>
      </c>
      <c r="F6174" t="str">
        <f>"43616-4614"</f>
        <v>43616-4614</v>
      </c>
      <c r="G6174" t="str">
        <f>"716165"</f>
        <v>716165</v>
      </c>
      <c r="H6174" s="2">
        <f>30</f>
        <v>30</v>
      </c>
      <c r="I6174" t="s">
        <v>27</v>
      </c>
      <c r="J6174" t="s">
        <v>34</v>
      </c>
      <c r="K6174" t="str">
        <f>"123926"</f>
        <v>123926</v>
      </c>
    </row>
    <row r="6175" spans="1:11" x14ac:dyDescent="0.25">
      <c r="A6175">
        <v>2024</v>
      </c>
      <c r="B6175" t="s">
        <v>12626</v>
      </c>
      <c r="C6175" t="s">
        <v>12627</v>
      </c>
      <c r="D6175" t="s">
        <v>19</v>
      </c>
      <c r="E6175" t="s">
        <v>20</v>
      </c>
      <c r="F6175" t="str">
        <f>"43615"</f>
        <v>43615</v>
      </c>
      <c r="G6175" t="str">
        <f>"716165"</f>
        <v>716165</v>
      </c>
      <c r="H6175" s="2">
        <f>20</f>
        <v>20</v>
      </c>
      <c r="I6175" t="s">
        <v>27</v>
      </c>
      <c r="J6175" t="s">
        <v>34</v>
      </c>
      <c r="K6175" t="str">
        <f>"124314"</f>
        <v>124314</v>
      </c>
    </row>
    <row r="6176" spans="1:11" x14ac:dyDescent="0.25">
      <c r="A6176">
        <v>2025</v>
      </c>
      <c r="B6176" t="s">
        <v>22</v>
      </c>
      <c r="C6176" t="s">
        <v>23</v>
      </c>
      <c r="D6176" t="s">
        <v>19</v>
      </c>
      <c r="E6176" t="s">
        <v>20</v>
      </c>
      <c r="F6176" t="str">
        <f>"43601"</f>
        <v>43601</v>
      </c>
      <c r="G6176" t="str">
        <f>"Je04082025"</f>
        <v>Je04082025</v>
      </c>
      <c r="H6176" s="2">
        <f>162.65</f>
        <v>162.65</v>
      </c>
      <c r="I6176" t="s">
        <v>15</v>
      </c>
      <c r="J6176" t="s">
        <v>24</v>
      </c>
      <c r="K6176" t="str">
        <f>"60146281"</f>
        <v>60146281</v>
      </c>
    </row>
    <row r="6177" spans="1:11" x14ac:dyDescent="0.25">
      <c r="A6177">
        <v>2025</v>
      </c>
      <c r="B6177" t="s">
        <v>37</v>
      </c>
      <c r="C6177" t="s">
        <v>38</v>
      </c>
      <c r="D6177" t="s">
        <v>19</v>
      </c>
      <c r="E6177" t="s">
        <v>20</v>
      </c>
      <c r="F6177" t="str">
        <f>"43612-2248"</f>
        <v>43612-2248</v>
      </c>
      <c r="G6177" t="str">
        <f>"753658"</f>
        <v>753658</v>
      </c>
      <c r="H6177" s="2">
        <f>20</f>
        <v>20</v>
      </c>
      <c r="I6177" t="s">
        <v>27</v>
      </c>
      <c r="J6177" t="s">
        <v>39</v>
      </c>
      <c r="K6177" t="str">
        <f>"125407"</f>
        <v>125407</v>
      </c>
    </row>
    <row r="6178" spans="1:11" x14ac:dyDescent="0.25">
      <c r="A6178">
        <v>2025</v>
      </c>
      <c r="B6178" t="s">
        <v>43</v>
      </c>
      <c r="C6178" t="s">
        <v>44</v>
      </c>
      <c r="D6178" t="s">
        <v>45</v>
      </c>
      <c r="E6178" t="s">
        <v>20</v>
      </c>
      <c r="F6178" t="str">
        <f>"43542-9669"</f>
        <v>43542-9669</v>
      </c>
      <c r="G6178" t="str">
        <f>"753658"</f>
        <v>753658</v>
      </c>
      <c r="H6178" s="2">
        <f>30</f>
        <v>30</v>
      </c>
      <c r="I6178" t="s">
        <v>27</v>
      </c>
      <c r="J6178" t="s">
        <v>39</v>
      </c>
      <c r="K6178" t="str">
        <f>"127787"</f>
        <v>127787</v>
      </c>
    </row>
    <row r="6179" spans="1:11" x14ac:dyDescent="0.25">
      <c r="A6179">
        <v>2025</v>
      </c>
      <c r="B6179" t="s">
        <v>65</v>
      </c>
      <c r="C6179" t="s">
        <v>66</v>
      </c>
      <c r="D6179" t="s">
        <v>19</v>
      </c>
      <c r="E6179" t="s">
        <v>20</v>
      </c>
      <c r="F6179" t="str">
        <f>"43615-1713"</f>
        <v>43615-1713</v>
      </c>
      <c r="G6179" t="str">
        <f>"753658"</f>
        <v>753658</v>
      </c>
      <c r="H6179" s="2">
        <f>20</f>
        <v>20</v>
      </c>
      <c r="I6179" t="s">
        <v>27</v>
      </c>
      <c r="J6179" t="s">
        <v>39</v>
      </c>
      <c r="K6179" t="str">
        <f>"125515"</f>
        <v>125515</v>
      </c>
    </row>
    <row r="6180" spans="1:11" x14ac:dyDescent="0.25">
      <c r="A6180">
        <v>2025</v>
      </c>
      <c r="B6180" t="s">
        <v>74</v>
      </c>
      <c r="C6180" t="s">
        <v>75</v>
      </c>
      <c r="D6180" t="s">
        <v>19</v>
      </c>
      <c r="E6180" t="s">
        <v>20</v>
      </c>
      <c r="F6180" t="str">
        <f>"43609-3262"</f>
        <v>43609-3262</v>
      </c>
      <c r="G6180" t="str">
        <f>"753658"</f>
        <v>753658</v>
      </c>
      <c r="H6180" s="2">
        <f>20</f>
        <v>20</v>
      </c>
      <c r="I6180" t="s">
        <v>27</v>
      </c>
      <c r="J6180" t="s">
        <v>39</v>
      </c>
      <c r="K6180" t="str">
        <f>"131333"</f>
        <v>131333</v>
      </c>
    </row>
    <row r="6181" spans="1:11" x14ac:dyDescent="0.25">
      <c r="A6181">
        <v>2025</v>
      </c>
      <c r="B6181" t="s">
        <v>94</v>
      </c>
      <c r="C6181" t="s">
        <v>95</v>
      </c>
      <c r="D6181" t="s">
        <v>19</v>
      </c>
      <c r="E6181" t="s">
        <v>20</v>
      </c>
      <c r="F6181" t="str">
        <f>"43615"</f>
        <v>43615</v>
      </c>
      <c r="G6181" t="str">
        <f>"751639"</f>
        <v>751639</v>
      </c>
      <c r="H6181" s="2">
        <f>4.6</f>
        <v>4.5999999999999996</v>
      </c>
      <c r="I6181" t="s">
        <v>27</v>
      </c>
      <c r="J6181" t="s">
        <v>96</v>
      </c>
      <c r="K6181" t="str">
        <f>"334923"</f>
        <v>334923</v>
      </c>
    </row>
    <row r="6182" spans="1:11" x14ac:dyDescent="0.25">
      <c r="A6182">
        <v>2025</v>
      </c>
      <c r="B6182" t="s">
        <v>97</v>
      </c>
      <c r="C6182" t="s">
        <v>98</v>
      </c>
      <c r="D6182" t="s">
        <v>58</v>
      </c>
      <c r="E6182" t="s">
        <v>20</v>
      </c>
      <c r="F6182" t="str">
        <f>"43616-4011"</f>
        <v>43616-4011</v>
      </c>
      <c r="G6182" t="str">
        <f>"753658"</f>
        <v>753658</v>
      </c>
      <c r="H6182" s="2">
        <f>80</f>
        <v>80</v>
      </c>
      <c r="I6182" t="s">
        <v>27</v>
      </c>
      <c r="J6182" t="s">
        <v>39</v>
      </c>
      <c r="K6182" t="str">
        <f>"131006"</f>
        <v>131006</v>
      </c>
    </row>
    <row r="6183" spans="1:11" x14ac:dyDescent="0.25">
      <c r="A6183">
        <v>2025</v>
      </c>
      <c r="B6183" t="s">
        <v>99</v>
      </c>
      <c r="C6183" t="s">
        <v>100</v>
      </c>
      <c r="D6183" t="s">
        <v>19</v>
      </c>
      <c r="E6183" t="s">
        <v>20</v>
      </c>
      <c r="F6183" t="str">
        <f>"43613"</f>
        <v>43613</v>
      </c>
      <c r="G6183" t="str">
        <f>"753658"</f>
        <v>753658</v>
      </c>
      <c r="H6183" s="2">
        <f>10</f>
        <v>10</v>
      </c>
      <c r="I6183" t="s">
        <v>27</v>
      </c>
      <c r="J6183" t="s">
        <v>39</v>
      </c>
      <c r="K6183" t="str">
        <f>"128277"</f>
        <v>128277</v>
      </c>
    </row>
    <row r="6184" spans="1:11" x14ac:dyDescent="0.25">
      <c r="A6184">
        <v>2025</v>
      </c>
      <c r="B6184" t="s">
        <v>103</v>
      </c>
      <c r="C6184" t="s">
        <v>104</v>
      </c>
      <c r="D6184" t="s">
        <v>105</v>
      </c>
      <c r="E6184" t="s">
        <v>20</v>
      </c>
      <c r="F6184" t="str">
        <f>"43528-8359"</f>
        <v>43528-8359</v>
      </c>
      <c r="G6184" t="str">
        <f>"753658"</f>
        <v>753658</v>
      </c>
      <c r="H6184" s="2">
        <f>10</f>
        <v>10</v>
      </c>
      <c r="I6184" t="s">
        <v>27</v>
      </c>
      <c r="J6184" t="s">
        <v>39</v>
      </c>
      <c r="K6184" t="str">
        <f>"131668"</f>
        <v>131668</v>
      </c>
    </row>
    <row r="6185" spans="1:11" x14ac:dyDescent="0.25">
      <c r="A6185">
        <v>2025</v>
      </c>
      <c r="B6185" t="s">
        <v>126</v>
      </c>
      <c r="C6185" t="s">
        <v>127</v>
      </c>
      <c r="D6185" t="s">
        <v>128</v>
      </c>
      <c r="E6185" t="s">
        <v>20</v>
      </c>
      <c r="F6185" t="str">
        <f>"43619"</f>
        <v>43619</v>
      </c>
      <c r="G6185" t="str">
        <f>"751639"</f>
        <v>751639</v>
      </c>
      <c r="H6185" s="2">
        <f>2.88</f>
        <v>2.88</v>
      </c>
      <c r="I6185" t="s">
        <v>27</v>
      </c>
      <c r="J6185" t="s">
        <v>96</v>
      </c>
      <c r="K6185" t="str">
        <f>"334850"</f>
        <v>334850</v>
      </c>
    </row>
    <row r="6186" spans="1:11" x14ac:dyDescent="0.25">
      <c r="A6186">
        <v>2025</v>
      </c>
      <c r="B6186" t="s">
        <v>129</v>
      </c>
      <c r="C6186" t="s">
        <v>130</v>
      </c>
      <c r="D6186" t="s">
        <v>58</v>
      </c>
      <c r="E6186" t="s">
        <v>20</v>
      </c>
      <c r="F6186" t="str">
        <f>"43616-2369"</f>
        <v>43616-2369</v>
      </c>
      <c r="G6186" t="str">
        <f>"753658"</f>
        <v>753658</v>
      </c>
      <c r="H6186" s="2">
        <f>20</f>
        <v>20</v>
      </c>
      <c r="I6186" t="s">
        <v>27</v>
      </c>
      <c r="J6186" t="s">
        <v>39</v>
      </c>
      <c r="K6186" t="str">
        <f>"132032"</f>
        <v>132032</v>
      </c>
    </row>
    <row r="6187" spans="1:11" x14ac:dyDescent="0.25">
      <c r="A6187">
        <v>2025</v>
      </c>
      <c r="B6187" t="s">
        <v>138</v>
      </c>
      <c r="C6187" t="s">
        <v>139</v>
      </c>
      <c r="D6187" t="s">
        <v>58</v>
      </c>
      <c r="E6187" t="s">
        <v>20</v>
      </c>
      <c r="F6187" t="str">
        <f>"43616-1950"</f>
        <v>43616-1950</v>
      </c>
      <c r="G6187" t="str">
        <f>"753658"</f>
        <v>753658</v>
      </c>
      <c r="H6187" s="2">
        <f>30</f>
        <v>30</v>
      </c>
      <c r="I6187" t="s">
        <v>27</v>
      </c>
      <c r="J6187" t="s">
        <v>39</v>
      </c>
      <c r="K6187" t="str">
        <f>"131186"</f>
        <v>131186</v>
      </c>
    </row>
    <row r="6188" spans="1:11" x14ac:dyDescent="0.25">
      <c r="A6188">
        <v>2025</v>
      </c>
      <c r="B6188" t="s">
        <v>144</v>
      </c>
      <c r="C6188" t="s">
        <v>145</v>
      </c>
      <c r="D6188" t="s">
        <v>50</v>
      </c>
      <c r="E6188" t="s">
        <v>20</v>
      </c>
      <c r="F6188" t="str">
        <f>"43560-3913"</f>
        <v>43560-3913</v>
      </c>
      <c r="G6188" t="str">
        <f>"753658"</f>
        <v>753658</v>
      </c>
      <c r="H6188" s="2">
        <f>10</f>
        <v>10</v>
      </c>
      <c r="I6188" t="s">
        <v>27</v>
      </c>
      <c r="J6188" t="s">
        <v>39</v>
      </c>
      <c r="K6188" t="str">
        <f>"125363"</f>
        <v>125363</v>
      </c>
    </row>
    <row r="6189" spans="1:11" x14ac:dyDescent="0.25">
      <c r="A6189">
        <v>2025</v>
      </c>
      <c r="B6189" t="s">
        <v>146</v>
      </c>
      <c r="C6189" t="s">
        <v>147</v>
      </c>
      <c r="D6189" t="s">
        <v>58</v>
      </c>
      <c r="E6189" t="s">
        <v>20</v>
      </c>
      <c r="F6189" t="str">
        <f>"43616"</f>
        <v>43616</v>
      </c>
      <c r="G6189" t="str">
        <f>"740128"</f>
        <v>740128</v>
      </c>
      <c r="H6189" s="2">
        <f>17</f>
        <v>17</v>
      </c>
      <c r="I6189" t="s">
        <v>148</v>
      </c>
      <c r="J6189" t="s">
        <v>149</v>
      </c>
      <c r="K6189" t="str">
        <f>"27417"</f>
        <v>27417</v>
      </c>
    </row>
    <row r="6190" spans="1:11" x14ac:dyDescent="0.25">
      <c r="A6190">
        <v>2025</v>
      </c>
      <c r="B6190" t="s">
        <v>150</v>
      </c>
      <c r="C6190" t="s">
        <v>151</v>
      </c>
      <c r="D6190" t="s">
        <v>19</v>
      </c>
      <c r="E6190" t="s">
        <v>20</v>
      </c>
      <c r="F6190" t="str">
        <f>"43606"</f>
        <v>43606</v>
      </c>
      <c r="G6190" t="str">
        <f>"753658"</f>
        <v>753658</v>
      </c>
      <c r="H6190" s="2">
        <f>20</f>
        <v>20</v>
      </c>
      <c r="I6190" t="s">
        <v>27</v>
      </c>
      <c r="J6190" t="s">
        <v>39</v>
      </c>
      <c r="K6190" t="str">
        <f>"128554"</f>
        <v>128554</v>
      </c>
    </row>
    <row r="6191" spans="1:11" x14ac:dyDescent="0.25">
      <c r="A6191">
        <v>2025</v>
      </c>
      <c r="B6191" t="s">
        <v>181</v>
      </c>
      <c r="C6191" t="s">
        <v>182</v>
      </c>
      <c r="D6191" t="s">
        <v>19</v>
      </c>
      <c r="E6191" t="s">
        <v>20</v>
      </c>
      <c r="F6191" t="str">
        <f>"43612-1129"</f>
        <v>43612-1129</v>
      </c>
      <c r="G6191" t="str">
        <f>"753658"</f>
        <v>753658</v>
      </c>
      <c r="H6191" s="2">
        <f>20</f>
        <v>20</v>
      </c>
      <c r="I6191" t="s">
        <v>27</v>
      </c>
      <c r="J6191" t="s">
        <v>39</v>
      </c>
      <c r="K6191" t="str">
        <f>"129814"</f>
        <v>129814</v>
      </c>
    </row>
    <row r="6192" spans="1:11" x14ac:dyDescent="0.25">
      <c r="A6192">
        <v>2025</v>
      </c>
      <c r="B6192" t="s">
        <v>183</v>
      </c>
      <c r="C6192" t="s">
        <v>184</v>
      </c>
      <c r="D6192" t="s">
        <v>19</v>
      </c>
      <c r="E6192" t="s">
        <v>20</v>
      </c>
      <c r="F6192" t="str">
        <f>"43614"</f>
        <v>43614</v>
      </c>
      <c r="G6192" t="str">
        <f>"Je07082025"</f>
        <v>Je07082025</v>
      </c>
      <c r="H6192" s="2">
        <f>40</f>
        <v>40</v>
      </c>
      <c r="I6192" t="s">
        <v>15</v>
      </c>
      <c r="J6192" t="s">
        <v>185</v>
      </c>
      <c r="K6192" t="str">
        <f>"60148381"</f>
        <v>60148381</v>
      </c>
    </row>
    <row r="6193" spans="1:11" x14ac:dyDescent="0.25">
      <c r="A6193">
        <v>2025</v>
      </c>
      <c r="B6193" t="s">
        <v>186</v>
      </c>
      <c r="C6193" t="s">
        <v>187</v>
      </c>
      <c r="D6193" t="s">
        <v>125</v>
      </c>
      <c r="E6193" t="s">
        <v>20</v>
      </c>
      <c r="F6193" t="str">
        <f>"43537"</f>
        <v>43537</v>
      </c>
      <c r="G6193" t="str">
        <f>"759796"</f>
        <v>759796</v>
      </c>
      <c r="H6193" s="2">
        <f>125</f>
        <v>125</v>
      </c>
      <c r="I6193" t="s">
        <v>27</v>
      </c>
      <c r="J6193" t="s">
        <v>188</v>
      </c>
      <c r="K6193" t="str">
        <f>"45832"</f>
        <v>45832</v>
      </c>
    </row>
    <row r="6194" spans="1:11" x14ac:dyDescent="0.25">
      <c r="A6194">
        <v>2025</v>
      </c>
      <c r="B6194" t="s">
        <v>196</v>
      </c>
      <c r="C6194" t="s">
        <v>197</v>
      </c>
      <c r="D6194" t="s">
        <v>19</v>
      </c>
      <c r="E6194" t="s">
        <v>20</v>
      </c>
      <c r="F6194" t="str">
        <f>"43605-3220"</f>
        <v>43605-3220</v>
      </c>
      <c r="G6194" t="str">
        <f>"753658"</f>
        <v>753658</v>
      </c>
      <c r="H6194" s="2">
        <f>30</f>
        <v>30</v>
      </c>
      <c r="I6194" t="s">
        <v>27</v>
      </c>
      <c r="J6194" t="s">
        <v>39</v>
      </c>
      <c r="K6194" t="str">
        <f>"131353"</f>
        <v>131353</v>
      </c>
    </row>
    <row r="6195" spans="1:11" x14ac:dyDescent="0.25">
      <c r="A6195">
        <v>2025</v>
      </c>
      <c r="B6195" t="s">
        <v>217</v>
      </c>
      <c r="C6195" t="s">
        <v>218</v>
      </c>
      <c r="D6195" t="s">
        <v>19</v>
      </c>
      <c r="E6195" t="s">
        <v>20</v>
      </c>
      <c r="F6195" t="str">
        <f>"43615"</f>
        <v>43615</v>
      </c>
      <c r="G6195" t="str">
        <f>"751641"</f>
        <v>751641</v>
      </c>
      <c r="H6195" s="2">
        <f>2</f>
        <v>2</v>
      </c>
      <c r="I6195" t="s">
        <v>27</v>
      </c>
      <c r="J6195" t="s">
        <v>219</v>
      </c>
      <c r="K6195" t="str">
        <f>"22027509"</f>
        <v>22027509</v>
      </c>
    </row>
    <row r="6196" spans="1:11" x14ac:dyDescent="0.25">
      <c r="A6196">
        <v>2025</v>
      </c>
      <c r="B6196" t="s">
        <v>220</v>
      </c>
      <c r="C6196" t="s">
        <v>221</v>
      </c>
      <c r="D6196" t="s">
        <v>19</v>
      </c>
      <c r="E6196" t="s">
        <v>20</v>
      </c>
      <c r="F6196" t="str">
        <f>"43615-1109"</f>
        <v>43615-1109</v>
      </c>
      <c r="G6196" t="str">
        <f>"753658"</f>
        <v>753658</v>
      </c>
      <c r="H6196" s="2">
        <f>20</f>
        <v>20</v>
      </c>
      <c r="I6196" t="s">
        <v>27</v>
      </c>
      <c r="J6196" t="s">
        <v>39</v>
      </c>
      <c r="K6196" t="str">
        <f>"128452"</f>
        <v>128452</v>
      </c>
    </row>
    <row r="6197" spans="1:11" x14ac:dyDescent="0.25">
      <c r="A6197">
        <v>2025</v>
      </c>
      <c r="B6197" t="s">
        <v>222</v>
      </c>
      <c r="C6197" t="s">
        <v>223</v>
      </c>
      <c r="D6197" t="s">
        <v>19</v>
      </c>
      <c r="E6197" t="s">
        <v>20</v>
      </c>
      <c r="F6197" t="str">
        <f>"43623"</f>
        <v>43623</v>
      </c>
      <c r="G6197" t="str">
        <f>"751641"</f>
        <v>751641</v>
      </c>
      <c r="H6197" s="2">
        <f>2.04</f>
        <v>2.04</v>
      </c>
      <c r="I6197" t="s">
        <v>27</v>
      </c>
      <c r="J6197" t="s">
        <v>219</v>
      </c>
      <c r="K6197" t="str">
        <f>"22027432"</f>
        <v>22027432</v>
      </c>
    </row>
    <row r="6198" spans="1:11" x14ac:dyDescent="0.25">
      <c r="A6198">
        <v>2025</v>
      </c>
      <c r="B6198" t="s">
        <v>235</v>
      </c>
      <c r="C6198" t="s">
        <v>236</v>
      </c>
      <c r="D6198" t="s">
        <v>19</v>
      </c>
      <c r="E6198" t="s">
        <v>20</v>
      </c>
      <c r="F6198" t="str">
        <f>"43613-4409"</f>
        <v>43613-4409</v>
      </c>
      <c r="G6198" t="str">
        <f>"753658"</f>
        <v>753658</v>
      </c>
      <c r="H6198" s="2">
        <f>20</f>
        <v>20</v>
      </c>
      <c r="I6198" t="s">
        <v>27</v>
      </c>
      <c r="J6198" t="s">
        <v>39</v>
      </c>
      <c r="K6198" t="str">
        <f>"131506"</f>
        <v>131506</v>
      </c>
    </row>
    <row r="6199" spans="1:11" x14ac:dyDescent="0.25">
      <c r="A6199">
        <v>2025</v>
      </c>
      <c r="B6199" t="s">
        <v>237</v>
      </c>
      <c r="C6199" t="s">
        <v>238</v>
      </c>
      <c r="D6199" t="s">
        <v>19</v>
      </c>
      <c r="E6199" t="s">
        <v>20</v>
      </c>
      <c r="F6199" t="str">
        <f>"43606"</f>
        <v>43606</v>
      </c>
      <c r="G6199" t="str">
        <f>"759797"</f>
        <v>759797</v>
      </c>
      <c r="H6199" s="2">
        <f>12799</f>
        <v>12799</v>
      </c>
      <c r="I6199" t="s">
        <v>27</v>
      </c>
      <c r="J6199" t="s">
        <v>239</v>
      </c>
      <c r="K6199" t="str">
        <f>"N/A"</f>
        <v>N/A</v>
      </c>
    </row>
    <row r="6200" spans="1:11" x14ac:dyDescent="0.25">
      <c r="A6200">
        <v>2025</v>
      </c>
      <c r="B6200" t="s">
        <v>252</v>
      </c>
      <c r="C6200" t="s">
        <v>253</v>
      </c>
      <c r="D6200" t="s">
        <v>19</v>
      </c>
      <c r="E6200" t="s">
        <v>20</v>
      </c>
      <c r="F6200" t="str">
        <f>"43617"</f>
        <v>43617</v>
      </c>
      <c r="G6200" t="str">
        <f>"740128"</f>
        <v>740128</v>
      </c>
      <c r="H6200" s="2">
        <f>10</f>
        <v>10</v>
      </c>
      <c r="I6200" t="s">
        <v>148</v>
      </c>
      <c r="J6200" t="s">
        <v>254</v>
      </c>
      <c r="K6200" t="str">
        <f>"27417"</f>
        <v>27417</v>
      </c>
    </row>
    <row r="6201" spans="1:11" x14ac:dyDescent="0.25">
      <c r="A6201">
        <v>2025</v>
      </c>
      <c r="B6201" t="s">
        <v>263</v>
      </c>
      <c r="C6201" t="s">
        <v>264</v>
      </c>
      <c r="D6201" t="s">
        <v>19</v>
      </c>
      <c r="E6201" t="s">
        <v>20</v>
      </c>
      <c r="F6201" t="str">
        <f>"43614-2807"</f>
        <v>43614-2807</v>
      </c>
      <c r="G6201" t="str">
        <f t="shared" ref="G6201:G6221" si="215">"753658"</f>
        <v>753658</v>
      </c>
      <c r="H6201" s="2">
        <f>30</f>
        <v>30</v>
      </c>
      <c r="I6201" t="s">
        <v>27</v>
      </c>
      <c r="J6201" t="s">
        <v>39</v>
      </c>
      <c r="K6201" t="str">
        <f>"131126"</f>
        <v>131126</v>
      </c>
    </row>
    <row r="6202" spans="1:11" x14ac:dyDescent="0.25">
      <c r="A6202">
        <v>2025</v>
      </c>
      <c r="B6202" t="s">
        <v>263</v>
      </c>
      <c r="C6202" t="s">
        <v>264</v>
      </c>
      <c r="D6202" t="s">
        <v>19</v>
      </c>
      <c r="E6202" t="s">
        <v>20</v>
      </c>
      <c r="F6202" t="str">
        <f>"43614-2807"</f>
        <v>43614-2807</v>
      </c>
      <c r="G6202" t="str">
        <f t="shared" si="215"/>
        <v>753658</v>
      </c>
      <c r="H6202" s="2">
        <f>40</f>
        <v>40</v>
      </c>
      <c r="I6202" t="s">
        <v>27</v>
      </c>
      <c r="J6202" t="s">
        <v>39</v>
      </c>
      <c r="K6202" t="str">
        <f>"131247"</f>
        <v>131247</v>
      </c>
    </row>
    <row r="6203" spans="1:11" x14ac:dyDescent="0.25">
      <c r="A6203">
        <v>2025</v>
      </c>
      <c r="B6203" t="s">
        <v>275</v>
      </c>
      <c r="C6203" t="s">
        <v>276</v>
      </c>
      <c r="D6203" t="s">
        <v>19</v>
      </c>
      <c r="E6203" t="s">
        <v>20</v>
      </c>
      <c r="F6203" t="str">
        <f>"43623-2742"</f>
        <v>43623-2742</v>
      </c>
      <c r="G6203" t="str">
        <f t="shared" si="215"/>
        <v>753658</v>
      </c>
      <c r="H6203" s="2">
        <f>20</f>
        <v>20</v>
      </c>
      <c r="I6203" t="s">
        <v>27</v>
      </c>
      <c r="J6203" t="s">
        <v>39</v>
      </c>
      <c r="K6203" t="str">
        <f>"129349"</f>
        <v>129349</v>
      </c>
    </row>
    <row r="6204" spans="1:11" x14ac:dyDescent="0.25">
      <c r="A6204">
        <v>2025</v>
      </c>
      <c r="B6204" t="s">
        <v>277</v>
      </c>
      <c r="C6204" t="s">
        <v>278</v>
      </c>
      <c r="D6204" t="s">
        <v>58</v>
      </c>
      <c r="E6204" t="s">
        <v>20</v>
      </c>
      <c r="F6204" t="str">
        <f>"43616-2231"</f>
        <v>43616-2231</v>
      </c>
      <c r="G6204" t="str">
        <f t="shared" si="215"/>
        <v>753658</v>
      </c>
      <c r="H6204" s="2">
        <f>10</f>
        <v>10</v>
      </c>
      <c r="I6204" t="s">
        <v>27</v>
      </c>
      <c r="J6204" t="s">
        <v>39</v>
      </c>
      <c r="K6204" t="str">
        <f>"127953"</f>
        <v>127953</v>
      </c>
    </row>
    <row r="6205" spans="1:11" x14ac:dyDescent="0.25">
      <c r="A6205">
        <v>2025</v>
      </c>
      <c r="B6205" t="s">
        <v>279</v>
      </c>
      <c r="C6205" t="s">
        <v>280</v>
      </c>
      <c r="D6205" t="s">
        <v>19</v>
      </c>
      <c r="E6205" t="s">
        <v>20</v>
      </c>
      <c r="F6205" t="str">
        <f>"43605-2943"</f>
        <v>43605-2943</v>
      </c>
      <c r="G6205" t="str">
        <f t="shared" si="215"/>
        <v>753658</v>
      </c>
      <c r="H6205" s="2">
        <f>10</f>
        <v>10</v>
      </c>
      <c r="I6205" t="s">
        <v>27</v>
      </c>
      <c r="J6205" t="s">
        <v>39</v>
      </c>
      <c r="K6205" t="str">
        <f>"125817"</f>
        <v>125817</v>
      </c>
    </row>
    <row r="6206" spans="1:11" x14ac:dyDescent="0.25">
      <c r="A6206">
        <v>2025</v>
      </c>
      <c r="B6206" t="s">
        <v>289</v>
      </c>
      <c r="C6206" t="s">
        <v>290</v>
      </c>
      <c r="D6206" t="s">
        <v>19</v>
      </c>
      <c r="E6206" t="s">
        <v>20</v>
      </c>
      <c r="F6206" t="str">
        <f>"43613-3751"</f>
        <v>43613-3751</v>
      </c>
      <c r="G6206" t="str">
        <f t="shared" si="215"/>
        <v>753658</v>
      </c>
      <c r="H6206" s="2">
        <f>20</f>
        <v>20</v>
      </c>
      <c r="I6206" t="s">
        <v>27</v>
      </c>
      <c r="J6206" t="s">
        <v>39</v>
      </c>
      <c r="K6206" t="str">
        <f>"126514"</f>
        <v>126514</v>
      </c>
    </row>
    <row r="6207" spans="1:11" x14ac:dyDescent="0.25">
      <c r="A6207">
        <v>2025</v>
      </c>
      <c r="B6207" t="s">
        <v>289</v>
      </c>
      <c r="C6207" t="s">
        <v>290</v>
      </c>
      <c r="D6207" t="s">
        <v>19</v>
      </c>
      <c r="E6207" t="s">
        <v>20</v>
      </c>
      <c r="F6207" t="str">
        <f>"43613-3751"</f>
        <v>43613-3751</v>
      </c>
      <c r="G6207" t="str">
        <f t="shared" si="215"/>
        <v>753658</v>
      </c>
      <c r="H6207" s="2">
        <f>20</f>
        <v>20</v>
      </c>
      <c r="I6207" t="s">
        <v>27</v>
      </c>
      <c r="J6207" t="s">
        <v>39</v>
      </c>
      <c r="K6207" t="str">
        <f>"130997"</f>
        <v>130997</v>
      </c>
    </row>
    <row r="6208" spans="1:11" x14ac:dyDescent="0.25">
      <c r="A6208">
        <v>2025</v>
      </c>
      <c r="B6208" t="s">
        <v>291</v>
      </c>
      <c r="C6208" t="s">
        <v>292</v>
      </c>
      <c r="D6208" t="s">
        <v>19</v>
      </c>
      <c r="E6208" t="s">
        <v>20</v>
      </c>
      <c r="F6208" t="str">
        <f>"43615-2802"</f>
        <v>43615-2802</v>
      </c>
      <c r="G6208" t="str">
        <f t="shared" si="215"/>
        <v>753658</v>
      </c>
      <c r="H6208" s="2">
        <f>20</f>
        <v>20</v>
      </c>
      <c r="I6208" t="s">
        <v>27</v>
      </c>
      <c r="J6208" t="s">
        <v>39</v>
      </c>
      <c r="K6208" t="str">
        <f>"127095"</f>
        <v>127095</v>
      </c>
    </row>
    <row r="6209" spans="1:11" x14ac:dyDescent="0.25">
      <c r="A6209">
        <v>2025</v>
      </c>
      <c r="B6209" t="s">
        <v>296</v>
      </c>
      <c r="C6209" t="s">
        <v>297</v>
      </c>
      <c r="D6209" t="s">
        <v>19</v>
      </c>
      <c r="E6209" t="s">
        <v>20</v>
      </c>
      <c r="F6209" t="str">
        <f>"43623-1623"</f>
        <v>43623-1623</v>
      </c>
      <c r="G6209" t="str">
        <f t="shared" si="215"/>
        <v>753658</v>
      </c>
      <c r="H6209" s="2">
        <f>10</f>
        <v>10</v>
      </c>
      <c r="I6209" t="s">
        <v>27</v>
      </c>
      <c r="J6209" t="s">
        <v>39</v>
      </c>
      <c r="K6209" t="str">
        <f>"131647"</f>
        <v>131647</v>
      </c>
    </row>
    <row r="6210" spans="1:11" x14ac:dyDescent="0.25">
      <c r="A6210">
        <v>2025</v>
      </c>
      <c r="B6210" t="s">
        <v>298</v>
      </c>
      <c r="C6210" t="s">
        <v>299</v>
      </c>
      <c r="D6210" t="s">
        <v>19</v>
      </c>
      <c r="E6210" t="s">
        <v>20</v>
      </c>
      <c r="F6210" t="str">
        <f>"43605-1825"</f>
        <v>43605-1825</v>
      </c>
      <c r="G6210" t="str">
        <f t="shared" si="215"/>
        <v>753658</v>
      </c>
      <c r="H6210" s="2">
        <f>10</f>
        <v>10</v>
      </c>
      <c r="I6210" t="s">
        <v>27</v>
      </c>
      <c r="J6210" t="s">
        <v>39</v>
      </c>
      <c r="K6210" t="str">
        <f>"129801"</f>
        <v>129801</v>
      </c>
    </row>
    <row r="6211" spans="1:11" x14ac:dyDescent="0.25">
      <c r="A6211">
        <v>2025</v>
      </c>
      <c r="B6211" t="s">
        <v>308</v>
      </c>
      <c r="C6211" t="s">
        <v>309</v>
      </c>
      <c r="D6211" t="s">
        <v>19</v>
      </c>
      <c r="E6211" t="s">
        <v>20</v>
      </c>
      <c r="F6211" t="str">
        <f>"43623-1110"</f>
        <v>43623-1110</v>
      </c>
      <c r="G6211" t="str">
        <f t="shared" si="215"/>
        <v>753658</v>
      </c>
      <c r="H6211" s="2">
        <f>10</f>
        <v>10</v>
      </c>
      <c r="I6211" t="s">
        <v>27</v>
      </c>
      <c r="J6211" t="s">
        <v>39</v>
      </c>
      <c r="K6211" t="str">
        <f>"129406"</f>
        <v>129406</v>
      </c>
    </row>
    <row r="6212" spans="1:11" x14ac:dyDescent="0.25">
      <c r="A6212">
        <v>2025</v>
      </c>
      <c r="B6212" t="s">
        <v>332</v>
      </c>
      <c r="C6212" t="s">
        <v>333</v>
      </c>
      <c r="D6212" t="s">
        <v>125</v>
      </c>
      <c r="E6212" t="s">
        <v>20</v>
      </c>
      <c r="F6212" t="str">
        <f>"43537-2054"</f>
        <v>43537-2054</v>
      </c>
      <c r="G6212" t="str">
        <f t="shared" si="215"/>
        <v>753658</v>
      </c>
      <c r="H6212" s="2">
        <f>10</f>
        <v>10</v>
      </c>
      <c r="I6212" t="s">
        <v>27</v>
      </c>
      <c r="J6212" t="s">
        <v>39</v>
      </c>
      <c r="K6212" t="str">
        <f>"131127"</f>
        <v>131127</v>
      </c>
    </row>
    <row r="6213" spans="1:11" x14ac:dyDescent="0.25">
      <c r="A6213">
        <v>2025</v>
      </c>
      <c r="B6213" t="s">
        <v>334</v>
      </c>
      <c r="C6213" t="s">
        <v>335</v>
      </c>
      <c r="D6213" t="s">
        <v>19</v>
      </c>
      <c r="E6213" t="s">
        <v>20</v>
      </c>
      <c r="F6213" t="str">
        <f>"43617-1074"</f>
        <v>43617-1074</v>
      </c>
      <c r="G6213" t="str">
        <f t="shared" si="215"/>
        <v>753658</v>
      </c>
      <c r="H6213" s="2">
        <f>30</f>
        <v>30</v>
      </c>
      <c r="I6213" t="s">
        <v>27</v>
      </c>
      <c r="J6213" t="s">
        <v>39</v>
      </c>
      <c r="K6213" t="str">
        <f>"129208"</f>
        <v>129208</v>
      </c>
    </row>
    <row r="6214" spans="1:11" x14ac:dyDescent="0.25">
      <c r="A6214">
        <v>2025</v>
      </c>
      <c r="B6214" t="s">
        <v>336</v>
      </c>
      <c r="C6214" t="s">
        <v>337</v>
      </c>
      <c r="D6214" t="s">
        <v>19</v>
      </c>
      <c r="E6214" t="s">
        <v>20</v>
      </c>
      <c r="F6214" t="str">
        <f>"43612-1806"</f>
        <v>43612-1806</v>
      </c>
      <c r="G6214" t="str">
        <f t="shared" si="215"/>
        <v>753658</v>
      </c>
      <c r="H6214" s="2">
        <f>30</f>
        <v>30</v>
      </c>
      <c r="I6214" t="s">
        <v>27</v>
      </c>
      <c r="J6214" t="s">
        <v>39</v>
      </c>
      <c r="K6214" t="str">
        <f>"129498"</f>
        <v>129498</v>
      </c>
    </row>
    <row r="6215" spans="1:11" x14ac:dyDescent="0.25">
      <c r="A6215">
        <v>2025</v>
      </c>
      <c r="B6215" t="s">
        <v>346</v>
      </c>
      <c r="C6215" t="s">
        <v>347</v>
      </c>
      <c r="D6215" t="s">
        <v>50</v>
      </c>
      <c r="E6215" t="s">
        <v>20</v>
      </c>
      <c r="F6215" t="str">
        <f>"43560-3820"</f>
        <v>43560-3820</v>
      </c>
      <c r="G6215" t="str">
        <f t="shared" si="215"/>
        <v>753658</v>
      </c>
      <c r="H6215" s="2">
        <f>10</f>
        <v>10</v>
      </c>
      <c r="I6215" t="s">
        <v>27</v>
      </c>
      <c r="J6215" t="s">
        <v>39</v>
      </c>
      <c r="K6215" t="str">
        <f>"126355"</f>
        <v>126355</v>
      </c>
    </row>
    <row r="6216" spans="1:11" x14ac:dyDescent="0.25">
      <c r="A6216">
        <v>2025</v>
      </c>
      <c r="B6216" t="s">
        <v>352</v>
      </c>
      <c r="C6216" t="s">
        <v>353</v>
      </c>
      <c r="D6216" t="s">
        <v>19</v>
      </c>
      <c r="E6216" t="s">
        <v>20</v>
      </c>
      <c r="F6216" t="str">
        <f>"43623-3861"</f>
        <v>43623-3861</v>
      </c>
      <c r="G6216" t="str">
        <f t="shared" si="215"/>
        <v>753658</v>
      </c>
      <c r="H6216" s="2">
        <f>20</f>
        <v>20</v>
      </c>
      <c r="I6216" t="s">
        <v>27</v>
      </c>
      <c r="J6216" t="s">
        <v>39</v>
      </c>
      <c r="K6216" t="str">
        <f>"127869"</f>
        <v>127869</v>
      </c>
    </row>
    <row r="6217" spans="1:11" x14ac:dyDescent="0.25">
      <c r="A6217">
        <v>2025</v>
      </c>
      <c r="B6217" t="s">
        <v>360</v>
      </c>
      <c r="C6217" t="s">
        <v>361</v>
      </c>
      <c r="D6217" t="s">
        <v>19</v>
      </c>
      <c r="E6217" t="s">
        <v>20</v>
      </c>
      <c r="F6217" t="str">
        <f>"43606-1960"</f>
        <v>43606-1960</v>
      </c>
      <c r="G6217" t="str">
        <f t="shared" si="215"/>
        <v>753658</v>
      </c>
      <c r="H6217" s="2">
        <f>80</f>
        <v>80</v>
      </c>
      <c r="I6217" t="s">
        <v>27</v>
      </c>
      <c r="J6217" t="s">
        <v>39</v>
      </c>
      <c r="K6217" t="str">
        <f>"129106"</f>
        <v>129106</v>
      </c>
    </row>
    <row r="6218" spans="1:11" x14ac:dyDescent="0.25">
      <c r="A6218">
        <v>2025</v>
      </c>
      <c r="B6218" t="s">
        <v>367</v>
      </c>
      <c r="C6218" t="s">
        <v>368</v>
      </c>
      <c r="D6218" t="s">
        <v>19</v>
      </c>
      <c r="E6218" t="s">
        <v>20</v>
      </c>
      <c r="F6218" t="str">
        <f>"43612-4233"</f>
        <v>43612-4233</v>
      </c>
      <c r="G6218" t="str">
        <f t="shared" si="215"/>
        <v>753658</v>
      </c>
      <c r="H6218" s="2">
        <f>40</f>
        <v>40</v>
      </c>
      <c r="I6218" t="s">
        <v>27</v>
      </c>
      <c r="J6218" t="s">
        <v>39</v>
      </c>
      <c r="K6218" t="str">
        <f>"131190"</f>
        <v>131190</v>
      </c>
    </row>
    <row r="6219" spans="1:11" x14ac:dyDescent="0.25">
      <c r="A6219">
        <v>2025</v>
      </c>
      <c r="B6219" t="s">
        <v>369</v>
      </c>
      <c r="C6219" t="s">
        <v>370</v>
      </c>
      <c r="D6219" t="s">
        <v>58</v>
      </c>
      <c r="E6219" t="s">
        <v>20</v>
      </c>
      <c r="F6219" t="str">
        <f>"43616-2139"</f>
        <v>43616-2139</v>
      </c>
      <c r="G6219" t="str">
        <f t="shared" si="215"/>
        <v>753658</v>
      </c>
      <c r="H6219" s="2">
        <f>20</f>
        <v>20</v>
      </c>
      <c r="I6219" t="s">
        <v>27</v>
      </c>
      <c r="J6219" t="s">
        <v>39</v>
      </c>
      <c r="K6219" t="str">
        <f>"127459"</f>
        <v>127459</v>
      </c>
    </row>
    <row r="6220" spans="1:11" x14ac:dyDescent="0.25">
      <c r="A6220">
        <v>2025</v>
      </c>
      <c r="B6220" t="s">
        <v>374</v>
      </c>
      <c r="C6220" t="s">
        <v>375</v>
      </c>
      <c r="D6220" t="s">
        <v>19</v>
      </c>
      <c r="E6220" t="s">
        <v>20</v>
      </c>
      <c r="F6220" t="str">
        <f>"43613-3418"</f>
        <v>43613-3418</v>
      </c>
      <c r="G6220" t="str">
        <f t="shared" si="215"/>
        <v>753658</v>
      </c>
      <c r="H6220" s="2">
        <f>20</f>
        <v>20</v>
      </c>
      <c r="I6220" t="s">
        <v>27</v>
      </c>
      <c r="J6220" t="s">
        <v>39</v>
      </c>
      <c r="K6220" t="str">
        <f>"125404"</f>
        <v>125404</v>
      </c>
    </row>
    <row r="6221" spans="1:11" x14ac:dyDescent="0.25">
      <c r="A6221">
        <v>2025</v>
      </c>
      <c r="B6221" t="s">
        <v>374</v>
      </c>
      <c r="C6221" t="s">
        <v>375</v>
      </c>
      <c r="D6221" t="s">
        <v>19</v>
      </c>
      <c r="E6221" t="s">
        <v>20</v>
      </c>
      <c r="F6221" t="str">
        <f>"43613-3418"</f>
        <v>43613-3418</v>
      </c>
      <c r="G6221" t="str">
        <f t="shared" si="215"/>
        <v>753658</v>
      </c>
      <c r="H6221" s="2">
        <f>20</f>
        <v>20</v>
      </c>
      <c r="I6221" t="s">
        <v>27</v>
      </c>
      <c r="J6221" t="s">
        <v>39</v>
      </c>
      <c r="K6221" t="str">
        <f>"131781"</f>
        <v>131781</v>
      </c>
    </row>
    <row r="6222" spans="1:11" x14ac:dyDescent="0.25">
      <c r="A6222">
        <v>2025</v>
      </c>
      <c r="B6222" t="s">
        <v>378</v>
      </c>
      <c r="C6222" t="s">
        <v>379</v>
      </c>
      <c r="D6222" t="s">
        <v>380</v>
      </c>
      <c r="E6222" t="s">
        <v>20</v>
      </c>
      <c r="F6222" t="str">
        <f>"44406"</f>
        <v>44406</v>
      </c>
      <c r="G6222" t="str">
        <f>"759796"</f>
        <v>759796</v>
      </c>
      <c r="H6222" s="2">
        <f>20</f>
        <v>20</v>
      </c>
      <c r="I6222" t="s">
        <v>27</v>
      </c>
      <c r="J6222" t="s">
        <v>188</v>
      </c>
      <c r="K6222" t="str">
        <f>"44657"</f>
        <v>44657</v>
      </c>
    </row>
    <row r="6223" spans="1:11" x14ac:dyDescent="0.25">
      <c r="A6223">
        <v>2025</v>
      </c>
      <c r="B6223" t="s">
        <v>400</v>
      </c>
      <c r="C6223" t="s">
        <v>401</v>
      </c>
      <c r="D6223" t="s">
        <v>19</v>
      </c>
      <c r="E6223" t="s">
        <v>20</v>
      </c>
      <c r="F6223" t="str">
        <f>"43606-2040"</f>
        <v>43606-2040</v>
      </c>
      <c r="G6223" t="str">
        <f>"753658"</f>
        <v>753658</v>
      </c>
      <c r="H6223" s="2">
        <f>20</f>
        <v>20</v>
      </c>
      <c r="I6223" t="s">
        <v>27</v>
      </c>
      <c r="J6223" t="s">
        <v>39</v>
      </c>
      <c r="K6223" t="str">
        <f>"128528"</f>
        <v>128528</v>
      </c>
    </row>
    <row r="6224" spans="1:11" x14ac:dyDescent="0.25">
      <c r="A6224">
        <v>2025</v>
      </c>
      <c r="B6224" t="s">
        <v>402</v>
      </c>
      <c r="C6224" t="s">
        <v>403</v>
      </c>
      <c r="D6224" t="s">
        <v>19</v>
      </c>
      <c r="E6224" t="s">
        <v>20</v>
      </c>
      <c r="F6224" t="str">
        <f>"43620-1124"</f>
        <v>43620-1124</v>
      </c>
      <c r="G6224" t="str">
        <f>"753658"</f>
        <v>753658</v>
      </c>
      <c r="H6224" s="2">
        <f>10</f>
        <v>10</v>
      </c>
      <c r="I6224" t="s">
        <v>27</v>
      </c>
      <c r="J6224" t="s">
        <v>39</v>
      </c>
      <c r="K6224" t="str">
        <f>"126360"</f>
        <v>126360</v>
      </c>
    </row>
    <row r="6225" spans="1:11" x14ac:dyDescent="0.25">
      <c r="A6225">
        <v>2025</v>
      </c>
      <c r="B6225" t="s">
        <v>415</v>
      </c>
      <c r="C6225" t="s">
        <v>421</v>
      </c>
      <c r="D6225" t="s">
        <v>422</v>
      </c>
      <c r="E6225" t="s">
        <v>20</v>
      </c>
      <c r="F6225" t="str">
        <f>"44114"</f>
        <v>44114</v>
      </c>
      <c r="G6225" t="str">
        <f>"759796"</f>
        <v>759796</v>
      </c>
      <c r="H6225" s="2">
        <f>0.09</f>
        <v>0.09</v>
      </c>
      <c r="I6225" t="s">
        <v>27</v>
      </c>
      <c r="J6225" t="s">
        <v>188</v>
      </c>
      <c r="K6225" t="str">
        <f>"46012"</f>
        <v>46012</v>
      </c>
    </row>
    <row r="6226" spans="1:11" x14ac:dyDescent="0.25">
      <c r="A6226">
        <v>2025</v>
      </c>
      <c r="B6226" t="s">
        <v>427</v>
      </c>
      <c r="C6226" t="s">
        <v>428</v>
      </c>
      <c r="D6226" t="s">
        <v>125</v>
      </c>
      <c r="E6226" t="s">
        <v>20</v>
      </c>
      <c r="F6226" t="str">
        <f>"43537-9630"</f>
        <v>43537-9630</v>
      </c>
      <c r="G6226" t="str">
        <f>"753658"</f>
        <v>753658</v>
      </c>
      <c r="H6226" s="2">
        <f>10</f>
        <v>10</v>
      </c>
      <c r="I6226" t="s">
        <v>27</v>
      </c>
      <c r="J6226" t="s">
        <v>39</v>
      </c>
      <c r="K6226" t="str">
        <f>"129543"</f>
        <v>129543</v>
      </c>
    </row>
    <row r="6227" spans="1:11" x14ac:dyDescent="0.25">
      <c r="A6227">
        <v>2025</v>
      </c>
      <c r="B6227" t="s">
        <v>431</v>
      </c>
      <c r="C6227" t="s">
        <v>432</v>
      </c>
      <c r="D6227" t="s">
        <v>422</v>
      </c>
      <c r="E6227" t="s">
        <v>20</v>
      </c>
      <c r="F6227" t="str">
        <f>"44115"</f>
        <v>44115</v>
      </c>
      <c r="G6227" t="str">
        <f>"759796"</f>
        <v>759796</v>
      </c>
      <c r="H6227" s="2">
        <f>550</f>
        <v>550</v>
      </c>
      <c r="I6227" t="s">
        <v>27</v>
      </c>
      <c r="J6227" t="s">
        <v>188</v>
      </c>
      <c r="K6227" t="str">
        <f>"44959"</f>
        <v>44959</v>
      </c>
    </row>
    <row r="6228" spans="1:11" x14ac:dyDescent="0.25">
      <c r="A6228">
        <v>2025</v>
      </c>
      <c r="B6228" t="s">
        <v>449</v>
      </c>
      <c r="C6228" t="s">
        <v>450</v>
      </c>
      <c r="D6228" t="s">
        <v>19</v>
      </c>
      <c r="E6228" t="s">
        <v>20</v>
      </c>
      <c r="F6228" t="str">
        <f>"43612"</f>
        <v>43612</v>
      </c>
      <c r="G6228" t="str">
        <f>"753658"</f>
        <v>753658</v>
      </c>
      <c r="H6228" s="2">
        <f>20</f>
        <v>20</v>
      </c>
      <c r="I6228" t="s">
        <v>27</v>
      </c>
      <c r="J6228" t="s">
        <v>39</v>
      </c>
      <c r="K6228" t="str">
        <f>"127533"</f>
        <v>127533</v>
      </c>
    </row>
    <row r="6229" spans="1:11" x14ac:dyDescent="0.25">
      <c r="A6229">
        <v>2025</v>
      </c>
      <c r="B6229" t="s">
        <v>477</v>
      </c>
      <c r="C6229" t="s">
        <v>478</v>
      </c>
      <c r="D6229" t="s">
        <v>19</v>
      </c>
      <c r="E6229" t="s">
        <v>20</v>
      </c>
      <c r="F6229" t="str">
        <f>"43612"</f>
        <v>43612</v>
      </c>
      <c r="G6229" t="str">
        <f>"753658"</f>
        <v>753658</v>
      </c>
      <c r="H6229" s="2">
        <f>10</f>
        <v>10</v>
      </c>
      <c r="I6229" t="s">
        <v>27</v>
      </c>
      <c r="J6229" t="s">
        <v>39</v>
      </c>
      <c r="K6229" t="str">
        <f>"125722"</f>
        <v>125722</v>
      </c>
    </row>
    <row r="6230" spans="1:11" x14ac:dyDescent="0.25">
      <c r="A6230">
        <v>2025</v>
      </c>
      <c r="B6230" t="s">
        <v>481</v>
      </c>
      <c r="C6230" t="s">
        <v>482</v>
      </c>
      <c r="D6230" t="s">
        <v>105</v>
      </c>
      <c r="E6230" t="s">
        <v>20</v>
      </c>
      <c r="F6230" t="str">
        <f>"43528-9671"</f>
        <v>43528-9671</v>
      </c>
      <c r="G6230" t="str">
        <f>"753658"</f>
        <v>753658</v>
      </c>
      <c r="H6230" s="2">
        <f>20</f>
        <v>20</v>
      </c>
      <c r="I6230" t="s">
        <v>27</v>
      </c>
      <c r="J6230" t="s">
        <v>39</v>
      </c>
      <c r="K6230" t="str">
        <f>"128483"</f>
        <v>128483</v>
      </c>
    </row>
    <row r="6231" spans="1:11" x14ac:dyDescent="0.25">
      <c r="A6231">
        <v>2025</v>
      </c>
      <c r="B6231" t="s">
        <v>493</v>
      </c>
      <c r="C6231" t="s">
        <v>494</v>
      </c>
      <c r="D6231" t="s">
        <v>19</v>
      </c>
      <c r="E6231" t="s">
        <v>20</v>
      </c>
      <c r="F6231" t="str">
        <f>"43615-1840"</f>
        <v>43615-1840</v>
      </c>
      <c r="G6231" t="str">
        <f>"753658"</f>
        <v>753658</v>
      </c>
      <c r="H6231" s="2">
        <f>10</f>
        <v>10</v>
      </c>
      <c r="I6231" t="s">
        <v>27</v>
      </c>
      <c r="J6231" t="s">
        <v>39</v>
      </c>
      <c r="K6231" t="str">
        <f>"129613"</f>
        <v>129613</v>
      </c>
    </row>
    <row r="6232" spans="1:11" x14ac:dyDescent="0.25">
      <c r="A6232">
        <v>2025</v>
      </c>
      <c r="B6232" t="s">
        <v>495</v>
      </c>
      <c r="C6232" t="s">
        <v>496</v>
      </c>
      <c r="D6232" t="s">
        <v>497</v>
      </c>
      <c r="E6232" t="s">
        <v>20</v>
      </c>
      <c r="F6232" t="str">
        <f>"43606"</f>
        <v>43606</v>
      </c>
      <c r="G6232" t="str">
        <f>"Je04082025"</f>
        <v>Je04082025</v>
      </c>
      <c r="H6232" s="2">
        <f>111</f>
        <v>111</v>
      </c>
      <c r="I6232" t="s">
        <v>15</v>
      </c>
      <c r="J6232" t="s">
        <v>24</v>
      </c>
      <c r="K6232" t="str">
        <f>"60146257"</f>
        <v>60146257</v>
      </c>
    </row>
    <row r="6233" spans="1:11" x14ac:dyDescent="0.25">
      <c r="A6233">
        <v>2025</v>
      </c>
      <c r="B6233" t="s">
        <v>498</v>
      </c>
      <c r="C6233" t="s">
        <v>499</v>
      </c>
      <c r="D6233" t="s">
        <v>105</v>
      </c>
      <c r="E6233" t="s">
        <v>20</v>
      </c>
      <c r="F6233" t="str">
        <f>"43528"</f>
        <v>43528</v>
      </c>
      <c r="G6233" t="str">
        <f>"753658"</f>
        <v>753658</v>
      </c>
      <c r="H6233" s="2">
        <f>10</f>
        <v>10</v>
      </c>
      <c r="I6233" t="s">
        <v>27</v>
      </c>
      <c r="J6233" t="s">
        <v>39</v>
      </c>
      <c r="K6233" t="str">
        <f>"130928"</f>
        <v>130928</v>
      </c>
    </row>
    <row r="6234" spans="1:11" x14ac:dyDescent="0.25">
      <c r="A6234">
        <v>2025</v>
      </c>
      <c r="B6234" t="s">
        <v>500</v>
      </c>
      <c r="C6234" t="s">
        <v>501</v>
      </c>
      <c r="D6234" t="s">
        <v>50</v>
      </c>
      <c r="E6234" t="s">
        <v>20</v>
      </c>
      <c r="F6234" t="str">
        <f>"43560-9543"</f>
        <v>43560-9543</v>
      </c>
      <c r="G6234" t="str">
        <f>"753658"</f>
        <v>753658</v>
      </c>
      <c r="H6234" s="2">
        <f>100</f>
        <v>100</v>
      </c>
      <c r="I6234" t="s">
        <v>27</v>
      </c>
      <c r="J6234" t="s">
        <v>39</v>
      </c>
      <c r="K6234" t="str">
        <f>"127587"</f>
        <v>127587</v>
      </c>
    </row>
    <row r="6235" spans="1:11" x14ac:dyDescent="0.25">
      <c r="A6235">
        <v>2025</v>
      </c>
      <c r="B6235" t="s">
        <v>500</v>
      </c>
      <c r="C6235" t="s">
        <v>501</v>
      </c>
      <c r="D6235" t="s">
        <v>50</v>
      </c>
      <c r="E6235" t="s">
        <v>20</v>
      </c>
      <c r="F6235" t="str">
        <f>"43560-9543"</f>
        <v>43560-9543</v>
      </c>
      <c r="G6235" t="str">
        <f>"753658"</f>
        <v>753658</v>
      </c>
      <c r="H6235" s="2">
        <f>20</f>
        <v>20</v>
      </c>
      <c r="I6235" t="s">
        <v>27</v>
      </c>
      <c r="J6235" t="s">
        <v>39</v>
      </c>
      <c r="K6235" t="str">
        <f>"127729"</f>
        <v>127729</v>
      </c>
    </row>
    <row r="6236" spans="1:11" x14ac:dyDescent="0.25">
      <c r="A6236">
        <v>2025</v>
      </c>
      <c r="B6236" t="s">
        <v>504</v>
      </c>
      <c r="C6236" t="s">
        <v>505</v>
      </c>
      <c r="D6236" t="s">
        <v>19</v>
      </c>
      <c r="E6236" t="s">
        <v>20</v>
      </c>
      <c r="F6236" t="str">
        <f>"43613-2425"</f>
        <v>43613-2425</v>
      </c>
      <c r="G6236" t="str">
        <f>"753658"</f>
        <v>753658</v>
      </c>
      <c r="H6236" s="2">
        <f>10</f>
        <v>10</v>
      </c>
      <c r="I6236" t="s">
        <v>27</v>
      </c>
      <c r="J6236" t="s">
        <v>39</v>
      </c>
      <c r="K6236" t="str">
        <f>"126213"</f>
        <v>126213</v>
      </c>
    </row>
    <row r="6237" spans="1:11" x14ac:dyDescent="0.25">
      <c r="A6237">
        <v>2025</v>
      </c>
      <c r="B6237" t="s">
        <v>508</v>
      </c>
      <c r="C6237" t="s">
        <v>509</v>
      </c>
      <c r="D6237" t="s">
        <v>19</v>
      </c>
      <c r="E6237" t="s">
        <v>20</v>
      </c>
      <c r="F6237" t="str">
        <f>"43606-3163"</f>
        <v>43606-3163</v>
      </c>
      <c r="G6237" t="str">
        <f>"753658"</f>
        <v>753658</v>
      </c>
      <c r="H6237" s="2">
        <f>30</f>
        <v>30</v>
      </c>
      <c r="I6237" t="s">
        <v>27</v>
      </c>
      <c r="J6237" t="s">
        <v>39</v>
      </c>
      <c r="K6237" t="str">
        <f>"128368"</f>
        <v>128368</v>
      </c>
    </row>
    <row r="6238" spans="1:11" x14ac:dyDescent="0.25">
      <c r="A6238">
        <v>2025</v>
      </c>
      <c r="B6238" t="s">
        <v>510</v>
      </c>
      <c r="C6238" t="s">
        <v>511</v>
      </c>
      <c r="D6238" t="s">
        <v>512</v>
      </c>
      <c r="E6238" t="s">
        <v>20</v>
      </c>
      <c r="F6238" t="str">
        <f>"43512"</f>
        <v>43512</v>
      </c>
      <c r="G6238" t="str">
        <f>"751641"</f>
        <v>751641</v>
      </c>
      <c r="H6238" s="2">
        <f>4</f>
        <v>4</v>
      </c>
      <c r="I6238" t="s">
        <v>27</v>
      </c>
      <c r="J6238" t="s">
        <v>219</v>
      </c>
      <c r="K6238" t="str">
        <f>"22027043"</f>
        <v>22027043</v>
      </c>
    </row>
    <row r="6239" spans="1:11" x14ac:dyDescent="0.25">
      <c r="A6239">
        <v>2025</v>
      </c>
      <c r="B6239" t="s">
        <v>528</v>
      </c>
      <c r="C6239" t="s">
        <v>529</v>
      </c>
      <c r="D6239" t="s">
        <v>19</v>
      </c>
      <c r="E6239" t="s">
        <v>20</v>
      </c>
      <c r="F6239" t="str">
        <f>"43610"</f>
        <v>43610</v>
      </c>
      <c r="G6239" t="str">
        <f>"Je07082025"</f>
        <v>Je07082025</v>
      </c>
      <c r="H6239" s="2">
        <f>200</f>
        <v>200</v>
      </c>
      <c r="I6239" t="s">
        <v>15</v>
      </c>
      <c r="J6239" t="s">
        <v>185</v>
      </c>
      <c r="K6239" t="str">
        <f>"60151559"</f>
        <v>60151559</v>
      </c>
    </row>
    <row r="6240" spans="1:11" x14ac:dyDescent="0.25">
      <c r="A6240">
        <v>2025</v>
      </c>
      <c r="B6240" t="s">
        <v>537</v>
      </c>
      <c r="C6240" t="s">
        <v>538</v>
      </c>
      <c r="D6240" t="s">
        <v>19</v>
      </c>
      <c r="E6240" t="s">
        <v>20</v>
      </c>
      <c r="F6240" t="str">
        <f>"43614-4434"</f>
        <v>43614-4434</v>
      </c>
      <c r="G6240" t="str">
        <f>"753658"</f>
        <v>753658</v>
      </c>
      <c r="H6240" s="2">
        <f>20</f>
        <v>20</v>
      </c>
      <c r="I6240" t="s">
        <v>27</v>
      </c>
      <c r="J6240" t="s">
        <v>39</v>
      </c>
      <c r="K6240" t="str">
        <f>"131580"</f>
        <v>131580</v>
      </c>
    </row>
    <row r="6241" spans="1:11" x14ac:dyDescent="0.25">
      <c r="A6241">
        <v>2025</v>
      </c>
      <c r="B6241" t="s">
        <v>539</v>
      </c>
      <c r="C6241" t="s">
        <v>540</v>
      </c>
      <c r="D6241" t="s">
        <v>64</v>
      </c>
      <c r="E6241" t="s">
        <v>20</v>
      </c>
      <c r="F6241" t="str">
        <f>"43566-1350"</f>
        <v>43566-1350</v>
      </c>
      <c r="G6241" t="str">
        <f>"753658"</f>
        <v>753658</v>
      </c>
      <c r="H6241" s="2">
        <f>10</f>
        <v>10</v>
      </c>
      <c r="I6241" t="s">
        <v>27</v>
      </c>
      <c r="J6241" t="s">
        <v>39</v>
      </c>
      <c r="K6241" t="str">
        <f>"125778"</f>
        <v>125778</v>
      </c>
    </row>
    <row r="6242" spans="1:11" x14ac:dyDescent="0.25">
      <c r="A6242">
        <v>2025</v>
      </c>
      <c r="B6242" t="s">
        <v>543</v>
      </c>
      <c r="C6242" t="s">
        <v>544</v>
      </c>
      <c r="D6242" t="s">
        <v>125</v>
      </c>
      <c r="E6242" t="s">
        <v>20</v>
      </c>
      <c r="F6242" t="str">
        <f>"43537-9727"</f>
        <v>43537-9727</v>
      </c>
      <c r="G6242" t="str">
        <f>"753658"</f>
        <v>753658</v>
      </c>
      <c r="H6242" s="2">
        <f>10</f>
        <v>10</v>
      </c>
      <c r="I6242" t="s">
        <v>27</v>
      </c>
      <c r="J6242" t="s">
        <v>39</v>
      </c>
      <c r="K6242" t="str">
        <f>"125534"</f>
        <v>125534</v>
      </c>
    </row>
    <row r="6243" spans="1:11" x14ac:dyDescent="0.25">
      <c r="A6243">
        <v>2025</v>
      </c>
      <c r="B6243" t="s">
        <v>553</v>
      </c>
      <c r="C6243" t="s">
        <v>554</v>
      </c>
      <c r="D6243" t="s">
        <v>125</v>
      </c>
      <c r="E6243" t="s">
        <v>20</v>
      </c>
      <c r="F6243" t="str">
        <f>"43537-2256"</f>
        <v>43537-2256</v>
      </c>
      <c r="G6243" t="str">
        <f>"753658"</f>
        <v>753658</v>
      </c>
      <c r="H6243" s="2">
        <f>10</f>
        <v>10</v>
      </c>
      <c r="I6243" t="s">
        <v>27</v>
      </c>
      <c r="J6243" t="s">
        <v>39</v>
      </c>
      <c r="K6243" t="str">
        <f>"126410"</f>
        <v>126410</v>
      </c>
    </row>
    <row r="6244" spans="1:11" x14ac:dyDescent="0.25">
      <c r="A6244">
        <v>2025</v>
      </c>
      <c r="B6244" t="s">
        <v>557</v>
      </c>
      <c r="C6244" t="s">
        <v>558</v>
      </c>
      <c r="D6244" t="s">
        <v>19</v>
      </c>
      <c r="E6244" t="s">
        <v>20</v>
      </c>
      <c r="F6244" t="str">
        <f>"43614-1957"</f>
        <v>43614-1957</v>
      </c>
      <c r="G6244" t="str">
        <f>"753658"</f>
        <v>753658</v>
      </c>
      <c r="H6244" s="2">
        <f>10</f>
        <v>10</v>
      </c>
      <c r="I6244" t="s">
        <v>27</v>
      </c>
      <c r="J6244" t="s">
        <v>39</v>
      </c>
      <c r="K6244" t="str">
        <f>"127832"</f>
        <v>127832</v>
      </c>
    </row>
    <row r="6245" spans="1:11" x14ac:dyDescent="0.25">
      <c r="A6245">
        <v>2025</v>
      </c>
      <c r="B6245" t="s">
        <v>561</v>
      </c>
      <c r="C6245" t="s">
        <v>562</v>
      </c>
      <c r="D6245" t="s">
        <v>19</v>
      </c>
      <c r="E6245" t="s">
        <v>20</v>
      </c>
      <c r="F6245" t="str">
        <f>"43604"</f>
        <v>43604</v>
      </c>
      <c r="G6245" t="str">
        <f>"Je09192025"</f>
        <v>Je09192025</v>
      </c>
      <c r="H6245" s="2">
        <f>0.27</f>
        <v>0.27</v>
      </c>
      <c r="I6245" t="s">
        <v>15</v>
      </c>
      <c r="J6245" t="s">
        <v>563</v>
      </c>
      <c r="K6245" t="str">
        <f>"60164234"</f>
        <v>60164234</v>
      </c>
    </row>
    <row r="6246" spans="1:11" x14ac:dyDescent="0.25">
      <c r="A6246">
        <v>2025</v>
      </c>
      <c r="B6246" t="s">
        <v>564</v>
      </c>
      <c r="C6246" t="s">
        <v>565</v>
      </c>
      <c r="D6246" t="s">
        <v>19</v>
      </c>
      <c r="E6246" t="s">
        <v>20</v>
      </c>
      <c r="F6246" t="str">
        <f>"43623-3379"</f>
        <v>43623-3379</v>
      </c>
      <c r="G6246" t="str">
        <f>"753658"</f>
        <v>753658</v>
      </c>
      <c r="H6246" s="2">
        <f>20</f>
        <v>20</v>
      </c>
      <c r="I6246" t="s">
        <v>27</v>
      </c>
      <c r="J6246" t="s">
        <v>39</v>
      </c>
      <c r="K6246" t="str">
        <f>"129910"</f>
        <v>129910</v>
      </c>
    </row>
    <row r="6247" spans="1:11" x14ac:dyDescent="0.25">
      <c r="A6247">
        <v>2025</v>
      </c>
      <c r="B6247" t="s">
        <v>578</v>
      </c>
      <c r="C6247" t="s">
        <v>579</v>
      </c>
      <c r="D6247" t="s">
        <v>19</v>
      </c>
      <c r="E6247" t="s">
        <v>20</v>
      </c>
      <c r="F6247" t="str">
        <f>"43614-5707"</f>
        <v>43614-5707</v>
      </c>
      <c r="G6247" t="str">
        <f>"753658"</f>
        <v>753658</v>
      </c>
      <c r="H6247" s="2">
        <f>10</f>
        <v>10</v>
      </c>
      <c r="I6247" t="s">
        <v>27</v>
      </c>
      <c r="J6247" t="s">
        <v>39</v>
      </c>
      <c r="K6247" t="str">
        <f>"126532"</f>
        <v>126532</v>
      </c>
    </row>
    <row r="6248" spans="1:11" x14ac:dyDescent="0.25">
      <c r="A6248">
        <v>2025</v>
      </c>
      <c r="B6248" t="s">
        <v>582</v>
      </c>
      <c r="C6248" t="s">
        <v>583</v>
      </c>
      <c r="D6248" t="s">
        <v>19</v>
      </c>
      <c r="E6248" t="s">
        <v>20</v>
      </c>
      <c r="F6248" t="str">
        <f>"43612-4072"</f>
        <v>43612-4072</v>
      </c>
      <c r="G6248" t="str">
        <f>"753658"</f>
        <v>753658</v>
      </c>
      <c r="H6248" s="2">
        <f>10</f>
        <v>10</v>
      </c>
      <c r="I6248" t="s">
        <v>27</v>
      </c>
      <c r="J6248" t="s">
        <v>39</v>
      </c>
      <c r="K6248" t="str">
        <f>"127358"</f>
        <v>127358</v>
      </c>
    </row>
    <row r="6249" spans="1:11" x14ac:dyDescent="0.25">
      <c r="A6249">
        <v>2025</v>
      </c>
      <c r="B6249" t="s">
        <v>584</v>
      </c>
      <c r="C6249" t="s">
        <v>585</v>
      </c>
      <c r="D6249" t="s">
        <v>19</v>
      </c>
      <c r="E6249" t="s">
        <v>20</v>
      </c>
      <c r="F6249" t="str">
        <f>"43605-1134"</f>
        <v>43605-1134</v>
      </c>
      <c r="G6249" t="str">
        <f>"753658"</f>
        <v>753658</v>
      </c>
      <c r="H6249" s="2">
        <f>20</f>
        <v>20</v>
      </c>
      <c r="I6249" t="s">
        <v>27</v>
      </c>
      <c r="J6249" t="s">
        <v>39</v>
      </c>
      <c r="K6249" t="str">
        <f>"128389"</f>
        <v>128389</v>
      </c>
    </row>
    <row r="6250" spans="1:11" x14ac:dyDescent="0.25">
      <c r="A6250">
        <v>2025</v>
      </c>
      <c r="B6250" t="s">
        <v>605</v>
      </c>
      <c r="C6250" t="s">
        <v>606</v>
      </c>
      <c r="D6250" t="s">
        <v>58</v>
      </c>
      <c r="E6250" t="s">
        <v>20</v>
      </c>
      <c r="F6250" t="str">
        <f>"43616"</f>
        <v>43616</v>
      </c>
      <c r="G6250" t="str">
        <f>"751639"</f>
        <v>751639</v>
      </c>
      <c r="H6250" s="2">
        <f>8.04</f>
        <v>8.0399999999999991</v>
      </c>
      <c r="I6250" t="s">
        <v>27</v>
      </c>
      <c r="J6250" t="s">
        <v>96</v>
      </c>
      <c r="K6250" t="str">
        <f>"334812"</f>
        <v>334812</v>
      </c>
    </row>
    <row r="6251" spans="1:11" x14ac:dyDescent="0.25">
      <c r="A6251">
        <v>2025</v>
      </c>
      <c r="B6251" t="s">
        <v>611</v>
      </c>
      <c r="C6251" t="s">
        <v>612</v>
      </c>
      <c r="D6251" t="s">
        <v>50</v>
      </c>
      <c r="E6251" t="s">
        <v>20</v>
      </c>
      <c r="F6251" t="str">
        <f>"43560-8970"</f>
        <v>43560-8970</v>
      </c>
      <c r="G6251" t="str">
        <f t="shared" ref="G6251:G6262" si="216">"753658"</f>
        <v>753658</v>
      </c>
      <c r="H6251" s="2">
        <f>10</f>
        <v>10</v>
      </c>
      <c r="I6251" t="s">
        <v>27</v>
      </c>
      <c r="J6251" t="s">
        <v>39</v>
      </c>
      <c r="K6251" t="str">
        <f>"128310"</f>
        <v>128310</v>
      </c>
    </row>
    <row r="6252" spans="1:11" x14ac:dyDescent="0.25">
      <c r="A6252">
        <v>2025</v>
      </c>
      <c r="B6252" t="s">
        <v>618</v>
      </c>
      <c r="C6252" t="s">
        <v>619</v>
      </c>
      <c r="D6252" t="s">
        <v>19</v>
      </c>
      <c r="E6252" t="s">
        <v>20</v>
      </c>
      <c r="F6252" t="str">
        <f>"43611-1646"</f>
        <v>43611-1646</v>
      </c>
      <c r="G6252" t="str">
        <f t="shared" si="216"/>
        <v>753658</v>
      </c>
      <c r="H6252" s="2">
        <f>10</f>
        <v>10</v>
      </c>
      <c r="I6252" t="s">
        <v>27</v>
      </c>
      <c r="J6252" t="s">
        <v>39</v>
      </c>
      <c r="K6252" t="str">
        <f>"129571"</f>
        <v>129571</v>
      </c>
    </row>
    <row r="6253" spans="1:11" x14ac:dyDescent="0.25">
      <c r="A6253">
        <v>2025</v>
      </c>
      <c r="B6253" t="s">
        <v>626</v>
      </c>
      <c r="C6253" t="s">
        <v>627</v>
      </c>
      <c r="D6253" t="s">
        <v>19</v>
      </c>
      <c r="E6253" t="s">
        <v>20</v>
      </c>
      <c r="F6253" t="str">
        <f>"43615"</f>
        <v>43615</v>
      </c>
      <c r="G6253" t="str">
        <f t="shared" si="216"/>
        <v>753658</v>
      </c>
      <c r="H6253" s="2">
        <f>20</f>
        <v>20</v>
      </c>
      <c r="I6253" t="s">
        <v>27</v>
      </c>
      <c r="J6253" t="s">
        <v>39</v>
      </c>
      <c r="K6253" t="str">
        <f>"125723"</f>
        <v>125723</v>
      </c>
    </row>
    <row r="6254" spans="1:11" x14ac:dyDescent="0.25">
      <c r="A6254">
        <v>2025</v>
      </c>
      <c r="B6254" t="s">
        <v>630</v>
      </c>
      <c r="C6254" t="s">
        <v>631</v>
      </c>
      <c r="D6254" t="s">
        <v>19</v>
      </c>
      <c r="E6254" t="s">
        <v>20</v>
      </c>
      <c r="F6254" t="str">
        <f>"43611-2506"</f>
        <v>43611-2506</v>
      </c>
      <c r="G6254" t="str">
        <f t="shared" si="216"/>
        <v>753658</v>
      </c>
      <c r="H6254" s="2">
        <f>10</f>
        <v>10</v>
      </c>
      <c r="I6254" t="s">
        <v>27</v>
      </c>
      <c r="J6254" t="s">
        <v>39</v>
      </c>
      <c r="K6254" t="str">
        <f>"128068"</f>
        <v>128068</v>
      </c>
    </row>
    <row r="6255" spans="1:11" x14ac:dyDescent="0.25">
      <c r="A6255">
        <v>2025</v>
      </c>
      <c r="B6255" t="s">
        <v>632</v>
      </c>
      <c r="C6255" t="s">
        <v>633</v>
      </c>
      <c r="D6255" t="s">
        <v>19</v>
      </c>
      <c r="E6255" t="s">
        <v>20</v>
      </c>
      <c r="F6255" t="str">
        <f>"43609-1109"</f>
        <v>43609-1109</v>
      </c>
      <c r="G6255" t="str">
        <f t="shared" si="216"/>
        <v>753658</v>
      </c>
      <c r="H6255" s="2">
        <f>10</f>
        <v>10</v>
      </c>
      <c r="I6255" t="s">
        <v>27</v>
      </c>
      <c r="J6255" t="s">
        <v>39</v>
      </c>
      <c r="K6255" t="str">
        <f>"130957"</f>
        <v>130957</v>
      </c>
    </row>
    <row r="6256" spans="1:11" x14ac:dyDescent="0.25">
      <c r="A6256">
        <v>2025</v>
      </c>
      <c r="B6256" t="s">
        <v>671</v>
      </c>
      <c r="C6256" t="s">
        <v>672</v>
      </c>
      <c r="D6256" t="s">
        <v>19</v>
      </c>
      <c r="E6256" t="s">
        <v>20</v>
      </c>
      <c r="F6256" t="str">
        <f>"43613-1113"</f>
        <v>43613-1113</v>
      </c>
      <c r="G6256" t="str">
        <f t="shared" si="216"/>
        <v>753658</v>
      </c>
      <c r="H6256" s="2">
        <f>20</f>
        <v>20</v>
      </c>
      <c r="I6256" t="s">
        <v>27</v>
      </c>
      <c r="J6256" t="s">
        <v>39</v>
      </c>
      <c r="K6256" t="str">
        <f>"129859"</f>
        <v>129859</v>
      </c>
    </row>
    <row r="6257" spans="1:11" x14ac:dyDescent="0.25">
      <c r="A6257">
        <v>2025</v>
      </c>
      <c r="B6257" t="s">
        <v>673</v>
      </c>
      <c r="C6257" t="s">
        <v>674</v>
      </c>
      <c r="D6257" t="s">
        <v>19</v>
      </c>
      <c r="E6257" t="s">
        <v>20</v>
      </c>
      <c r="F6257" t="str">
        <f>"43613"</f>
        <v>43613</v>
      </c>
      <c r="G6257" t="str">
        <f t="shared" si="216"/>
        <v>753658</v>
      </c>
      <c r="H6257" s="2">
        <f>10</f>
        <v>10</v>
      </c>
      <c r="I6257" t="s">
        <v>27</v>
      </c>
      <c r="J6257" t="s">
        <v>39</v>
      </c>
      <c r="K6257" t="str">
        <f>"126290"</f>
        <v>126290</v>
      </c>
    </row>
    <row r="6258" spans="1:11" x14ac:dyDescent="0.25">
      <c r="A6258">
        <v>2025</v>
      </c>
      <c r="B6258" t="s">
        <v>677</v>
      </c>
      <c r="C6258" t="s">
        <v>678</v>
      </c>
      <c r="D6258" t="s">
        <v>50</v>
      </c>
      <c r="E6258" t="s">
        <v>20</v>
      </c>
      <c r="F6258" t="str">
        <f>"43560-1000"</f>
        <v>43560-1000</v>
      </c>
      <c r="G6258" t="str">
        <f t="shared" si="216"/>
        <v>753658</v>
      </c>
      <c r="H6258" s="2">
        <f>80</f>
        <v>80</v>
      </c>
      <c r="I6258" t="s">
        <v>27</v>
      </c>
      <c r="J6258" t="s">
        <v>39</v>
      </c>
      <c r="K6258" t="str">
        <f>"125558"</f>
        <v>125558</v>
      </c>
    </row>
    <row r="6259" spans="1:11" x14ac:dyDescent="0.25">
      <c r="A6259">
        <v>2025</v>
      </c>
      <c r="B6259" t="s">
        <v>677</v>
      </c>
      <c r="C6259" t="s">
        <v>678</v>
      </c>
      <c r="D6259" t="s">
        <v>50</v>
      </c>
      <c r="E6259" t="s">
        <v>20</v>
      </c>
      <c r="F6259" t="str">
        <f>"43560-1000"</f>
        <v>43560-1000</v>
      </c>
      <c r="G6259" t="str">
        <f t="shared" si="216"/>
        <v>753658</v>
      </c>
      <c r="H6259" s="2">
        <f>20</f>
        <v>20</v>
      </c>
      <c r="I6259" t="s">
        <v>27</v>
      </c>
      <c r="J6259" t="s">
        <v>39</v>
      </c>
      <c r="K6259" t="str">
        <f>"125688"</f>
        <v>125688</v>
      </c>
    </row>
    <row r="6260" spans="1:11" x14ac:dyDescent="0.25">
      <c r="A6260">
        <v>2025</v>
      </c>
      <c r="B6260" t="s">
        <v>677</v>
      </c>
      <c r="C6260" t="s">
        <v>678</v>
      </c>
      <c r="D6260" t="s">
        <v>50</v>
      </c>
      <c r="E6260" t="s">
        <v>20</v>
      </c>
      <c r="F6260" t="str">
        <f>"43560-1000"</f>
        <v>43560-1000</v>
      </c>
      <c r="G6260" t="str">
        <f t="shared" si="216"/>
        <v>753658</v>
      </c>
      <c r="H6260" s="2">
        <f>40</f>
        <v>40</v>
      </c>
      <c r="I6260" t="s">
        <v>27</v>
      </c>
      <c r="J6260" t="s">
        <v>39</v>
      </c>
      <c r="K6260" t="str">
        <f>"125421"</f>
        <v>125421</v>
      </c>
    </row>
    <row r="6261" spans="1:11" x14ac:dyDescent="0.25">
      <c r="A6261">
        <v>2025</v>
      </c>
      <c r="B6261" t="s">
        <v>683</v>
      </c>
      <c r="C6261" t="s">
        <v>684</v>
      </c>
      <c r="D6261" t="s">
        <v>64</v>
      </c>
      <c r="E6261" t="s">
        <v>20</v>
      </c>
      <c r="F6261" t="str">
        <f>"43566-9406"</f>
        <v>43566-9406</v>
      </c>
      <c r="G6261" t="str">
        <f t="shared" si="216"/>
        <v>753658</v>
      </c>
      <c r="H6261" s="2">
        <f>10</f>
        <v>10</v>
      </c>
      <c r="I6261" t="s">
        <v>27</v>
      </c>
      <c r="J6261" t="s">
        <v>39</v>
      </c>
      <c r="K6261" t="str">
        <f>"129588"</f>
        <v>129588</v>
      </c>
    </row>
    <row r="6262" spans="1:11" x14ac:dyDescent="0.25">
      <c r="A6262">
        <v>2025</v>
      </c>
      <c r="B6262" t="s">
        <v>687</v>
      </c>
      <c r="C6262" t="s">
        <v>688</v>
      </c>
      <c r="D6262" t="s">
        <v>19</v>
      </c>
      <c r="E6262" t="s">
        <v>20</v>
      </c>
      <c r="F6262" t="str">
        <f>"43606-3046"</f>
        <v>43606-3046</v>
      </c>
      <c r="G6262" t="str">
        <f t="shared" si="216"/>
        <v>753658</v>
      </c>
      <c r="H6262" s="2">
        <f>20</f>
        <v>20</v>
      </c>
      <c r="I6262" t="s">
        <v>27</v>
      </c>
      <c r="J6262" t="s">
        <v>39</v>
      </c>
      <c r="K6262" t="str">
        <f>"127385"</f>
        <v>127385</v>
      </c>
    </row>
    <row r="6263" spans="1:11" x14ac:dyDescent="0.25">
      <c r="A6263">
        <v>2025</v>
      </c>
      <c r="B6263" t="s">
        <v>689</v>
      </c>
      <c r="C6263" t="s">
        <v>690</v>
      </c>
      <c r="D6263" t="s">
        <v>19</v>
      </c>
      <c r="E6263" t="s">
        <v>20</v>
      </c>
      <c r="F6263" t="str">
        <f>"43611"</f>
        <v>43611</v>
      </c>
      <c r="G6263" t="str">
        <f>"772209"</f>
        <v>772209</v>
      </c>
      <c r="H6263" s="2">
        <f>45186</f>
        <v>45186</v>
      </c>
      <c r="I6263" t="s">
        <v>27</v>
      </c>
      <c r="J6263" t="s">
        <v>691</v>
      </c>
      <c r="K6263" t="str">
        <f>"N/A"</f>
        <v>N/A</v>
      </c>
    </row>
    <row r="6264" spans="1:11" x14ac:dyDescent="0.25">
      <c r="A6264">
        <v>2025</v>
      </c>
      <c r="B6264" t="s">
        <v>692</v>
      </c>
      <c r="C6264" t="s">
        <v>693</v>
      </c>
      <c r="D6264" t="s">
        <v>19</v>
      </c>
      <c r="E6264" t="s">
        <v>20</v>
      </c>
      <c r="F6264" t="str">
        <f>"43614-3921"</f>
        <v>43614-3921</v>
      </c>
      <c r="G6264" t="str">
        <f>"753658"</f>
        <v>753658</v>
      </c>
      <c r="H6264" s="2">
        <f>20</f>
        <v>20</v>
      </c>
      <c r="I6264" t="s">
        <v>27</v>
      </c>
      <c r="J6264" t="s">
        <v>39</v>
      </c>
      <c r="K6264" t="str">
        <f>"125716"</f>
        <v>125716</v>
      </c>
    </row>
    <row r="6265" spans="1:11" x14ac:dyDescent="0.25">
      <c r="A6265">
        <v>2025</v>
      </c>
      <c r="B6265" t="s">
        <v>721</v>
      </c>
      <c r="C6265" t="s">
        <v>722</v>
      </c>
      <c r="D6265" t="s">
        <v>19</v>
      </c>
      <c r="E6265" t="s">
        <v>20</v>
      </c>
      <c r="F6265" t="str">
        <f>"43613-4316"</f>
        <v>43613-4316</v>
      </c>
      <c r="G6265" t="str">
        <f>"753658"</f>
        <v>753658</v>
      </c>
      <c r="H6265" s="2">
        <f>20</f>
        <v>20</v>
      </c>
      <c r="I6265" t="s">
        <v>27</v>
      </c>
      <c r="J6265" t="s">
        <v>39</v>
      </c>
      <c r="K6265" t="str">
        <f>"125366"</f>
        <v>125366</v>
      </c>
    </row>
    <row r="6266" spans="1:11" x14ac:dyDescent="0.25">
      <c r="A6266">
        <v>2025</v>
      </c>
      <c r="B6266" t="s">
        <v>725</v>
      </c>
      <c r="C6266" t="s">
        <v>726</v>
      </c>
      <c r="D6266" t="s">
        <v>19</v>
      </c>
      <c r="E6266" t="s">
        <v>20</v>
      </c>
      <c r="F6266" t="str">
        <f>"43611-1878"</f>
        <v>43611-1878</v>
      </c>
      <c r="G6266" t="str">
        <f>"753658"</f>
        <v>753658</v>
      </c>
      <c r="H6266" s="2">
        <f>10</f>
        <v>10</v>
      </c>
      <c r="I6266" t="s">
        <v>27</v>
      </c>
      <c r="J6266" t="s">
        <v>39</v>
      </c>
      <c r="K6266" t="str">
        <f>"126273"</f>
        <v>126273</v>
      </c>
    </row>
    <row r="6267" spans="1:11" x14ac:dyDescent="0.25">
      <c r="A6267">
        <v>2025</v>
      </c>
      <c r="B6267" t="s">
        <v>727</v>
      </c>
      <c r="C6267" t="s">
        <v>728</v>
      </c>
      <c r="D6267" t="s">
        <v>19</v>
      </c>
      <c r="E6267" t="s">
        <v>20</v>
      </c>
      <c r="F6267" t="str">
        <f>"43611-1011"</f>
        <v>43611-1011</v>
      </c>
      <c r="G6267" t="str">
        <f>"Je04082025"</f>
        <v>Je04082025</v>
      </c>
      <c r="H6267" s="2">
        <f>23.9</f>
        <v>23.9</v>
      </c>
      <c r="I6267" t="s">
        <v>15</v>
      </c>
      <c r="J6267" t="s">
        <v>24</v>
      </c>
      <c r="K6267" t="str">
        <f>"60144750"</f>
        <v>60144750</v>
      </c>
    </row>
    <row r="6268" spans="1:11" x14ac:dyDescent="0.25">
      <c r="A6268">
        <v>2025</v>
      </c>
      <c r="B6268" t="s">
        <v>733</v>
      </c>
      <c r="C6268" t="s">
        <v>734</v>
      </c>
      <c r="D6268" t="s">
        <v>19</v>
      </c>
      <c r="E6268" t="s">
        <v>20</v>
      </c>
      <c r="F6268" t="str">
        <f>"43608-1918"</f>
        <v>43608-1918</v>
      </c>
      <c r="G6268" t="str">
        <f>"753658"</f>
        <v>753658</v>
      </c>
      <c r="H6268" s="2">
        <f>20</f>
        <v>20</v>
      </c>
      <c r="I6268" t="s">
        <v>27</v>
      </c>
      <c r="J6268" t="s">
        <v>39</v>
      </c>
      <c r="K6268" t="str">
        <f>"128697"</f>
        <v>128697</v>
      </c>
    </row>
    <row r="6269" spans="1:11" x14ac:dyDescent="0.25">
      <c r="A6269">
        <v>2025</v>
      </c>
      <c r="B6269" t="s">
        <v>737</v>
      </c>
      <c r="C6269" t="s">
        <v>738</v>
      </c>
      <c r="D6269" t="s">
        <v>19</v>
      </c>
      <c r="E6269" t="s">
        <v>20</v>
      </c>
      <c r="F6269" t="str">
        <f>"43610-1127"</f>
        <v>43610-1127</v>
      </c>
      <c r="G6269" t="str">
        <f>"753658"</f>
        <v>753658</v>
      </c>
      <c r="H6269" s="2">
        <f>10</f>
        <v>10</v>
      </c>
      <c r="I6269" t="s">
        <v>27</v>
      </c>
      <c r="J6269" t="s">
        <v>39</v>
      </c>
      <c r="K6269" t="str">
        <f>"127802"</f>
        <v>127802</v>
      </c>
    </row>
    <row r="6270" spans="1:11" x14ac:dyDescent="0.25">
      <c r="A6270">
        <v>2025</v>
      </c>
      <c r="B6270" t="s">
        <v>743</v>
      </c>
      <c r="C6270" t="s">
        <v>744</v>
      </c>
      <c r="D6270" t="s">
        <v>19</v>
      </c>
      <c r="E6270" t="s">
        <v>20</v>
      </c>
      <c r="F6270" t="str">
        <f>"43612-1825"</f>
        <v>43612-1825</v>
      </c>
      <c r="G6270" t="str">
        <f>"753658"</f>
        <v>753658</v>
      </c>
      <c r="H6270" s="2">
        <f>10</f>
        <v>10</v>
      </c>
      <c r="I6270" t="s">
        <v>27</v>
      </c>
      <c r="J6270" t="s">
        <v>39</v>
      </c>
      <c r="K6270" t="str">
        <f>"128923"</f>
        <v>128923</v>
      </c>
    </row>
    <row r="6271" spans="1:11" x14ac:dyDescent="0.25">
      <c r="A6271">
        <v>2025</v>
      </c>
      <c r="B6271" t="s">
        <v>751</v>
      </c>
      <c r="C6271" t="s">
        <v>752</v>
      </c>
      <c r="D6271" t="s">
        <v>19</v>
      </c>
      <c r="E6271" t="s">
        <v>20</v>
      </c>
      <c r="F6271" t="str">
        <f>"43609-2235"</f>
        <v>43609-2235</v>
      </c>
      <c r="G6271" t="str">
        <f>"753658"</f>
        <v>753658</v>
      </c>
      <c r="H6271" s="2">
        <f>10</f>
        <v>10</v>
      </c>
      <c r="I6271" t="s">
        <v>27</v>
      </c>
      <c r="J6271" t="s">
        <v>39</v>
      </c>
      <c r="K6271" t="str">
        <f>"126083"</f>
        <v>126083</v>
      </c>
    </row>
    <row r="6272" spans="1:11" x14ac:dyDescent="0.25">
      <c r="A6272">
        <v>2025</v>
      </c>
      <c r="B6272" t="s">
        <v>753</v>
      </c>
      <c r="C6272" t="s">
        <v>754</v>
      </c>
      <c r="D6272" t="s">
        <v>19</v>
      </c>
      <c r="E6272" t="s">
        <v>20</v>
      </c>
      <c r="F6272" t="str">
        <f>"43611"</f>
        <v>43611</v>
      </c>
      <c r="G6272" t="str">
        <f>"751639"</f>
        <v>751639</v>
      </c>
      <c r="H6272" s="2">
        <f>3.63</f>
        <v>3.63</v>
      </c>
      <c r="I6272" t="s">
        <v>27</v>
      </c>
      <c r="J6272" t="s">
        <v>96</v>
      </c>
      <c r="K6272" t="str">
        <f>"334870"</f>
        <v>334870</v>
      </c>
    </row>
    <row r="6273" spans="1:11" x14ac:dyDescent="0.25">
      <c r="A6273">
        <v>2025</v>
      </c>
      <c r="B6273" t="s">
        <v>767</v>
      </c>
      <c r="C6273" t="s">
        <v>768</v>
      </c>
      <c r="D6273" t="s">
        <v>19</v>
      </c>
      <c r="E6273" t="s">
        <v>20</v>
      </c>
      <c r="F6273" t="str">
        <f>"43606-1236"</f>
        <v>43606-1236</v>
      </c>
      <c r="G6273" t="str">
        <f t="shared" ref="G6273:G6281" si="217">"753658"</f>
        <v>753658</v>
      </c>
      <c r="H6273" s="2">
        <f>10</f>
        <v>10</v>
      </c>
      <c r="I6273" t="s">
        <v>27</v>
      </c>
      <c r="J6273" t="s">
        <v>39</v>
      </c>
      <c r="K6273" t="str">
        <f>"126797"</f>
        <v>126797</v>
      </c>
    </row>
    <row r="6274" spans="1:11" x14ac:dyDescent="0.25">
      <c r="A6274">
        <v>2025</v>
      </c>
      <c r="B6274" t="s">
        <v>778</v>
      </c>
      <c r="C6274" t="s">
        <v>779</v>
      </c>
      <c r="D6274" t="s">
        <v>19</v>
      </c>
      <c r="E6274" t="s">
        <v>20</v>
      </c>
      <c r="F6274" t="str">
        <f>"43605-2172"</f>
        <v>43605-2172</v>
      </c>
      <c r="G6274" t="str">
        <f t="shared" si="217"/>
        <v>753658</v>
      </c>
      <c r="H6274" s="2">
        <f>10</f>
        <v>10</v>
      </c>
      <c r="I6274" t="s">
        <v>27</v>
      </c>
      <c r="J6274" t="s">
        <v>39</v>
      </c>
      <c r="K6274" t="str">
        <f>"127084"</f>
        <v>127084</v>
      </c>
    </row>
    <row r="6275" spans="1:11" x14ac:dyDescent="0.25">
      <c r="A6275">
        <v>2025</v>
      </c>
      <c r="B6275" t="s">
        <v>780</v>
      </c>
      <c r="C6275" t="s">
        <v>781</v>
      </c>
      <c r="D6275" t="s">
        <v>19</v>
      </c>
      <c r="E6275" t="s">
        <v>20</v>
      </c>
      <c r="F6275" t="str">
        <f>"43609-1519"</f>
        <v>43609-1519</v>
      </c>
      <c r="G6275" t="str">
        <f t="shared" si="217"/>
        <v>753658</v>
      </c>
      <c r="H6275" s="2">
        <f>30</f>
        <v>30</v>
      </c>
      <c r="I6275" t="s">
        <v>27</v>
      </c>
      <c r="J6275" t="s">
        <v>39</v>
      </c>
      <c r="K6275" t="str">
        <f>"131334"</f>
        <v>131334</v>
      </c>
    </row>
    <row r="6276" spans="1:11" x14ac:dyDescent="0.25">
      <c r="A6276">
        <v>2025</v>
      </c>
      <c r="B6276" t="s">
        <v>795</v>
      </c>
      <c r="C6276" t="s">
        <v>796</v>
      </c>
      <c r="D6276" t="s">
        <v>64</v>
      </c>
      <c r="E6276" t="s">
        <v>20</v>
      </c>
      <c r="F6276" t="str">
        <f>"43566-1514"</f>
        <v>43566-1514</v>
      </c>
      <c r="G6276" t="str">
        <f t="shared" si="217"/>
        <v>753658</v>
      </c>
      <c r="H6276" s="2">
        <f>20</f>
        <v>20</v>
      </c>
      <c r="I6276" t="s">
        <v>27</v>
      </c>
      <c r="J6276" t="s">
        <v>39</v>
      </c>
      <c r="K6276" t="str">
        <f>"128680"</f>
        <v>128680</v>
      </c>
    </row>
    <row r="6277" spans="1:11" x14ac:dyDescent="0.25">
      <c r="A6277">
        <v>2025</v>
      </c>
      <c r="B6277" t="s">
        <v>803</v>
      </c>
      <c r="C6277" t="s">
        <v>804</v>
      </c>
      <c r="D6277" t="s">
        <v>19</v>
      </c>
      <c r="E6277" t="s">
        <v>20</v>
      </c>
      <c r="F6277" t="str">
        <f>"43611-2902"</f>
        <v>43611-2902</v>
      </c>
      <c r="G6277" t="str">
        <f t="shared" si="217"/>
        <v>753658</v>
      </c>
      <c r="H6277" s="2">
        <f>20</f>
        <v>20</v>
      </c>
      <c r="I6277" t="s">
        <v>27</v>
      </c>
      <c r="J6277" t="s">
        <v>39</v>
      </c>
      <c r="K6277" t="str">
        <f>"128954"</f>
        <v>128954</v>
      </c>
    </row>
    <row r="6278" spans="1:11" x14ac:dyDescent="0.25">
      <c r="A6278">
        <v>2025</v>
      </c>
      <c r="B6278" t="s">
        <v>805</v>
      </c>
      <c r="C6278" t="s">
        <v>806</v>
      </c>
      <c r="D6278" t="s">
        <v>19</v>
      </c>
      <c r="E6278" t="s">
        <v>20</v>
      </c>
      <c r="F6278" t="str">
        <f>"43613-2424"</f>
        <v>43613-2424</v>
      </c>
      <c r="G6278" t="str">
        <f t="shared" si="217"/>
        <v>753658</v>
      </c>
      <c r="H6278" s="2">
        <f>20</f>
        <v>20</v>
      </c>
      <c r="I6278" t="s">
        <v>27</v>
      </c>
      <c r="J6278" t="s">
        <v>39</v>
      </c>
      <c r="K6278" t="str">
        <f>"125693"</f>
        <v>125693</v>
      </c>
    </row>
    <row r="6279" spans="1:11" x14ac:dyDescent="0.25">
      <c r="A6279">
        <v>2025</v>
      </c>
      <c r="B6279" t="s">
        <v>813</v>
      </c>
      <c r="C6279" t="s">
        <v>814</v>
      </c>
      <c r="D6279" t="s">
        <v>19</v>
      </c>
      <c r="E6279" t="s">
        <v>20</v>
      </c>
      <c r="F6279" t="str">
        <f>"43608-1271"</f>
        <v>43608-1271</v>
      </c>
      <c r="G6279" t="str">
        <f t="shared" si="217"/>
        <v>753658</v>
      </c>
      <c r="H6279" s="2">
        <f>10</f>
        <v>10</v>
      </c>
      <c r="I6279" t="s">
        <v>27</v>
      </c>
      <c r="J6279" t="s">
        <v>39</v>
      </c>
      <c r="K6279" t="str">
        <f>"126722"</f>
        <v>126722</v>
      </c>
    </row>
    <row r="6280" spans="1:11" x14ac:dyDescent="0.25">
      <c r="A6280">
        <v>2025</v>
      </c>
      <c r="B6280" t="s">
        <v>825</v>
      </c>
      <c r="C6280" t="s">
        <v>826</v>
      </c>
      <c r="D6280" t="s">
        <v>19</v>
      </c>
      <c r="E6280" t="s">
        <v>20</v>
      </c>
      <c r="F6280" t="str">
        <f>"43613-4724"</f>
        <v>43613-4724</v>
      </c>
      <c r="G6280" t="str">
        <f t="shared" si="217"/>
        <v>753658</v>
      </c>
      <c r="H6280" s="2">
        <f>10</f>
        <v>10</v>
      </c>
      <c r="I6280" t="s">
        <v>27</v>
      </c>
      <c r="J6280" t="s">
        <v>39</v>
      </c>
      <c r="K6280" t="str">
        <f>"131978"</f>
        <v>131978</v>
      </c>
    </row>
    <row r="6281" spans="1:11" x14ac:dyDescent="0.25">
      <c r="A6281">
        <v>2025</v>
      </c>
      <c r="B6281" t="s">
        <v>834</v>
      </c>
      <c r="C6281" t="s">
        <v>835</v>
      </c>
      <c r="D6281" t="s">
        <v>19</v>
      </c>
      <c r="E6281" t="s">
        <v>20</v>
      </c>
      <c r="F6281" t="str">
        <f>"43623"</f>
        <v>43623</v>
      </c>
      <c r="G6281" t="str">
        <f t="shared" si="217"/>
        <v>753658</v>
      </c>
      <c r="H6281" s="2">
        <f>20</f>
        <v>20</v>
      </c>
      <c r="I6281" t="s">
        <v>27</v>
      </c>
      <c r="J6281" t="s">
        <v>39</v>
      </c>
      <c r="K6281" t="str">
        <f>"127974"</f>
        <v>127974</v>
      </c>
    </row>
    <row r="6282" spans="1:11" x14ac:dyDescent="0.25">
      <c r="A6282">
        <v>2025</v>
      </c>
      <c r="B6282" t="s">
        <v>848</v>
      </c>
      <c r="C6282" t="s">
        <v>849</v>
      </c>
      <c r="D6282" t="s">
        <v>19</v>
      </c>
      <c r="E6282" t="s">
        <v>20</v>
      </c>
      <c r="F6282" t="str">
        <f>"43609"</f>
        <v>43609</v>
      </c>
      <c r="G6282" t="str">
        <f>"751641"</f>
        <v>751641</v>
      </c>
      <c r="H6282" s="2">
        <f>16</f>
        <v>16</v>
      </c>
      <c r="I6282" t="s">
        <v>27</v>
      </c>
      <c r="J6282" t="s">
        <v>219</v>
      </c>
      <c r="K6282" t="str">
        <f>"22027519"</f>
        <v>22027519</v>
      </c>
    </row>
    <row r="6283" spans="1:11" x14ac:dyDescent="0.25">
      <c r="A6283">
        <v>2025</v>
      </c>
      <c r="B6283" t="s">
        <v>852</v>
      </c>
      <c r="C6283" t="s">
        <v>853</v>
      </c>
      <c r="D6283" t="s">
        <v>19</v>
      </c>
      <c r="E6283" t="s">
        <v>20</v>
      </c>
      <c r="F6283" t="str">
        <f>"43609-1933"</f>
        <v>43609-1933</v>
      </c>
      <c r="G6283" t="str">
        <f>"753658"</f>
        <v>753658</v>
      </c>
      <c r="H6283" s="2">
        <f>10</f>
        <v>10</v>
      </c>
      <c r="I6283" t="s">
        <v>27</v>
      </c>
      <c r="J6283" t="s">
        <v>39</v>
      </c>
      <c r="K6283" t="str">
        <f>"131697"</f>
        <v>131697</v>
      </c>
    </row>
    <row r="6284" spans="1:11" x14ac:dyDescent="0.25">
      <c r="A6284">
        <v>2025</v>
      </c>
      <c r="B6284" t="s">
        <v>854</v>
      </c>
      <c r="C6284" t="s">
        <v>855</v>
      </c>
      <c r="D6284" t="s">
        <v>19</v>
      </c>
      <c r="E6284" t="s">
        <v>20</v>
      </c>
      <c r="F6284" t="str">
        <f>"43609"</f>
        <v>43609</v>
      </c>
      <c r="G6284" t="str">
        <f>"753658"</f>
        <v>753658</v>
      </c>
      <c r="H6284" s="2">
        <f>10</f>
        <v>10</v>
      </c>
      <c r="I6284" t="s">
        <v>27</v>
      </c>
      <c r="J6284" t="s">
        <v>39</v>
      </c>
      <c r="K6284" t="str">
        <f>"129283"</f>
        <v>129283</v>
      </c>
    </row>
    <row r="6285" spans="1:11" x14ac:dyDescent="0.25">
      <c r="A6285">
        <v>2025</v>
      </c>
      <c r="B6285" t="s">
        <v>860</v>
      </c>
      <c r="C6285" t="s">
        <v>861</v>
      </c>
      <c r="D6285" t="s">
        <v>323</v>
      </c>
      <c r="E6285" t="s">
        <v>20</v>
      </c>
      <c r="F6285" t="str">
        <f>"43571-9169"</f>
        <v>43571-9169</v>
      </c>
      <c r="G6285" t="str">
        <f>"753658"</f>
        <v>753658</v>
      </c>
      <c r="H6285" s="2">
        <f>10</f>
        <v>10</v>
      </c>
      <c r="I6285" t="s">
        <v>27</v>
      </c>
      <c r="J6285" t="s">
        <v>39</v>
      </c>
      <c r="K6285" t="str">
        <f>"125474"</f>
        <v>125474</v>
      </c>
    </row>
    <row r="6286" spans="1:11" x14ac:dyDescent="0.25">
      <c r="A6286">
        <v>2025</v>
      </c>
      <c r="B6286" t="s">
        <v>864</v>
      </c>
      <c r="C6286" t="s">
        <v>865</v>
      </c>
      <c r="D6286" t="s">
        <v>19</v>
      </c>
      <c r="E6286" t="s">
        <v>20</v>
      </c>
      <c r="F6286" t="str">
        <f>"43613-5240"</f>
        <v>43613-5240</v>
      </c>
      <c r="G6286" t="str">
        <f>"753658"</f>
        <v>753658</v>
      </c>
      <c r="H6286" s="2">
        <f>10</f>
        <v>10</v>
      </c>
      <c r="I6286" t="s">
        <v>27</v>
      </c>
      <c r="J6286" t="s">
        <v>39</v>
      </c>
      <c r="K6286" t="str">
        <f>"128270"</f>
        <v>128270</v>
      </c>
    </row>
    <row r="6287" spans="1:11" x14ac:dyDescent="0.25">
      <c r="A6287">
        <v>2025</v>
      </c>
      <c r="B6287" t="s">
        <v>902</v>
      </c>
      <c r="C6287" t="s">
        <v>903</v>
      </c>
      <c r="D6287" t="s">
        <v>19</v>
      </c>
      <c r="E6287" t="s">
        <v>20</v>
      </c>
      <c r="F6287" t="str">
        <f>"43623"</f>
        <v>43623</v>
      </c>
      <c r="G6287" t="str">
        <f>"759796"</f>
        <v>759796</v>
      </c>
      <c r="H6287" s="2">
        <f>11.88</f>
        <v>11.88</v>
      </c>
      <c r="I6287" t="s">
        <v>27</v>
      </c>
      <c r="J6287" t="s">
        <v>188</v>
      </c>
      <c r="K6287" t="str">
        <f>"43907"</f>
        <v>43907</v>
      </c>
    </row>
    <row r="6288" spans="1:11" x14ac:dyDescent="0.25">
      <c r="A6288">
        <v>2025</v>
      </c>
      <c r="B6288" t="s">
        <v>907</v>
      </c>
      <c r="C6288" t="s">
        <v>908</v>
      </c>
      <c r="D6288" t="s">
        <v>19</v>
      </c>
      <c r="E6288" t="s">
        <v>20</v>
      </c>
      <c r="F6288" t="str">
        <f>"43615"</f>
        <v>43615</v>
      </c>
      <c r="G6288" t="str">
        <f>"Je12092025"</f>
        <v>Je12092025</v>
      </c>
      <c r="H6288" s="2">
        <f>60</f>
        <v>60</v>
      </c>
      <c r="I6288" t="s">
        <v>15</v>
      </c>
      <c r="J6288" t="s">
        <v>909</v>
      </c>
      <c r="K6288" t="str">
        <f>"60169170"</f>
        <v>60169170</v>
      </c>
    </row>
    <row r="6289" spans="1:11" x14ac:dyDescent="0.25">
      <c r="A6289">
        <v>2025</v>
      </c>
      <c r="B6289" t="s">
        <v>920</v>
      </c>
      <c r="C6289" t="s">
        <v>924</v>
      </c>
      <c r="D6289" t="s">
        <v>922</v>
      </c>
      <c r="E6289" t="s">
        <v>923</v>
      </c>
      <c r="F6289" t="str">
        <f>"90012"</f>
        <v>90012</v>
      </c>
      <c r="G6289" t="str">
        <f>"751641"</f>
        <v>751641</v>
      </c>
      <c r="H6289" s="2">
        <f>2</f>
        <v>2</v>
      </c>
      <c r="I6289" t="s">
        <v>27</v>
      </c>
      <c r="J6289" t="s">
        <v>219</v>
      </c>
      <c r="K6289" t="str">
        <f>"11004832"</f>
        <v>11004832</v>
      </c>
    </row>
    <row r="6290" spans="1:11" x14ac:dyDescent="0.25">
      <c r="A6290">
        <v>2025</v>
      </c>
      <c r="B6290" t="s">
        <v>920</v>
      </c>
      <c r="C6290" t="s">
        <v>925</v>
      </c>
      <c r="D6290" t="s">
        <v>926</v>
      </c>
      <c r="E6290" t="s">
        <v>923</v>
      </c>
      <c r="F6290" t="str">
        <f>"91791"</f>
        <v>91791</v>
      </c>
      <c r="G6290" t="str">
        <f>"751641"</f>
        <v>751641</v>
      </c>
      <c r="H6290" s="2">
        <f>1</f>
        <v>1</v>
      </c>
      <c r="I6290" t="s">
        <v>27</v>
      </c>
      <c r="J6290" t="s">
        <v>219</v>
      </c>
      <c r="K6290" t="str">
        <f>"11004691"</f>
        <v>11004691</v>
      </c>
    </row>
    <row r="6291" spans="1:11" x14ac:dyDescent="0.25">
      <c r="A6291">
        <v>2025</v>
      </c>
      <c r="B6291" t="s">
        <v>920</v>
      </c>
      <c r="C6291" t="s">
        <v>925</v>
      </c>
      <c r="D6291" t="s">
        <v>926</v>
      </c>
      <c r="E6291" t="s">
        <v>923</v>
      </c>
      <c r="F6291" t="str">
        <f>"91791"</f>
        <v>91791</v>
      </c>
      <c r="G6291" t="str">
        <f>"751641"</f>
        <v>751641</v>
      </c>
      <c r="H6291" s="2">
        <f>5</f>
        <v>5</v>
      </c>
      <c r="I6291" t="s">
        <v>27</v>
      </c>
      <c r="J6291" t="s">
        <v>219</v>
      </c>
      <c r="K6291" t="str">
        <f>"11004710"</f>
        <v>11004710</v>
      </c>
    </row>
    <row r="6292" spans="1:11" x14ac:dyDescent="0.25">
      <c r="A6292">
        <v>2025</v>
      </c>
      <c r="B6292" t="s">
        <v>929</v>
      </c>
      <c r="C6292" t="s">
        <v>930</v>
      </c>
      <c r="D6292" t="s">
        <v>19</v>
      </c>
      <c r="E6292" t="s">
        <v>20</v>
      </c>
      <c r="F6292" t="str">
        <f>"43613-4720"</f>
        <v>43613-4720</v>
      </c>
      <c r="G6292" t="str">
        <f>"753658"</f>
        <v>753658</v>
      </c>
      <c r="H6292" s="2">
        <f>40</f>
        <v>40</v>
      </c>
      <c r="I6292" t="s">
        <v>27</v>
      </c>
      <c r="J6292" t="s">
        <v>39</v>
      </c>
      <c r="K6292" t="str">
        <f>"127793"</f>
        <v>127793</v>
      </c>
    </row>
    <row r="6293" spans="1:11" x14ac:dyDescent="0.25">
      <c r="A6293">
        <v>2025</v>
      </c>
      <c r="B6293" t="s">
        <v>943</v>
      </c>
      <c r="C6293" t="s">
        <v>944</v>
      </c>
      <c r="D6293" t="s">
        <v>19</v>
      </c>
      <c r="E6293" t="s">
        <v>20</v>
      </c>
      <c r="F6293" t="str">
        <f>"43606"</f>
        <v>43606</v>
      </c>
      <c r="G6293" t="str">
        <f>"751639"</f>
        <v>751639</v>
      </c>
      <c r="H6293" s="2">
        <f>33.94</f>
        <v>33.94</v>
      </c>
      <c r="I6293" t="s">
        <v>27</v>
      </c>
      <c r="J6293" t="s">
        <v>96</v>
      </c>
      <c r="K6293" t="str">
        <f>"334808"</f>
        <v>334808</v>
      </c>
    </row>
    <row r="6294" spans="1:11" x14ac:dyDescent="0.25">
      <c r="A6294">
        <v>2025</v>
      </c>
      <c r="B6294" t="s">
        <v>945</v>
      </c>
      <c r="C6294" t="s">
        <v>946</v>
      </c>
      <c r="D6294" t="s">
        <v>19</v>
      </c>
      <c r="E6294" t="s">
        <v>20</v>
      </c>
      <c r="F6294" t="str">
        <f>"43615-3079"</f>
        <v>43615-3079</v>
      </c>
      <c r="G6294" t="str">
        <f>"753658"</f>
        <v>753658</v>
      </c>
      <c r="H6294" s="2">
        <f>20</f>
        <v>20</v>
      </c>
      <c r="I6294" t="s">
        <v>27</v>
      </c>
      <c r="J6294" t="s">
        <v>39</v>
      </c>
      <c r="K6294" t="str">
        <f>"127094"</f>
        <v>127094</v>
      </c>
    </row>
    <row r="6295" spans="1:11" x14ac:dyDescent="0.25">
      <c r="A6295">
        <v>2025</v>
      </c>
      <c r="B6295" t="s">
        <v>951</v>
      </c>
      <c r="C6295" t="s">
        <v>952</v>
      </c>
      <c r="D6295" t="s">
        <v>105</v>
      </c>
      <c r="E6295" t="s">
        <v>20</v>
      </c>
      <c r="F6295" t="str">
        <f>"43528-7708"</f>
        <v>43528-7708</v>
      </c>
      <c r="G6295" t="str">
        <f>"753658"</f>
        <v>753658</v>
      </c>
      <c r="H6295" s="2">
        <f>10</f>
        <v>10</v>
      </c>
      <c r="I6295" t="s">
        <v>27</v>
      </c>
      <c r="J6295" t="s">
        <v>39</v>
      </c>
      <c r="K6295" t="str">
        <f>"128231"</f>
        <v>128231</v>
      </c>
    </row>
    <row r="6296" spans="1:11" x14ac:dyDescent="0.25">
      <c r="A6296">
        <v>2025</v>
      </c>
      <c r="B6296" t="s">
        <v>957</v>
      </c>
      <c r="C6296" t="s">
        <v>958</v>
      </c>
      <c r="D6296" t="s">
        <v>19</v>
      </c>
      <c r="E6296" t="s">
        <v>20</v>
      </c>
      <c r="F6296" t="str">
        <f>"43607"</f>
        <v>43607</v>
      </c>
      <c r="G6296" t="str">
        <f>"753658"</f>
        <v>753658</v>
      </c>
      <c r="H6296" s="2">
        <f>10</f>
        <v>10</v>
      </c>
      <c r="I6296" t="s">
        <v>27</v>
      </c>
      <c r="J6296" t="s">
        <v>39</v>
      </c>
      <c r="K6296" t="str">
        <f>"126168"</f>
        <v>126168</v>
      </c>
    </row>
    <row r="6297" spans="1:11" x14ac:dyDescent="0.25">
      <c r="A6297">
        <v>2025</v>
      </c>
      <c r="B6297" t="s">
        <v>978</v>
      </c>
      <c r="C6297" t="s">
        <v>979</v>
      </c>
      <c r="D6297" t="s">
        <v>58</v>
      </c>
      <c r="E6297" t="s">
        <v>20</v>
      </c>
      <c r="F6297" t="str">
        <f>"43616"</f>
        <v>43616</v>
      </c>
      <c r="G6297" t="str">
        <f>"772209"</f>
        <v>772209</v>
      </c>
      <c r="H6297" s="2">
        <f>880.62</f>
        <v>880.62</v>
      </c>
      <c r="I6297" t="s">
        <v>27</v>
      </c>
      <c r="J6297" t="s">
        <v>691</v>
      </c>
      <c r="K6297" t="str">
        <f>"N/A"</f>
        <v>N/A</v>
      </c>
    </row>
    <row r="6298" spans="1:11" x14ac:dyDescent="0.25">
      <c r="A6298">
        <v>2025</v>
      </c>
      <c r="B6298" t="s">
        <v>980</v>
      </c>
      <c r="C6298" t="s">
        <v>981</v>
      </c>
      <c r="D6298" t="s">
        <v>125</v>
      </c>
      <c r="E6298" t="s">
        <v>20</v>
      </c>
      <c r="F6298" t="str">
        <f>"43537"</f>
        <v>43537</v>
      </c>
      <c r="G6298" t="str">
        <f>"753658"</f>
        <v>753658</v>
      </c>
      <c r="H6298" s="2">
        <f>10</f>
        <v>10</v>
      </c>
      <c r="I6298" t="s">
        <v>27</v>
      </c>
      <c r="J6298" t="s">
        <v>39</v>
      </c>
      <c r="K6298" t="str">
        <f>"129395"</f>
        <v>129395</v>
      </c>
    </row>
    <row r="6299" spans="1:11" x14ac:dyDescent="0.25">
      <c r="A6299">
        <v>2025</v>
      </c>
      <c r="B6299" t="s">
        <v>993</v>
      </c>
      <c r="C6299" t="s">
        <v>994</v>
      </c>
      <c r="D6299" t="s">
        <v>19</v>
      </c>
      <c r="E6299" t="s">
        <v>20</v>
      </c>
      <c r="F6299" t="str">
        <f>"43614-3544"</f>
        <v>43614-3544</v>
      </c>
      <c r="G6299" t="str">
        <f>"753658"</f>
        <v>753658</v>
      </c>
      <c r="H6299" s="2">
        <f>30</f>
        <v>30</v>
      </c>
      <c r="I6299" t="s">
        <v>27</v>
      </c>
      <c r="J6299" t="s">
        <v>39</v>
      </c>
      <c r="K6299" t="str">
        <f>"131389"</f>
        <v>131389</v>
      </c>
    </row>
    <row r="6300" spans="1:11" x14ac:dyDescent="0.25">
      <c r="A6300">
        <v>2025</v>
      </c>
      <c r="B6300" t="s">
        <v>1003</v>
      </c>
      <c r="C6300" t="s">
        <v>1004</v>
      </c>
      <c r="D6300" t="s">
        <v>1005</v>
      </c>
      <c r="E6300" t="s">
        <v>20</v>
      </c>
      <c r="F6300" t="str">
        <f>"44139"</f>
        <v>44139</v>
      </c>
      <c r="G6300" t="str">
        <f>"759796"</f>
        <v>759796</v>
      </c>
      <c r="H6300" s="2">
        <f>140.75</f>
        <v>140.75</v>
      </c>
      <c r="I6300" t="s">
        <v>27</v>
      </c>
      <c r="J6300" t="s">
        <v>188</v>
      </c>
      <c r="K6300" t="str">
        <f>"45302"</f>
        <v>45302</v>
      </c>
    </row>
    <row r="6301" spans="1:11" x14ac:dyDescent="0.25">
      <c r="A6301">
        <v>2025</v>
      </c>
      <c r="B6301" t="s">
        <v>1009</v>
      </c>
      <c r="C6301" t="s">
        <v>1010</v>
      </c>
      <c r="D6301" t="s">
        <v>19</v>
      </c>
      <c r="E6301" t="s">
        <v>20</v>
      </c>
      <c r="F6301" t="str">
        <f>"43620-1019"</f>
        <v>43620-1019</v>
      </c>
      <c r="G6301" t="str">
        <f>"753658"</f>
        <v>753658</v>
      </c>
      <c r="H6301" s="2">
        <f>30</f>
        <v>30</v>
      </c>
      <c r="I6301" t="s">
        <v>27</v>
      </c>
      <c r="J6301" t="s">
        <v>39</v>
      </c>
      <c r="K6301" t="str">
        <f>"127316"</f>
        <v>127316</v>
      </c>
    </row>
    <row r="6302" spans="1:11" x14ac:dyDescent="0.25">
      <c r="A6302">
        <v>2025</v>
      </c>
      <c r="B6302" t="s">
        <v>1019</v>
      </c>
      <c r="C6302" t="s">
        <v>1020</v>
      </c>
      <c r="D6302" t="s">
        <v>19</v>
      </c>
      <c r="E6302" t="s">
        <v>20</v>
      </c>
      <c r="F6302" t="str">
        <f>"43604"</f>
        <v>43604</v>
      </c>
      <c r="G6302" t="str">
        <f>"751639"</f>
        <v>751639</v>
      </c>
      <c r="H6302" s="2">
        <f>4.2</f>
        <v>4.2</v>
      </c>
      <c r="I6302" t="s">
        <v>27</v>
      </c>
      <c r="J6302" t="s">
        <v>96</v>
      </c>
      <c r="K6302" t="str">
        <f>"335056"</f>
        <v>335056</v>
      </c>
    </row>
    <row r="6303" spans="1:11" x14ac:dyDescent="0.25">
      <c r="A6303">
        <v>2025</v>
      </c>
      <c r="B6303" t="s">
        <v>1025</v>
      </c>
      <c r="C6303" t="s">
        <v>1026</v>
      </c>
      <c r="D6303" t="s">
        <v>45</v>
      </c>
      <c r="E6303" t="s">
        <v>20</v>
      </c>
      <c r="F6303" t="str">
        <f>"43542-9442"</f>
        <v>43542-9442</v>
      </c>
      <c r="G6303" t="str">
        <f>"753658"</f>
        <v>753658</v>
      </c>
      <c r="H6303" s="2">
        <f>10</f>
        <v>10</v>
      </c>
      <c r="I6303" t="s">
        <v>27</v>
      </c>
      <c r="J6303" t="s">
        <v>39</v>
      </c>
      <c r="K6303" t="str">
        <f>"127695"</f>
        <v>127695</v>
      </c>
    </row>
    <row r="6304" spans="1:11" x14ac:dyDescent="0.25">
      <c r="A6304">
        <v>2025</v>
      </c>
      <c r="B6304" t="s">
        <v>1045</v>
      </c>
      <c r="C6304" t="s">
        <v>1046</v>
      </c>
      <c r="D6304" t="s">
        <v>19</v>
      </c>
      <c r="E6304" t="s">
        <v>20</v>
      </c>
      <c r="F6304" t="str">
        <f>"43613-4702"</f>
        <v>43613-4702</v>
      </c>
      <c r="G6304" t="str">
        <f>"753658"</f>
        <v>753658</v>
      </c>
      <c r="H6304" s="2">
        <f>20</f>
        <v>20</v>
      </c>
      <c r="I6304" t="s">
        <v>27</v>
      </c>
      <c r="J6304" t="s">
        <v>39</v>
      </c>
      <c r="K6304" t="str">
        <f>"128915"</f>
        <v>128915</v>
      </c>
    </row>
    <row r="6305" spans="1:11" x14ac:dyDescent="0.25">
      <c r="A6305">
        <v>2025</v>
      </c>
      <c r="B6305" t="s">
        <v>1047</v>
      </c>
      <c r="C6305" t="s">
        <v>1048</v>
      </c>
      <c r="D6305" t="s">
        <v>19</v>
      </c>
      <c r="E6305" t="s">
        <v>20</v>
      </c>
      <c r="F6305" t="str">
        <f>"43617"</f>
        <v>43617</v>
      </c>
      <c r="G6305" t="str">
        <f>"Je07082025"</f>
        <v>Je07082025</v>
      </c>
      <c r="H6305" s="2">
        <f>250</f>
        <v>250</v>
      </c>
      <c r="I6305" t="s">
        <v>15</v>
      </c>
      <c r="J6305" t="s">
        <v>185</v>
      </c>
      <c r="K6305" t="str">
        <f>"60154944"</f>
        <v>60154944</v>
      </c>
    </row>
    <row r="6306" spans="1:11" x14ac:dyDescent="0.25">
      <c r="A6306">
        <v>2025</v>
      </c>
      <c r="B6306" t="s">
        <v>1061</v>
      </c>
      <c r="C6306" t="s">
        <v>1062</v>
      </c>
      <c r="D6306" t="s">
        <v>1063</v>
      </c>
      <c r="E6306" t="s">
        <v>985</v>
      </c>
      <c r="F6306" t="str">
        <f>"80237"</f>
        <v>80237</v>
      </c>
      <c r="G6306" t="str">
        <f>"751641"</f>
        <v>751641</v>
      </c>
      <c r="H6306" s="2">
        <f>15</f>
        <v>15</v>
      </c>
      <c r="I6306" t="s">
        <v>27</v>
      </c>
      <c r="J6306" t="s">
        <v>219</v>
      </c>
      <c r="K6306" t="str">
        <f>"11004829"</f>
        <v>11004829</v>
      </c>
    </row>
    <row r="6307" spans="1:11" x14ac:dyDescent="0.25">
      <c r="A6307">
        <v>2025</v>
      </c>
      <c r="B6307" t="s">
        <v>1064</v>
      </c>
      <c r="C6307" t="s">
        <v>1062</v>
      </c>
      <c r="D6307" t="s">
        <v>1063</v>
      </c>
      <c r="E6307" t="s">
        <v>985</v>
      </c>
      <c r="F6307" t="str">
        <f>"80237"</f>
        <v>80237</v>
      </c>
      <c r="G6307" t="str">
        <f>"751641"</f>
        <v>751641</v>
      </c>
      <c r="H6307" s="2">
        <f>6.5</f>
        <v>6.5</v>
      </c>
      <c r="I6307" t="s">
        <v>27</v>
      </c>
      <c r="J6307" t="s">
        <v>219</v>
      </c>
      <c r="K6307" t="str">
        <f>"11004704"</f>
        <v>11004704</v>
      </c>
    </row>
    <row r="6308" spans="1:11" x14ac:dyDescent="0.25">
      <c r="A6308">
        <v>2025</v>
      </c>
      <c r="B6308" t="s">
        <v>1068</v>
      </c>
      <c r="C6308" t="s">
        <v>1069</v>
      </c>
      <c r="D6308" t="s">
        <v>19</v>
      </c>
      <c r="E6308" t="s">
        <v>20</v>
      </c>
      <c r="F6308" t="str">
        <f>"43604-8606"</f>
        <v>43604-8606</v>
      </c>
      <c r="G6308" t="str">
        <f>"753658"</f>
        <v>753658</v>
      </c>
      <c r="H6308" s="2">
        <f>20</f>
        <v>20</v>
      </c>
      <c r="I6308" t="s">
        <v>27</v>
      </c>
      <c r="J6308" t="s">
        <v>39</v>
      </c>
      <c r="K6308" t="str">
        <f>"125962"</f>
        <v>125962</v>
      </c>
    </row>
    <row r="6309" spans="1:11" x14ac:dyDescent="0.25">
      <c r="A6309">
        <v>2025</v>
      </c>
      <c r="B6309" t="s">
        <v>1076</v>
      </c>
      <c r="C6309" t="s">
        <v>1077</v>
      </c>
      <c r="D6309" t="s">
        <v>19</v>
      </c>
      <c r="E6309" t="s">
        <v>20</v>
      </c>
      <c r="F6309" t="str">
        <f>"43613"</f>
        <v>43613</v>
      </c>
      <c r="G6309" t="str">
        <f>"Je04082025"</f>
        <v>Je04082025</v>
      </c>
      <c r="H6309" s="2">
        <f>69.68</f>
        <v>69.680000000000007</v>
      </c>
      <c r="I6309" t="s">
        <v>15</v>
      </c>
      <c r="J6309" t="s">
        <v>24</v>
      </c>
      <c r="K6309" t="str">
        <f>"60142888"</f>
        <v>60142888</v>
      </c>
    </row>
    <row r="6310" spans="1:11" x14ac:dyDescent="0.25">
      <c r="A6310">
        <v>2025</v>
      </c>
      <c r="B6310" t="s">
        <v>1082</v>
      </c>
      <c r="C6310" t="s">
        <v>1083</v>
      </c>
      <c r="D6310" t="s">
        <v>19</v>
      </c>
      <c r="E6310" t="s">
        <v>20</v>
      </c>
      <c r="F6310" t="str">
        <f>"43613"</f>
        <v>43613</v>
      </c>
      <c r="G6310" t="str">
        <f>"Je04082025"</f>
        <v>Je04082025</v>
      </c>
      <c r="H6310" s="2">
        <f>305.71</f>
        <v>305.70999999999998</v>
      </c>
      <c r="I6310" t="s">
        <v>15</v>
      </c>
      <c r="J6310" t="s">
        <v>24</v>
      </c>
      <c r="K6310" t="str">
        <f>"60146282"</f>
        <v>60146282</v>
      </c>
    </row>
    <row r="6311" spans="1:11" x14ac:dyDescent="0.25">
      <c r="A6311">
        <v>2025</v>
      </c>
      <c r="B6311" t="s">
        <v>1084</v>
      </c>
      <c r="C6311" t="s">
        <v>1085</v>
      </c>
      <c r="D6311" t="s">
        <v>50</v>
      </c>
      <c r="E6311" t="s">
        <v>20</v>
      </c>
      <c r="F6311" t="str">
        <f>"43560"</f>
        <v>43560</v>
      </c>
      <c r="G6311" t="str">
        <f>"759796"</f>
        <v>759796</v>
      </c>
      <c r="H6311" s="2">
        <f>12</f>
        <v>12</v>
      </c>
      <c r="I6311" t="s">
        <v>27</v>
      </c>
      <c r="J6311" t="s">
        <v>188</v>
      </c>
      <c r="K6311" t="str">
        <f>"46362"</f>
        <v>46362</v>
      </c>
    </row>
    <row r="6312" spans="1:11" x14ac:dyDescent="0.25">
      <c r="A6312">
        <v>2025</v>
      </c>
      <c r="B6312" t="s">
        <v>1090</v>
      </c>
      <c r="C6312" t="s">
        <v>1091</v>
      </c>
      <c r="D6312" t="s">
        <v>105</v>
      </c>
      <c r="E6312" t="s">
        <v>20</v>
      </c>
      <c r="F6312" t="str">
        <f>"43528-9418"</f>
        <v>43528-9418</v>
      </c>
      <c r="G6312" t="str">
        <f>"753658"</f>
        <v>753658</v>
      </c>
      <c r="H6312" s="2">
        <f>10</f>
        <v>10</v>
      </c>
      <c r="I6312" t="s">
        <v>27</v>
      </c>
      <c r="J6312" t="s">
        <v>39</v>
      </c>
      <c r="K6312" t="str">
        <f>"127077"</f>
        <v>127077</v>
      </c>
    </row>
    <row r="6313" spans="1:11" x14ac:dyDescent="0.25">
      <c r="A6313">
        <v>2025</v>
      </c>
      <c r="B6313" t="s">
        <v>1096</v>
      </c>
      <c r="C6313" t="s">
        <v>1097</v>
      </c>
      <c r="D6313" t="s">
        <v>19</v>
      </c>
      <c r="E6313" t="s">
        <v>20</v>
      </c>
      <c r="F6313" t="str">
        <f>"43609"</f>
        <v>43609</v>
      </c>
      <c r="G6313" t="str">
        <f>"759796"</f>
        <v>759796</v>
      </c>
      <c r="H6313" s="2">
        <f>3.42</f>
        <v>3.42</v>
      </c>
      <c r="I6313" t="s">
        <v>27</v>
      </c>
      <c r="J6313" t="s">
        <v>188</v>
      </c>
      <c r="K6313" t="str">
        <f>"45833"</f>
        <v>45833</v>
      </c>
    </row>
    <row r="6314" spans="1:11" x14ac:dyDescent="0.25">
      <c r="A6314">
        <v>2025</v>
      </c>
      <c r="B6314" t="s">
        <v>1102</v>
      </c>
      <c r="C6314" t="s">
        <v>1103</v>
      </c>
      <c r="D6314" t="s">
        <v>1104</v>
      </c>
      <c r="E6314" t="s">
        <v>20</v>
      </c>
      <c r="F6314" t="str">
        <f>"44224"</f>
        <v>44224</v>
      </c>
      <c r="G6314" t="str">
        <f>"759796"</f>
        <v>759796</v>
      </c>
      <c r="H6314" s="2">
        <f>550</f>
        <v>550</v>
      </c>
      <c r="I6314" t="s">
        <v>27</v>
      </c>
      <c r="J6314" t="s">
        <v>188</v>
      </c>
      <c r="K6314" t="str">
        <f>"45189"</f>
        <v>45189</v>
      </c>
    </row>
    <row r="6315" spans="1:11" x14ac:dyDescent="0.25">
      <c r="A6315">
        <v>2025</v>
      </c>
      <c r="B6315" t="s">
        <v>1117</v>
      </c>
      <c r="C6315" t="s">
        <v>1118</v>
      </c>
      <c r="D6315" t="s">
        <v>19</v>
      </c>
      <c r="E6315" t="s">
        <v>20</v>
      </c>
      <c r="F6315" t="str">
        <f>"43612-2422"</f>
        <v>43612-2422</v>
      </c>
      <c r="G6315" t="str">
        <f>"753658"</f>
        <v>753658</v>
      </c>
      <c r="H6315" s="2">
        <f>10</f>
        <v>10</v>
      </c>
      <c r="I6315" t="s">
        <v>27</v>
      </c>
      <c r="J6315" t="s">
        <v>39</v>
      </c>
      <c r="K6315" t="str">
        <f>"129289"</f>
        <v>129289</v>
      </c>
    </row>
    <row r="6316" spans="1:11" x14ac:dyDescent="0.25">
      <c r="A6316">
        <v>2025</v>
      </c>
      <c r="B6316" t="s">
        <v>1138</v>
      </c>
      <c r="C6316" t="s">
        <v>1139</v>
      </c>
      <c r="D6316" t="s">
        <v>380</v>
      </c>
      <c r="E6316" t="s">
        <v>20</v>
      </c>
      <c r="F6316" t="str">
        <f>"44406"</f>
        <v>44406</v>
      </c>
      <c r="G6316" t="str">
        <f>"759796"</f>
        <v>759796</v>
      </c>
      <c r="H6316" s="2">
        <f>8.23</f>
        <v>8.23</v>
      </c>
      <c r="I6316" t="s">
        <v>27</v>
      </c>
      <c r="J6316" t="s">
        <v>188</v>
      </c>
      <c r="K6316" t="str">
        <f>"46319"</f>
        <v>46319</v>
      </c>
    </row>
    <row r="6317" spans="1:11" x14ac:dyDescent="0.25">
      <c r="A6317">
        <v>2025</v>
      </c>
      <c r="B6317" t="s">
        <v>1144</v>
      </c>
      <c r="C6317" t="s">
        <v>1145</v>
      </c>
      <c r="D6317" t="s">
        <v>19</v>
      </c>
      <c r="E6317" t="s">
        <v>20</v>
      </c>
      <c r="F6317" t="str">
        <f>"43604"</f>
        <v>43604</v>
      </c>
      <c r="G6317" t="str">
        <f>"759796"</f>
        <v>759796</v>
      </c>
      <c r="H6317" s="2">
        <f>5</f>
        <v>5</v>
      </c>
      <c r="I6317" t="s">
        <v>27</v>
      </c>
      <c r="J6317" t="s">
        <v>188</v>
      </c>
      <c r="K6317" t="str">
        <f>"45317"</f>
        <v>45317</v>
      </c>
    </row>
    <row r="6318" spans="1:11" x14ac:dyDescent="0.25">
      <c r="A6318">
        <v>2025</v>
      </c>
      <c r="B6318" t="s">
        <v>1146</v>
      </c>
      <c r="C6318" t="s">
        <v>1145</v>
      </c>
      <c r="D6318" t="s">
        <v>19</v>
      </c>
      <c r="E6318" t="s">
        <v>20</v>
      </c>
      <c r="F6318" t="str">
        <f>"43604"</f>
        <v>43604</v>
      </c>
      <c r="G6318" t="str">
        <f>"759796"</f>
        <v>759796</v>
      </c>
      <c r="H6318" s="2">
        <f>5</f>
        <v>5</v>
      </c>
      <c r="I6318" t="s">
        <v>27</v>
      </c>
      <c r="J6318" t="s">
        <v>188</v>
      </c>
      <c r="K6318" t="str">
        <f>"45320"</f>
        <v>45320</v>
      </c>
    </row>
    <row r="6319" spans="1:11" x14ac:dyDescent="0.25">
      <c r="A6319">
        <v>2025</v>
      </c>
      <c r="B6319" t="s">
        <v>1146</v>
      </c>
      <c r="C6319" t="s">
        <v>1145</v>
      </c>
      <c r="D6319" t="s">
        <v>19</v>
      </c>
      <c r="E6319" t="s">
        <v>20</v>
      </c>
      <c r="F6319" t="str">
        <f>"43604"</f>
        <v>43604</v>
      </c>
      <c r="G6319" t="str">
        <f>"759796"</f>
        <v>759796</v>
      </c>
      <c r="H6319" s="2">
        <f>5</f>
        <v>5</v>
      </c>
      <c r="I6319" t="s">
        <v>27</v>
      </c>
      <c r="J6319" t="s">
        <v>188</v>
      </c>
      <c r="K6319" t="str">
        <f>"45316"</f>
        <v>45316</v>
      </c>
    </row>
    <row r="6320" spans="1:11" x14ac:dyDescent="0.25">
      <c r="A6320">
        <v>2025</v>
      </c>
      <c r="B6320" t="s">
        <v>1149</v>
      </c>
      <c r="C6320" t="s">
        <v>1150</v>
      </c>
      <c r="D6320" t="s">
        <v>19</v>
      </c>
      <c r="E6320" t="s">
        <v>20</v>
      </c>
      <c r="F6320" t="str">
        <f>"43620"</f>
        <v>43620</v>
      </c>
      <c r="G6320" t="str">
        <f>"759797"</f>
        <v>759797</v>
      </c>
      <c r="H6320" s="2">
        <f>623.47</f>
        <v>623.47</v>
      </c>
      <c r="I6320" t="s">
        <v>27</v>
      </c>
      <c r="J6320" t="s">
        <v>239</v>
      </c>
      <c r="K6320" t="str">
        <f>"N/A"</f>
        <v>N/A</v>
      </c>
    </row>
    <row r="6321" spans="1:11" x14ac:dyDescent="0.25">
      <c r="A6321">
        <v>2025</v>
      </c>
      <c r="B6321" t="s">
        <v>1151</v>
      </c>
      <c r="C6321" t="s">
        <v>1152</v>
      </c>
      <c r="D6321" t="s">
        <v>105</v>
      </c>
      <c r="E6321" t="s">
        <v>20</v>
      </c>
      <c r="F6321" t="str">
        <f>"43528-9004"</f>
        <v>43528-9004</v>
      </c>
      <c r="G6321" t="str">
        <f>"753658"</f>
        <v>753658</v>
      </c>
      <c r="H6321" s="2">
        <f>100</f>
        <v>100</v>
      </c>
      <c r="I6321" t="s">
        <v>27</v>
      </c>
      <c r="J6321" t="s">
        <v>39</v>
      </c>
      <c r="K6321" t="str">
        <f>"131197"</f>
        <v>131197</v>
      </c>
    </row>
    <row r="6322" spans="1:11" x14ac:dyDescent="0.25">
      <c r="A6322">
        <v>2025</v>
      </c>
      <c r="B6322" t="s">
        <v>1155</v>
      </c>
      <c r="C6322" t="s">
        <v>1156</v>
      </c>
      <c r="D6322" t="s">
        <v>19</v>
      </c>
      <c r="E6322" t="s">
        <v>20</v>
      </c>
      <c r="F6322" t="str">
        <f>"43606-2415"</f>
        <v>43606-2415</v>
      </c>
      <c r="G6322" t="str">
        <f>"753658"</f>
        <v>753658</v>
      </c>
      <c r="H6322" s="2">
        <f>40</f>
        <v>40</v>
      </c>
      <c r="I6322" t="s">
        <v>27</v>
      </c>
      <c r="J6322" t="s">
        <v>39</v>
      </c>
      <c r="K6322" t="str">
        <f>"127487"</f>
        <v>127487</v>
      </c>
    </row>
    <row r="6323" spans="1:11" x14ac:dyDescent="0.25">
      <c r="A6323">
        <v>2025</v>
      </c>
      <c r="B6323" t="s">
        <v>1157</v>
      </c>
      <c r="C6323" t="s">
        <v>1158</v>
      </c>
      <c r="D6323" t="s">
        <v>422</v>
      </c>
      <c r="E6323" t="s">
        <v>20</v>
      </c>
      <c r="F6323" t="str">
        <f>"44113"</f>
        <v>44113</v>
      </c>
      <c r="G6323" t="str">
        <f>"759796"</f>
        <v>759796</v>
      </c>
      <c r="H6323" s="2">
        <f>200</f>
        <v>200</v>
      </c>
      <c r="I6323" t="s">
        <v>27</v>
      </c>
      <c r="J6323" t="s">
        <v>188</v>
      </c>
      <c r="K6323" t="str">
        <f>"44809"</f>
        <v>44809</v>
      </c>
    </row>
    <row r="6324" spans="1:11" x14ac:dyDescent="0.25">
      <c r="A6324">
        <v>2025</v>
      </c>
      <c r="B6324" t="s">
        <v>1159</v>
      </c>
      <c r="C6324" t="s">
        <v>1160</v>
      </c>
      <c r="D6324" t="s">
        <v>19</v>
      </c>
      <c r="E6324" t="s">
        <v>20</v>
      </c>
      <c r="F6324" t="str">
        <f>"43615-7905"</f>
        <v>43615-7905</v>
      </c>
      <c r="G6324" t="str">
        <f>"753658"</f>
        <v>753658</v>
      </c>
      <c r="H6324" s="2">
        <f>10</f>
        <v>10</v>
      </c>
      <c r="I6324" t="s">
        <v>27</v>
      </c>
      <c r="J6324" t="s">
        <v>39</v>
      </c>
      <c r="K6324" t="str">
        <f>"125242"</f>
        <v>125242</v>
      </c>
    </row>
    <row r="6325" spans="1:11" x14ac:dyDescent="0.25">
      <c r="A6325">
        <v>2025</v>
      </c>
      <c r="B6325" t="s">
        <v>1161</v>
      </c>
      <c r="C6325" t="s">
        <v>1162</v>
      </c>
      <c r="D6325" t="s">
        <v>1163</v>
      </c>
      <c r="E6325" t="s">
        <v>20</v>
      </c>
      <c r="F6325" t="str">
        <f>"45202"</f>
        <v>45202</v>
      </c>
      <c r="G6325" t="str">
        <f>"759796"</f>
        <v>759796</v>
      </c>
      <c r="H6325" s="2">
        <f>550</f>
        <v>550</v>
      </c>
      <c r="I6325" t="s">
        <v>27</v>
      </c>
      <c r="J6325" t="s">
        <v>188</v>
      </c>
      <c r="K6325" t="str">
        <f>"46718"</f>
        <v>46718</v>
      </c>
    </row>
    <row r="6326" spans="1:11" x14ac:dyDescent="0.25">
      <c r="A6326">
        <v>2025</v>
      </c>
      <c r="B6326" t="s">
        <v>1169</v>
      </c>
      <c r="C6326" t="s">
        <v>1170</v>
      </c>
      <c r="D6326" t="s">
        <v>19</v>
      </c>
      <c r="E6326" t="s">
        <v>20</v>
      </c>
      <c r="F6326" t="str">
        <f>"43614"</f>
        <v>43614</v>
      </c>
      <c r="G6326" t="str">
        <f>"Je07082025"</f>
        <v>Je07082025</v>
      </c>
      <c r="H6326" s="2">
        <f>316.42</f>
        <v>316.42</v>
      </c>
      <c r="I6326" t="s">
        <v>15</v>
      </c>
      <c r="J6326" t="s">
        <v>185</v>
      </c>
      <c r="K6326" t="str">
        <f>"60152114"</f>
        <v>60152114</v>
      </c>
    </row>
    <row r="6327" spans="1:11" x14ac:dyDescent="0.25">
      <c r="A6327">
        <v>2025</v>
      </c>
      <c r="B6327" t="s">
        <v>1179</v>
      </c>
      <c r="C6327" t="s">
        <v>1180</v>
      </c>
      <c r="D6327" t="s">
        <v>19</v>
      </c>
      <c r="E6327" t="s">
        <v>20</v>
      </c>
      <c r="F6327" t="str">
        <f>"43613-2513"</f>
        <v>43613-2513</v>
      </c>
      <c r="G6327" t="str">
        <f>"753658"</f>
        <v>753658</v>
      </c>
      <c r="H6327" s="2">
        <f>20</f>
        <v>20</v>
      </c>
      <c r="I6327" t="s">
        <v>27</v>
      </c>
      <c r="J6327" t="s">
        <v>39</v>
      </c>
      <c r="K6327" t="str">
        <f>"128192"</f>
        <v>128192</v>
      </c>
    </row>
    <row r="6328" spans="1:11" x14ac:dyDescent="0.25">
      <c r="A6328">
        <v>2025</v>
      </c>
      <c r="B6328" t="s">
        <v>1193</v>
      </c>
      <c r="C6328" t="s">
        <v>1194</v>
      </c>
      <c r="D6328" t="s">
        <v>19</v>
      </c>
      <c r="E6328" t="s">
        <v>20</v>
      </c>
      <c r="F6328" t="str">
        <f>"43608-1152"</f>
        <v>43608-1152</v>
      </c>
      <c r="G6328" t="str">
        <f>"753658"</f>
        <v>753658</v>
      </c>
      <c r="H6328" s="2">
        <f>10</f>
        <v>10</v>
      </c>
      <c r="I6328" t="s">
        <v>27</v>
      </c>
      <c r="J6328" t="s">
        <v>39</v>
      </c>
      <c r="K6328" t="str">
        <f>"129066"</f>
        <v>129066</v>
      </c>
    </row>
    <row r="6329" spans="1:11" x14ac:dyDescent="0.25">
      <c r="A6329">
        <v>2025</v>
      </c>
      <c r="B6329" t="s">
        <v>1212</v>
      </c>
      <c r="C6329" t="s">
        <v>1213</v>
      </c>
      <c r="D6329" t="s">
        <v>19</v>
      </c>
      <c r="E6329" t="s">
        <v>20</v>
      </c>
      <c r="F6329" t="str">
        <f>"43623"</f>
        <v>43623</v>
      </c>
      <c r="G6329" t="str">
        <f>"759796"</f>
        <v>759796</v>
      </c>
      <c r="H6329" s="2">
        <f>7.86</f>
        <v>7.86</v>
      </c>
      <c r="I6329" t="s">
        <v>27</v>
      </c>
      <c r="J6329" t="s">
        <v>188</v>
      </c>
      <c r="K6329" t="str">
        <f>"45935"</f>
        <v>45935</v>
      </c>
    </row>
    <row r="6330" spans="1:11" x14ac:dyDescent="0.25">
      <c r="A6330">
        <v>2025</v>
      </c>
      <c r="B6330" t="s">
        <v>1231</v>
      </c>
      <c r="C6330" t="s">
        <v>1232</v>
      </c>
      <c r="D6330" t="s">
        <v>19</v>
      </c>
      <c r="E6330" t="s">
        <v>20</v>
      </c>
      <c r="F6330" t="str">
        <f>"43606-2514"</f>
        <v>43606-2514</v>
      </c>
      <c r="G6330" t="str">
        <f t="shared" ref="G6330:G6339" si="218">"753658"</f>
        <v>753658</v>
      </c>
      <c r="H6330" s="2">
        <f>10</f>
        <v>10</v>
      </c>
      <c r="I6330" t="s">
        <v>27</v>
      </c>
      <c r="J6330" t="s">
        <v>39</v>
      </c>
      <c r="K6330" t="str">
        <f>"125552"</f>
        <v>125552</v>
      </c>
    </row>
    <row r="6331" spans="1:11" x14ac:dyDescent="0.25">
      <c r="A6331">
        <v>2025</v>
      </c>
      <c r="B6331" t="s">
        <v>1235</v>
      </c>
      <c r="C6331" t="s">
        <v>1236</v>
      </c>
      <c r="D6331" t="s">
        <v>323</v>
      </c>
      <c r="E6331" t="s">
        <v>20</v>
      </c>
      <c r="F6331" t="str">
        <f>"43571-9222"</f>
        <v>43571-9222</v>
      </c>
      <c r="G6331" t="str">
        <f t="shared" si="218"/>
        <v>753658</v>
      </c>
      <c r="H6331" s="2">
        <f>20</f>
        <v>20</v>
      </c>
      <c r="I6331" t="s">
        <v>27</v>
      </c>
      <c r="J6331" t="s">
        <v>39</v>
      </c>
      <c r="K6331" t="str">
        <f>"130995"</f>
        <v>130995</v>
      </c>
    </row>
    <row r="6332" spans="1:11" x14ac:dyDescent="0.25">
      <c r="A6332">
        <v>2025</v>
      </c>
      <c r="B6332" t="s">
        <v>1251</v>
      </c>
      <c r="C6332" t="s">
        <v>1252</v>
      </c>
      <c r="D6332" t="s">
        <v>19</v>
      </c>
      <c r="E6332" t="s">
        <v>20</v>
      </c>
      <c r="F6332" t="str">
        <f>"43623-1624"</f>
        <v>43623-1624</v>
      </c>
      <c r="G6332" t="str">
        <f t="shared" si="218"/>
        <v>753658</v>
      </c>
      <c r="H6332" s="2">
        <f>10</f>
        <v>10</v>
      </c>
      <c r="I6332" t="s">
        <v>27</v>
      </c>
      <c r="J6332" t="s">
        <v>39</v>
      </c>
      <c r="K6332" t="str">
        <f>"126361"</f>
        <v>126361</v>
      </c>
    </row>
    <row r="6333" spans="1:11" x14ac:dyDescent="0.25">
      <c r="A6333">
        <v>2025</v>
      </c>
      <c r="B6333" t="s">
        <v>1258</v>
      </c>
      <c r="C6333" t="s">
        <v>1259</v>
      </c>
      <c r="D6333" t="s">
        <v>125</v>
      </c>
      <c r="E6333" t="s">
        <v>20</v>
      </c>
      <c r="F6333" t="str">
        <f>"43537-2419"</f>
        <v>43537-2419</v>
      </c>
      <c r="G6333" t="str">
        <f t="shared" si="218"/>
        <v>753658</v>
      </c>
      <c r="H6333" s="2">
        <f>20</f>
        <v>20</v>
      </c>
      <c r="I6333" t="s">
        <v>27</v>
      </c>
      <c r="J6333" t="s">
        <v>39</v>
      </c>
      <c r="K6333" t="str">
        <f>"127407"</f>
        <v>127407</v>
      </c>
    </row>
    <row r="6334" spans="1:11" x14ac:dyDescent="0.25">
      <c r="A6334">
        <v>2025</v>
      </c>
      <c r="B6334" t="s">
        <v>1266</v>
      </c>
      <c r="C6334" t="s">
        <v>1267</v>
      </c>
      <c r="D6334" t="s">
        <v>19</v>
      </c>
      <c r="E6334" t="s">
        <v>20</v>
      </c>
      <c r="F6334" t="str">
        <f>"43615-1634"</f>
        <v>43615-1634</v>
      </c>
      <c r="G6334" t="str">
        <f t="shared" si="218"/>
        <v>753658</v>
      </c>
      <c r="H6334" s="2">
        <f>10</f>
        <v>10</v>
      </c>
      <c r="I6334" t="s">
        <v>27</v>
      </c>
      <c r="J6334" t="s">
        <v>39</v>
      </c>
      <c r="K6334" t="str">
        <f>"129533"</f>
        <v>129533</v>
      </c>
    </row>
    <row r="6335" spans="1:11" x14ac:dyDescent="0.25">
      <c r="A6335">
        <v>2025</v>
      </c>
      <c r="B6335" t="s">
        <v>1268</v>
      </c>
      <c r="C6335" t="s">
        <v>1269</v>
      </c>
      <c r="D6335" t="s">
        <v>105</v>
      </c>
      <c r="E6335" t="s">
        <v>20</v>
      </c>
      <c r="F6335" t="str">
        <f>"43528-7871"</f>
        <v>43528-7871</v>
      </c>
      <c r="G6335" t="str">
        <f t="shared" si="218"/>
        <v>753658</v>
      </c>
      <c r="H6335" s="2">
        <f>20</f>
        <v>20</v>
      </c>
      <c r="I6335" t="s">
        <v>27</v>
      </c>
      <c r="J6335" t="s">
        <v>39</v>
      </c>
      <c r="K6335" t="str">
        <f>"127116"</f>
        <v>127116</v>
      </c>
    </row>
    <row r="6336" spans="1:11" x14ac:dyDescent="0.25">
      <c r="A6336">
        <v>2025</v>
      </c>
      <c r="B6336" t="s">
        <v>1272</v>
      </c>
      <c r="C6336" t="s">
        <v>1273</v>
      </c>
      <c r="D6336" t="s">
        <v>19</v>
      </c>
      <c r="E6336" t="s">
        <v>20</v>
      </c>
      <c r="F6336" t="str">
        <f>"43613"</f>
        <v>43613</v>
      </c>
      <c r="G6336" t="str">
        <f t="shared" si="218"/>
        <v>753658</v>
      </c>
      <c r="H6336" s="2">
        <f>10</f>
        <v>10</v>
      </c>
      <c r="I6336" t="s">
        <v>27</v>
      </c>
      <c r="J6336" t="s">
        <v>39</v>
      </c>
      <c r="K6336" t="str">
        <f>"126807"</f>
        <v>126807</v>
      </c>
    </row>
    <row r="6337" spans="1:11" x14ac:dyDescent="0.25">
      <c r="A6337">
        <v>2025</v>
      </c>
      <c r="B6337" t="s">
        <v>1310</v>
      </c>
      <c r="C6337" t="s">
        <v>1311</v>
      </c>
      <c r="D6337" t="s">
        <v>19</v>
      </c>
      <c r="E6337" t="s">
        <v>20</v>
      </c>
      <c r="F6337" t="str">
        <f>"43608"</f>
        <v>43608</v>
      </c>
      <c r="G6337" t="str">
        <f t="shared" si="218"/>
        <v>753658</v>
      </c>
      <c r="H6337" s="2">
        <f>10</f>
        <v>10</v>
      </c>
      <c r="I6337" t="s">
        <v>27</v>
      </c>
      <c r="J6337" t="s">
        <v>39</v>
      </c>
      <c r="K6337" t="str">
        <f>"131716"</f>
        <v>131716</v>
      </c>
    </row>
    <row r="6338" spans="1:11" x14ac:dyDescent="0.25">
      <c r="A6338">
        <v>2025</v>
      </c>
      <c r="B6338" t="s">
        <v>1314</v>
      </c>
      <c r="C6338" t="s">
        <v>1315</v>
      </c>
      <c r="D6338" t="s">
        <v>19</v>
      </c>
      <c r="E6338" t="s">
        <v>20</v>
      </c>
      <c r="F6338" t="str">
        <f>"43613-2115"</f>
        <v>43613-2115</v>
      </c>
      <c r="G6338" t="str">
        <f t="shared" si="218"/>
        <v>753658</v>
      </c>
      <c r="H6338" s="2">
        <f>10</f>
        <v>10</v>
      </c>
      <c r="I6338" t="s">
        <v>27</v>
      </c>
      <c r="J6338" t="s">
        <v>39</v>
      </c>
      <c r="K6338" t="str">
        <f>"129164"</f>
        <v>129164</v>
      </c>
    </row>
    <row r="6339" spans="1:11" x14ac:dyDescent="0.25">
      <c r="A6339">
        <v>2025</v>
      </c>
      <c r="B6339" t="s">
        <v>1318</v>
      </c>
      <c r="C6339" t="s">
        <v>1319</v>
      </c>
      <c r="D6339" t="s">
        <v>19</v>
      </c>
      <c r="E6339" t="s">
        <v>20</v>
      </c>
      <c r="F6339" t="str">
        <f>"43607-1057"</f>
        <v>43607-1057</v>
      </c>
      <c r="G6339" t="str">
        <f t="shared" si="218"/>
        <v>753658</v>
      </c>
      <c r="H6339" s="2">
        <f>10</f>
        <v>10</v>
      </c>
      <c r="I6339" t="s">
        <v>27</v>
      </c>
      <c r="J6339" t="s">
        <v>39</v>
      </c>
      <c r="K6339" t="str">
        <f>"126806"</f>
        <v>126806</v>
      </c>
    </row>
    <row r="6340" spans="1:11" x14ac:dyDescent="0.25">
      <c r="A6340">
        <v>2025</v>
      </c>
      <c r="B6340" t="s">
        <v>1320</v>
      </c>
      <c r="C6340" t="s">
        <v>1321</v>
      </c>
      <c r="D6340" t="s">
        <v>19</v>
      </c>
      <c r="E6340" t="s">
        <v>20</v>
      </c>
      <c r="F6340" t="str">
        <f>"43617"</f>
        <v>43617</v>
      </c>
      <c r="G6340" t="str">
        <f>"759796"</f>
        <v>759796</v>
      </c>
      <c r="H6340" s="2">
        <f>0.12</f>
        <v>0.12</v>
      </c>
      <c r="I6340" t="s">
        <v>27</v>
      </c>
      <c r="J6340" t="s">
        <v>188</v>
      </c>
      <c r="K6340" t="str">
        <f>"46654"</f>
        <v>46654</v>
      </c>
    </row>
    <row r="6341" spans="1:11" x14ac:dyDescent="0.25">
      <c r="A6341">
        <v>2025</v>
      </c>
      <c r="B6341" t="s">
        <v>1332</v>
      </c>
      <c r="C6341" t="s">
        <v>1333</v>
      </c>
      <c r="D6341" t="s">
        <v>125</v>
      </c>
      <c r="E6341" t="s">
        <v>20</v>
      </c>
      <c r="F6341" t="str">
        <f>"43537-8600"</f>
        <v>43537-8600</v>
      </c>
      <c r="G6341" t="str">
        <f t="shared" ref="G6341:G6351" si="219">"753658"</f>
        <v>753658</v>
      </c>
      <c r="H6341" s="2">
        <f>30</f>
        <v>30</v>
      </c>
      <c r="I6341" t="s">
        <v>27</v>
      </c>
      <c r="J6341" t="s">
        <v>39</v>
      </c>
      <c r="K6341" t="str">
        <f>"126840"</f>
        <v>126840</v>
      </c>
    </row>
    <row r="6342" spans="1:11" x14ac:dyDescent="0.25">
      <c r="A6342">
        <v>2025</v>
      </c>
      <c r="B6342" t="s">
        <v>1334</v>
      </c>
      <c r="C6342" t="s">
        <v>1335</v>
      </c>
      <c r="D6342" t="s">
        <v>19</v>
      </c>
      <c r="E6342" t="s">
        <v>20</v>
      </c>
      <c r="F6342" t="str">
        <f>"43617-1390"</f>
        <v>43617-1390</v>
      </c>
      <c r="G6342" t="str">
        <f t="shared" si="219"/>
        <v>753658</v>
      </c>
      <c r="H6342" s="2">
        <f>40</f>
        <v>40</v>
      </c>
      <c r="I6342" t="s">
        <v>27</v>
      </c>
      <c r="J6342" t="s">
        <v>39</v>
      </c>
      <c r="K6342" t="str">
        <f>"131145"</f>
        <v>131145</v>
      </c>
    </row>
    <row r="6343" spans="1:11" x14ac:dyDescent="0.25">
      <c r="A6343">
        <v>2025</v>
      </c>
      <c r="B6343" t="s">
        <v>1344</v>
      </c>
      <c r="C6343" t="s">
        <v>1345</v>
      </c>
      <c r="D6343" t="s">
        <v>19</v>
      </c>
      <c r="E6343" t="s">
        <v>20</v>
      </c>
      <c r="F6343" t="str">
        <f>"43612-4019"</f>
        <v>43612-4019</v>
      </c>
      <c r="G6343" t="str">
        <f t="shared" si="219"/>
        <v>753658</v>
      </c>
      <c r="H6343" s="2">
        <f>30</f>
        <v>30</v>
      </c>
      <c r="I6343" t="s">
        <v>27</v>
      </c>
      <c r="J6343" t="s">
        <v>39</v>
      </c>
      <c r="K6343" t="str">
        <f>"127140"</f>
        <v>127140</v>
      </c>
    </row>
    <row r="6344" spans="1:11" x14ac:dyDescent="0.25">
      <c r="A6344">
        <v>2025</v>
      </c>
      <c r="B6344" t="s">
        <v>1346</v>
      </c>
      <c r="C6344" t="s">
        <v>1347</v>
      </c>
      <c r="D6344" t="s">
        <v>19</v>
      </c>
      <c r="E6344" t="s">
        <v>20</v>
      </c>
      <c r="F6344" t="str">
        <f>"43620"</f>
        <v>43620</v>
      </c>
      <c r="G6344" t="str">
        <f t="shared" si="219"/>
        <v>753658</v>
      </c>
      <c r="H6344" s="2">
        <f>10</f>
        <v>10</v>
      </c>
      <c r="I6344" t="s">
        <v>27</v>
      </c>
      <c r="J6344" t="s">
        <v>39</v>
      </c>
      <c r="K6344" t="str">
        <f>"126161"</f>
        <v>126161</v>
      </c>
    </row>
    <row r="6345" spans="1:11" x14ac:dyDescent="0.25">
      <c r="A6345">
        <v>2025</v>
      </c>
      <c r="B6345" t="s">
        <v>1374</v>
      </c>
      <c r="C6345" t="s">
        <v>1375</v>
      </c>
      <c r="D6345" t="s">
        <v>19</v>
      </c>
      <c r="E6345" t="s">
        <v>20</v>
      </c>
      <c r="F6345" t="str">
        <f>"43613-2218"</f>
        <v>43613-2218</v>
      </c>
      <c r="G6345" t="str">
        <f t="shared" si="219"/>
        <v>753658</v>
      </c>
      <c r="H6345" s="2">
        <f>60</f>
        <v>60</v>
      </c>
      <c r="I6345" t="s">
        <v>27</v>
      </c>
      <c r="J6345" t="s">
        <v>39</v>
      </c>
      <c r="K6345" t="str">
        <f>"125910"</f>
        <v>125910</v>
      </c>
    </row>
    <row r="6346" spans="1:11" x14ac:dyDescent="0.25">
      <c r="A6346">
        <v>2025</v>
      </c>
      <c r="B6346" t="s">
        <v>1376</v>
      </c>
      <c r="C6346" t="s">
        <v>1377</v>
      </c>
      <c r="D6346" t="s">
        <v>19</v>
      </c>
      <c r="E6346" t="s">
        <v>20</v>
      </c>
      <c r="F6346" t="str">
        <f>"43613-4827"</f>
        <v>43613-4827</v>
      </c>
      <c r="G6346" t="str">
        <f t="shared" si="219"/>
        <v>753658</v>
      </c>
      <c r="H6346" s="2">
        <f>10</f>
        <v>10</v>
      </c>
      <c r="I6346" t="s">
        <v>27</v>
      </c>
      <c r="J6346" t="s">
        <v>39</v>
      </c>
      <c r="K6346" t="str">
        <f>"128346"</f>
        <v>128346</v>
      </c>
    </row>
    <row r="6347" spans="1:11" x14ac:dyDescent="0.25">
      <c r="A6347">
        <v>2025</v>
      </c>
      <c r="B6347" t="s">
        <v>1382</v>
      </c>
      <c r="C6347" t="s">
        <v>1381</v>
      </c>
      <c r="D6347" t="s">
        <v>19</v>
      </c>
      <c r="E6347" t="s">
        <v>20</v>
      </c>
      <c r="F6347" t="str">
        <f>"43613-2532"</f>
        <v>43613-2532</v>
      </c>
      <c r="G6347" t="str">
        <f t="shared" si="219"/>
        <v>753658</v>
      </c>
      <c r="H6347" s="2">
        <f>10</f>
        <v>10</v>
      </c>
      <c r="I6347" t="s">
        <v>27</v>
      </c>
      <c r="J6347" t="s">
        <v>39</v>
      </c>
      <c r="K6347" t="str">
        <f>"128253"</f>
        <v>128253</v>
      </c>
    </row>
    <row r="6348" spans="1:11" x14ac:dyDescent="0.25">
      <c r="A6348">
        <v>2025</v>
      </c>
      <c r="B6348" t="s">
        <v>1383</v>
      </c>
      <c r="C6348" t="s">
        <v>1384</v>
      </c>
      <c r="D6348" t="s">
        <v>899</v>
      </c>
      <c r="E6348" t="s">
        <v>20</v>
      </c>
      <c r="F6348" t="str">
        <f>"43412-9490"</f>
        <v>43412-9490</v>
      </c>
      <c r="G6348" t="str">
        <f t="shared" si="219"/>
        <v>753658</v>
      </c>
      <c r="H6348" s="2">
        <f>10</f>
        <v>10</v>
      </c>
      <c r="I6348" t="s">
        <v>27</v>
      </c>
      <c r="J6348" t="s">
        <v>39</v>
      </c>
      <c r="K6348" t="str">
        <f>"126544"</f>
        <v>126544</v>
      </c>
    </row>
    <row r="6349" spans="1:11" x14ac:dyDescent="0.25">
      <c r="A6349">
        <v>2025</v>
      </c>
      <c r="B6349" t="s">
        <v>1385</v>
      </c>
      <c r="C6349" t="s">
        <v>1386</v>
      </c>
      <c r="D6349" t="s">
        <v>19</v>
      </c>
      <c r="E6349" t="s">
        <v>20</v>
      </c>
      <c r="F6349" t="str">
        <f>"43611-1953"</f>
        <v>43611-1953</v>
      </c>
      <c r="G6349" t="str">
        <f t="shared" si="219"/>
        <v>753658</v>
      </c>
      <c r="H6349" s="2">
        <f>10</f>
        <v>10</v>
      </c>
      <c r="I6349" t="s">
        <v>27</v>
      </c>
      <c r="J6349" t="s">
        <v>39</v>
      </c>
      <c r="K6349" t="str">
        <f>"129179"</f>
        <v>129179</v>
      </c>
    </row>
    <row r="6350" spans="1:11" x14ac:dyDescent="0.25">
      <c r="A6350">
        <v>2025</v>
      </c>
      <c r="B6350" t="s">
        <v>1393</v>
      </c>
      <c r="C6350" t="s">
        <v>1394</v>
      </c>
      <c r="D6350" t="s">
        <v>50</v>
      </c>
      <c r="E6350" t="s">
        <v>20</v>
      </c>
      <c r="F6350" t="str">
        <f>"43560-3631"</f>
        <v>43560-3631</v>
      </c>
      <c r="G6350" t="str">
        <f t="shared" si="219"/>
        <v>753658</v>
      </c>
      <c r="H6350" s="2">
        <f>10</f>
        <v>10</v>
      </c>
      <c r="I6350" t="s">
        <v>27</v>
      </c>
      <c r="J6350" t="s">
        <v>39</v>
      </c>
      <c r="K6350" t="str">
        <f>"126197"</f>
        <v>126197</v>
      </c>
    </row>
    <row r="6351" spans="1:11" x14ac:dyDescent="0.25">
      <c r="A6351">
        <v>2025</v>
      </c>
      <c r="B6351" t="s">
        <v>1397</v>
      </c>
      <c r="C6351" t="s">
        <v>1398</v>
      </c>
      <c r="D6351" t="s">
        <v>19</v>
      </c>
      <c r="E6351" t="s">
        <v>20</v>
      </c>
      <c r="F6351" t="str">
        <f>"43606-2847"</f>
        <v>43606-2847</v>
      </c>
      <c r="G6351" t="str">
        <f t="shared" si="219"/>
        <v>753658</v>
      </c>
      <c r="H6351" s="2">
        <f>20</f>
        <v>20</v>
      </c>
      <c r="I6351" t="s">
        <v>27</v>
      </c>
      <c r="J6351" t="s">
        <v>39</v>
      </c>
      <c r="K6351" t="str">
        <f>"125379"</f>
        <v>125379</v>
      </c>
    </row>
    <row r="6352" spans="1:11" x14ac:dyDescent="0.25">
      <c r="A6352">
        <v>2025</v>
      </c>
      <c r="B6352" t="s">
        <v>1413</v>
      </c>
      <c r="C6352" t="s">
        <v>1414</v>
      </c>
      <c r="D6352" t="s">
        <v>1415</v>
      </c>
      <c r="E6352" t="s">
        <v>216</v>
      </c>
      <c r="F6352" t="str">
        <f>"46013"</f>
        <v>46013</v>
      </c>
      <c r="G6352" t="str">
        <f>"776052"</f>
        <v>776052</v>
      </c>
      <c r="H6352" s="2">
        <f>49.14</f>
        <v>49.14</v>
      </c>
      <c r="I6352" t="s">
        <v>1416</v>
      </c>
      <c r="J6352" t="s">
        <v>1417</v>
      </c>
      <c r="K6352" t="str">
        <f>"28094"</f>
        <v>28094</v>
      </c>
    </row>
    <row r="6353" spans="1:11" x14ac:dyDescent="0.25">
      <c r="A6353">
        <v>2025</v>
      </c>
      <c r="B6353" t="s">
        <v>1420</v>
      </c>
      <c r="C6353" t="s">
        <v>1421</v>
      </c>
      <c r="D6353" t="s">
        <v>19</v>
      </c>
      <c r="E6353" t="s">
        <v>20</v>
      </c>
      <c r="F6353" t="str">
        <f>"43612-4012"</f>
        <v>43612-4012</v>
      </c>
      <c r="G6353" t="str">
        <f t="shared" ref="G6353:G6360" si="220">"753658"</f>
        <v>753658</v>
      </c>
      <c r="H6353" s="2">
        <f>10</f>
        <v>10</v>
      </c>
      <c r="I6353" t="s">
        <v>27</v>
      </c>
      <c r="J6353" t="s">
        <v>39</v>
      </c>
      <c r="K6353" t="str">
        <f>"126653"</f>
        <v>126653</v>
      </c>
    </row>
    <row r="6354" spans="1:11" x14ac:dyDescent="0.25">
      <c r="A6354">
        <v>2025</v>
      </c>
      <c r="B6354" t="s">
        <v>1424</v>
      </c>
      <c r="C6354" t="s">
        <v>1425</v>
      </c>
      <c r="D6354" t="s">
        <v>50</v>
      </c>
      <c r="E6354" t="s">
        <v>20</v>
      </c>
      <c r="F6354" t="str">
        <f>"43560-1172"</f>
        <v>43560-1172</v>
      </c>
      <c r="G6354" t="str">
        <f t="shared" si="220"/>
        <v>753658</v>
      </c>
      <c r="H6354" s="2">
        <f>30</f>
        <v>30</v>
      </c>
      <c r="I6354" t="s">
        <v>27</v>
      </c>
      <c r="J6354" t="s">
        <v>39</v>
      </c>
      <c r="K6354" t="str">
        <f>"127222"</f>
        <v>127222</v>
      </c>
    </row>
    <row r="6355" spans="1:11" x14ac:dyDescent="0.25">
      <c r="A6355">
        <v>2025</v>
      </c>
      <c r="B6355" t="s">
        <v>1428</v>
      </c>
      <c r="C6355" t="s">
        <v>1429</v>
      </c>
      <c r="D6355" t="s">
        <v>19</v>
      </c>
      <c r="E6355" t="s">
        <v>20</v>
      </c>
      <c r="F6355" t="str">
        <f>"43613-3103"</f>
        <v>43613-3103</v>
      </c>
      <c r="G6355" t="str">
        <f t="shared" si="220"/>
        <v>753658</v>
      </c>
      <c r="H6355" s="2">
        <f>20</f>
        <v>20</v>
      </c>
      <c r="I6355" t="s">
        <v>27</v>
      </c>
      <c r="J6355" t="s">
        <v>39</v>
      </c>
      <c r="K6355" t="str">
        <f>"129740"</f>
        <v>129740</v>
      </c>
    </row>
    <row r="6356" spans="1:11" x14ac:dyDescent="0.25">
      <c r="A6356">
        <v>2025</v>
      </c>
      <c r="B6356" t="s">
        <v>1446</v>
      </c>
      <c r="C6356" t="s">
        <v>1447</v>
      </c>
      <c r="D6356" t="s">
        <v>19</v>
      </c>
      <c r="E6356" t="s">
        <v>20</v>
      </c>
      <c r="F6356" t="str">
        <f>"43612-4472"</f>
        <v>43612-4472</v>
      </c>
      <c r="G6356" t="str">
        <f t="shared" si="220"/>
        <v>753658</v>
      </c>
      <c r="H6356" s="2">
        <f>20</f>
        <v>20</v>
      </c>
      <c r="I6356" t="s">
        <v>27</v>
      </c>
      <c r="J6356" t="s">
        <v>39</v>
      </c>
      <c r="K6356" t="str">
        <f>"126704"</f>
        <v>126704</v>
      </c>
    </row>
    <row r="6357" spans="1:11" x14ac:dyDescent="0.25">
      <c r="A6357">
        <v>2025</v>
      </c>
      <c r="B6357" t="s">
        <v>1466</v>
      </c>
      <c r="C6357" t="s">
        <v>1467</v>
      </c>
      <c r="D6357" t="s">
        <v>19</v>
      </c>
      <c r="E6357" t="s">
        <v>20</v>
      </c>
      <c r="F6357" t="str">
        <f>"43614-4140"</f>
        <v>43614-4140</v>
      </c>
      <c r="G6357" t="str">
        <f t="shared" si="220"/>
        <v>753658</v>
      </c>
      <c r="H6357" s="2">
        <f>80</f>
        <v>80</v>
      </c>
      <c r="I6357" t="s">
        <v>27</v>
      </c>
      <c r="J6357" t="s">
        <v>39</v>
      </c>
      <c r="K6357" t="str">
        <f>"125760"</f>
        <v>125760</v>
      </c>
    </row>
    <row r="6358" spans="1:11" x14ac:dyDescent="0.25">
      <c r="A6358">
        <v>2025</v>
      </c>
      <c r="B6358" t="s">
        <v>1468</v>
      </c>
      <c r="C6358" t="s">
        <v>1469</v>
      </c>
      <c r="D6358" t="s">
        <v>19</v>
      </c>
      <c r="E6358" t="s">
        <v>20</v>
      </c>
      <c r="F6358" t="str">
        <f>"43612-1720"</f>
        <v>43612-1720</v>
      </c>
      <c r="G6358" t="str">
        <f t="shared" si="220"/>
        <v>753658</v>
      </c>
      <c r="H6358" s="2">
        <f>10</f>
        <v>10</v>
      </c>
      <c r="I6358" t="s">
        <v>27</v>
      </c>
      <c r="J6358" t="s">
        <v>39</v>
      </c>
      <c r="K6358" t="str">
        <f>"126029"</f>
        <v>126029</v>
      </c>
    </row>
    <row r="6359" spans="1:11" x14ac:dyDescent="0.25">
      <c r="A6359">
        <v>2025</v>
      </c>
      <c r="B6359" t="s">
        <v>1474</v>
      </c>
      <c r="C6359" t="s">
        <v>1475</v>
      </c>
      <c r="D6359" t="s">
        <v>125</v>
      </c>
      <c r="E6359" t="s">
        <v>20</v>
      </c>
      <c r="F6359" t="str">
        <f>"43537-3256"</f>
        <v>43537-3256</v>
      </c>
      <c r="G6359" t="str">
        <f t="shared" si="220"/>
        <v>753658</v>
      </c>
      <c r="H6359" s="2">
        <f>20</f>
        <v>20</v>
      </c>
      <c r="I6359" t="s">
        <v>27</v>
      </c>
      <c r="J6359" t="s">
        <v>39</v>
      </c>
      <c r="K6359" t="str">
        <f>"131012"</f>
        <v>131012</v>
      </c>
    </row>
    <row r="6360" spans="1:11" x14ac:dyDescent="0.25">
      <c r="A6360">
        <v>2025</v>
      </c>
      <c r="B6360" t="s">
        <v>1476</v>
      </c>
      <c r="C6360" t="s">
        <v>1477</v>
      </c>
      <c r="D6360" t="s">
        <v>19</v>
      </c>
      <c r="E6360" t="s">
        <v>20</v>
      </c>
      <c r="F6360" t="str">
        <f>"43615-3961"</f>
        <v>43615-3961</v>
      </c>
      <c r="G6360" t="str">
        <f t="shared" si="220"/>
        <v>753658</v>
      </c>
      <c r="H6360" s="2">
        <f>20</f>
        <v>20</v>
      </c>
      <c r="I6360" t="s">
        <v>27</v>
      </c>
      <c r="J6360" t="s">
        <v>39</v>
      </c>
      <c r="K6360" t="str">
        <f>"125256"</f>
        <v>125256</v>
      </c>
    </row>
    <row r="6361" spans="1:11" x14ac:dyDescent="0.25">
      <c r="A6361">
        <v>2025</v>
      </c>
      <c r="B6361" t="s">
        <v>1486</v>
      </c>
      <c r="C6361" t="s">
        <v>1487</v>
      </c>
      <c r="D6361" t="s">
        <v>125</v>
      </c>
      <c r="E6361" t="s">
        <v>20</v>
      </c>
      <c r="F6361" t="str">
        <f>"43537"</f>
        <v>43537</v>
      </c>
      <c r="G6361" t="str">
        <f>"751641"</f>
        <v>751641</v>
      </c>
      <c r="H6361" s="2">
        <f>2.95</f>
        <v>2.95</v>
      </c>
      <c r="I6361" t="s">
        <v>27</v>
      </c>
      <c r="J6361" t="s">
        <v>219</v>
      </c>
      <c r="K6361" t="str">
        <f>"22027597"</f>
        <v>22027597</v>
      </c>
    </row>
    <row r="6362" spans="1:11" x14ac:dyDescent="0.25">
      <c r="A6362">
        <v>2025</v>
      </c>
      <c r="B6362" t="s">
        <v>1496</v>
      </c>
      <c r="C6362" t="s">
        <v>1497</v>
      </c>
      <c r="D6362" t="s">
        <v>19</v>
      </c>
      <c r="E6362" t="s">
        <v>20</v>
      </c>
      <c r="F6362" t="str">
        <f>"43613-3341"</f>
        <v>43613-3341</v>
      </c>
      <c r="G6362" t="str">
        <f>"753658"</f>
        <v>753658</v>
      </c>
      <c r="H6362" s="2">
        <f>30</f>
        <v>30</v>
      </c>
      <c r="I6362" t="s">
        <v>27</v>
      </c>
      <c r="J6362" t="s">
        <v>39</v>
      </c>
      <c r="K6362" t="str">
        <f>"128403"</f>
        <v>128403</v>
      </c>
    </row>
    <row r="6363" spans="1:11" x14ac:dyDescent="0.25">
      <c r="A6363">
        <v>2025</v>
      </c>
      <c r="B6363" t="s">
        <v>1502</v>
      </c>
      <c r="C6363" t="s">
        <v>1503</v>
      </c>
      <c r="D6363" t="s">
        <v>64</v>
      </c>
      <c r="E6363" t="s">
        <v>20</v>
      </c>
      <c r="F6363" t="str">
        <f>"43566-1153"</f>
        <v>43566-1153</v>
      </c>
      <c r="G6363" t="str">
        <f>"753658"</f>
        <v>753658</v>
      </c>
      <c r="H6363" s="2">
        <f>10</f>
        <v>10</v>
      </c>
      <c r="I6363" t="s">
        <v>27</v>
      </c>
      <c r="J6363" t="s">
        <v>39</v>
      </c>
      <c r="K6363" t="str">
        <f>"126071"</f>
        <v>126071</v>
      </c>
    </row>
    <row r="6364" spans="1:11" x14ac:dyDescent="0.25">
      <c r="A6364">
        <v>2025</v>
      </c>
      <c r="B6364" t="s">
        <v>1504</v>
      </c>
      <c r="C6364" t="s">
        <v>1505</v>
      </c>
      <c r="D6364" t="s">
        <v>1506</v>
      </c>
      <c r="E6364" t="s">
        <v>14</v>
      </c>
      <c r="F6364" t="str">
        <f>"48076"</f>
        <v>48076</v>
      </c>
      <c r="G6364" t="str">
        <f>"759796"</f>
        <v>759796</v>
      </c>
      <c r="H6364" s="2">
        <f>20</f>
        <v>20</v>
      </c>
      <c r="I6364" t="s">
        <v>27</v>
      </c>
      <c r="J6364" t="s">
        <v>188</v>
      </c>
      <c r="K6364" t="str">
        <f>"43712"</f>
        <v>43712</v>
      </c>
    </row>
    <row r="6365" spans="1:11" x14ac:dyDescent="0.25">
      <c r="A6365">
        <v>2025</v>
      </c>
      <c r="B6365" t="s">
        <v>1509</v>
      </c>
      <c r="C6365" t="s">
        <v>1510</v>
      </c>
      <c r="D6365" t="s">
        <v>58</v>
      </c>
      <c r="E6365" t="s">
        <v>20</v>
      </c>
      <c r="F6365" t="str">
        <f>"43616-2722"</f>
        <v>43616-2722</v>
      </c>
      <c r="G6365" t="str">
        <f t="shared" ref="G6365:G6373" si="221">"753658"</f>
        <v>753658</v>
      </c>
      <c r="H6365" s="2">
        <f>10</f>
        <v>10</v>
      </c>
      <c r="I6365" t="s">
        <v>27</v>
      </c>
      <c r="J6365" t="s">
        <v>39</v>
      </c>
      <c r="K6365" t="str">
        <f>"128229"</f>
        <v>128229</v>
      </c>
    </row>
    <row r="6366" spans="1:11" x14ac:dyDescent="0.25">
      <c r="A6366">
        <v>2025</v>
      </c>
      <c r="B6366" t="s">
        <v>1513</v>
      </c>
      <c r="C6366" t="s">
        <v>1514</v>
      </c>
      <c r="D6366" t="s">
        <v>19</v>
      </c>
      <c r="E6366" t="s">
        <v>20</v>
      </c>
      <c r="F6366" t="str">
        <f>"43609-3016"</f>
        <v>43609-3016</v>
      </c>
      <c r="G6366" t="str">
        <f t="shared" si="221"/>
        <v>753658</v>
      </c>
      <c r="H6366" s="2">
        <f>40</f>
        <v>40</v>
      </c>
      <c r="I6366" t="s">
        <v>27</v>
      </c>
      <c r="J6366" t="s">
        <v>39</v>
      </c>
      <c r="K6366" t="str">
        <f>"126248"</f>
        <v>126248</v>
      </c>
    </row>
    <row r="6367" spans="1:11" x14ac:dyDescent="0.25">
      <c r="A6367">
        <v>2025</v>
      </c>
      <c r="B6367" t="s">
        <v>1515</v>
      </c>
      <c r="C6367" t="s">
        <v>1516</v>
      </c>
      <c r="D6367" t="s">
        <v>899</v>
      </c>
      <c r="E6367" t="s">
        <v>20</v>
      </c>
      <c r="F6367" t="str">
        <f>"43412-9463"</f>
        <v>43412-9463</v>
      </c>
      <c r="G6367" t="str">
        <f t="shared" si="221"/>
        <v>753658</v>
      </c>
      <c r="H6367" s="2">
        <f>30</f>
        <v>30</v>
      </c>
      <c r="I6367" t="s">
        <v>27</v>
      </c>
      <c r="J6367" t="s">
        <v>39</v>
      </c>
      <c r="K6367" t="str">
        <f>"127413"</f>
        <v>127413</v>
      </c>
    </row>
    <row r="6368" spans="1:11" x14ac:dyDescent="0.25">
      <c r="A6368">
        <v>2025</v>
      </c>
      <c r="B6368" t="s">
        <v>1529</v>
      </c>
      <c r="C6368" t="s">
        <v>1530</v>
      </c>
      <c r="D6368" t="s">
        <v>19</v>
      </c>
      <c r="E6368" t="s">
        <v>20</v>
      </c>
      <c r="F6368" t="str">
        <f>"43611-1914"</f>
        <v>43611-1914</v>
      </c>
      <c r="G6368" t="str">
        <f t="shared" si="221"/>
        <v>753658</v>
      </c>
      <c r="H6368" s="2">
        <f>20</f>
        <v>20</v>
      </c>
      <c r="I6368" t="s">
        <v>27</v>
      </c>
      <c r="J6368" t="s">
        <v>39</v>
      </c>
      <c r="K6368" t="str">
        <f>"126776"</f>
        <v>126776</v>
      </c>
    </row>
    <row r="6369" spans="1:11" x14ac:dyDescent="0.25">
      <c r="A6369">
        <v>2025</v>
      </c>
      <c r="B6369" t="s">
        <v>1531</v>
      </c>
      <c r="C6369" t="s">
        <v>1532</v>
      </c>
      <c r="D6369" t="s">
        <v>50</v>
      </c>
      <c r="E6369" t="s">
        <v>20</v>
      </c>
      <c r="F6369" t="str">
        <f>"43560-9233"</f>
        <v>43560-9233</v>
      </c>
      <c r="G6369" t="str">
        <f t="shared" si="221"/>
        <v>753658</v>
      </c>
      <c r="H6369" s="2">
        <f>20</f>
        <v>20</v>
      </c>
      <c r="I6369" t="s">
        <v>27</v>
      </c>
      <c r="J6369" t="s">
        <v>39</v>
      </c>
      <c r="K6369" t="str">
        <f>"131262"</f>
        <v>131262</v>
      </c>
    </row>
    <row r="6370" spans="1:11" x14ac:dyDescent="0.25">
      <c r="A6370">
        <v>2025</v>
      </c>
      <c r="B6370" t="s">
        <v>1539</v>
      </c>
      <c r="C6370" t="s">
        <v>1540</v>
      </c>
      <c r="D6370" t="s">
        <v>323</v>
      </c>
      <c r="E6370" t="s">
        <v>20</v>
      </c>
      <c r="F6370" t="str">
        <f>"43571-9134"</f>
        <v>43571-9134</v>
      </c>
      <c r="G6370" t="str">
        <f t="shared" si="221"/>
        <v>753658</v>
      </c>
      <c r="H6370" s="2">
        <f>40</f>
        <v>40</v>
      </c>
      <c r="I6370" t="s">
        <v>27</v>
      </c>
      <c r="J6370" t="s">
        <v>39</v>
      </c>
      <c r="K6370" t="str">
        <f>"125646"</f>
        <v>125646</v>
      </c>
    </row>
    <row r="6371" spans="1:11" x14ac:dyDescent="0.25">
      <c r="A6371">
        <v>2025</v>
      </c>
      <c r="B6371" t="s">
        <v>1543</v>
      </c>
      <c r="C6371" t="s">
        <v>1544</v>
      </c>
      <c r="D6371" t="s">
        <v>19</v>
      </c>
      <c r="E6371" t="s">
        <v>20</v>
      </c>
      <c r="F6371" t="str">
        <f>"43611-1046"</f>
        <v>43611-1046</v>
      </c>
      <c r="G6371" t="str">
        <f t="shared" si="221"/>
        <v>753658</v>
      </c>
      <c r="H6371" s="2">
        <f>10</f>
        <v>10</v>
      </c>
      <c r="I6371" t="s">
        <v>27</v>
      </c>
      <c r="J6371" t="s">
        <v>39</v>
      </c>
      <c r="K6371" t="str">
        <f>"131625"</f>
        <v>131625</v>
      </c>
    </row>
    <row r="6372" spans="1:11" x14ac:dyDescent="0.25">
      <c r="A6372">
        <v>2025</v>
      </c>
      <c r="B6372" t="s">
        <v>1553</v>
      </c>
      <c r="C6372" t="s">
        <v>1526</v>
      </c>
      <c r="D6372" t="s">
        <v>125</v>
      </c>
      <c r="E6372" t="s">
        <v>20</v>
      </c>
      <c r="F6372" t="str">
        <f>"43537-2365"</f>
        <v>43537-2365</v>
      </c>
      <c r="G6372" t="str">
        <f t="shared" si="221"/>
        <v>753658</v>
      </c>
      <c r="H6372" s="2">
        <f>40</f>
        <v>40</v>
      </c>
      <c r="I6372" t="s">
        <v>27</v>
      </c>
      <c r="J6372" t="s">
        <v>39</v>
      </c>
      <c r="K6372" t="str">
        <f>"126209"</f>
        <v>126209</v>
      </c>
    </row>
    <row r="6373" spans="1:11" x14ac:dyDescent="0.25">
      <c r="A6373">
        <v>2025</v>
      </c>
      <c r="B6373" t="s">
        <v>1560</v>
      </c>
      <c r="C6373" t="s">
        <v>1561</v>
      </c>
      <c r="D6373" t="s">
        <v>50</v>
      </c>
      <c r="E6373" t="s">
        <v>20</v>
      </c>
      <c r="F6373" t="str">
        <f>"43560-2055"</f>
        <v>43560-2055</v>
      </c>
      <c r="G6373" t="str">
        <f t="shared" si="221"/>
        <v>753658</v>
      </c>
      <c r="H6373" s="2">
        <f>10</f>
        <v>10</v>
      </c>
      <c r="I6373" t="s">
        <v>27</v>
      </c>
      <c r="J6373" t="s">
        <v>39</v>
      </c>
      <c r="K6373" t="str">
        <f>"131076"</f>
        <v>131076</v>
      </c>
    </row>
    <row r="6374" spans="1:11" x14ac:dyDescent="0.25">
      <c r="A6374">
        <v>2025</v>
      </c>
      <c r="B6374" t="s">
        <v>1568</v>
      </c>
      <c r="C6374" t="s">
        <v>1569</v>
      </c>
      <c r="D6374" t="s">
        <v>19</v>
      </c>
      <c r="E6374" t="s">
        <v>20</v>
      </c>
      <c r="F6374" t="str">
        <f>"43604"</f>
        <v>43604</v>
      </c>
      <c r="G6374" t="str">
        <f>"740128"</f>
        <v>740128</v>
      </c>
      <c r="H6374" s="2">
        <f>185</f>
        <v>185</v>
      </c>
      <c r="I6374" t="s">
        <v>148</v>
      </c>
      <c r="J6374" t="s">
        <v>1574</v>
      </c>
      <c r="K6374" t="str">
        <f>"27417"</f>
        <v>27417</v>
      </c>
    </row>
    <row r="6375" spans="1:11" x14ac:dyDescent="0.25">
      <c r="A6375">
        <v>2025</v>
      </c>
      <c r="B6375" t="s">
        <v>1589</v>
      </c>
      <c r="C6375" t="s">
        <v>1590</v>
      </c>
      <c r="D6375" t="s">
        <v>19</v>
      </c>
      <c r="E6375" t="s">
        <v>20</v>
      </c>
      <c r="F6375" t="str">
        <f>"43613-3237"</f>
        <v>43613-3237</v>
      </c>
      <c r="G6375" t="str">
        <f t="shared" ref="G6375:G6381" si="222">"753658"</f>
        <v>753658</v>
      </c>
      <c r="H6375" s="2">
        <f>10</f>
        <v>10</v>
      </c>
      <c r="I6375" t="s">
        <v>27</v>
      </c>
      <c r="J6375" t="s">
        <v>39</v>
      </c>
      <c r="K6375" t="str">
        <f>"128028"</f>
        <v>128028</v>
      </c>
    </row>
    <row r="6376" spans="1:11" x14ac:dyDescent="0.25">
      <c r="A6376">
        <v>2025</v>
      </c>
      <c r="B6376" t="s">
        <v>1605</v>
      </c>
      <c r="C6376" t="s">
        <v>1606</v>
      </c>
      <c r="D6376" t="s">
        <v>125</v>
      </c>
      <c r="E6376" t="s">
        <v>20</v>
      </c>
      <c r="F6376" t="str">
        <f>"43537-3040"</f>
        <v>43537-3040</v>
      </c>
      <c r="G6376" t="str">
        <f t="shared" si="222"/>
        <v>753658</v>
      </c>
      <c r="H6376" s="2">
        <f>20</f>
        <v>20</v>
      </c>
      <c r="I6376" t="s">
        <v>27</v>
      </c>
      <c r="J6376" t="s">
        <v>39</v>
      </c>
      <c r="K6376" t="str">
        <f>"132014"</f>
        <v>132014</v>
      </c>
    </row>
    <row r="6377" spans="1:11" x14ac:dyDescent="0.25">
      <c r="A6377">
        <v>2025</v>
      </c>
      <c r="B6377" t="s">
        <v>1607</v>
      </c>
      <c r="C6377" t="s">
        <v>1608</v>
      </c>
      <c r="D6377" t="s">
        <v>19</v>
      </c>
      <c r="E6377" t="s">
        <v>20</v>
      </c>
      <c r="F6377" t="str">
        <f>"43605-1608"</f>
        <v>43605-1608</v>
      </c>
      <c r="G6377" t="str">
        <f t="shared" si="222"/>
        <v>753658</v>
      </c>
      <c r="H6377" s="2">
        <f>10</f>
        <v>10</v>
      </c>
      <c r="I6377" t="s">
        <v>27</v>
      </c>
      <c r="J6377" t="s">
        <v>39</v>
      </c>
      <c r="K6377" t="str">
        <f>"126143"</f>
        <v>126143</v>
      </c>
    </row>
    <row r="6378" spans="1:11" x14ac:dyDescent="0.25">
      <c r="A6378">
        <v>2025</v>
      </c>
      <c r="B6378" t="s">
        <v>1611</v>
      </c>
      <c r="C6378" t="s">
        <v>1612</v>
      </c>
      <c r="D6378" t="s">
        <v>19</v>
      </c>
      <c r="E6378" t="s">
        <v>20</v>
      </c>
      <c r="F6378" t="str">
        <f>"43614-3756"</f>
        <v>43614-3756</v>
      </c>
      <c r="G6378" t="str">
        <f t="shared" si="222"/>
        <v>753658</v>
      </c>
      <c r="H6378" s="2">
        <f>40</f>
        <v>40</v>
      </c>
      <c r="I6378" t="s">
        <v>27</v>
      </c>
      <c r="J6378" t="s">
        <v>39</v>
      </c>
      <c r="K6378" t="str">
        <f>"132060"</f>
        <v>132060</v>
      </c>
    </row>
    <row r="6379" spans="1:11" x14ac:dyDescent="0.25">
      <c r="A6379">
        <v>2025</v>
      </c>
      <c r="B6379" t="s">
        <v>1619</v>
      </c>
      <c r="C6379" t="s">
        <v>1620</v>
      </c>
      <c r="D6379" t="s">
        <v>19</v>
      </c>
      <c r="E6379" t="s">
        <v>20</v>
      </c>
      <c r="F6379" t="str">
        <f>"43613-5144"</f>
        <v>43613-5144</v>
      </c>
      <c r="G6379" t="str">
        <f t="shared" si="222"/>
        <v>753658</v>
      </c>
      <c r="H6379" s="2">
        <f>20</f>
        <v>20</v>
      </c>
      <c r="I6379" t="s">
        <v>27</v>
      </c>
      <c r="J6379" t="s">
        <v>39</v>
      </c>
      <c r="K6379" t="str">
        <f>"131927"</f>
        <v>131927</v>
      </c>
    </row>
    <row r="6380" spans="1:11" x14ac:dyDescent="0.25">
      <c r="A6380">
        <v>2025</v>
      </c>
      <c r="B6380" t="s">
        <v>1623</v>
      </c>
      <c r="C6380" t="s">
        <v>1624</v>
      </c>
      <c r="D6380" t="s">
        <v>58</v>
      </c>
      <c r="E6380" t="s">
        <v>20</v>
      </c>
      <c r="F6380" t="str">
        <f>"43616-3422"</f>
        <v>43616-3422</v>
      </c>
      <c r="G6380" t="str">
        <f t="shared" si="222"/>
        <v>753658</v>
      </c>
      <c r="H6380" s="2">
        <f>40</f>
        <v>40</v>
      </c>
      <c r="I6380" t="s">
        <v>27</v>
      </c>
      <c r="J6380" t="s">
        <v>39</v>
      </c>
      <c r="K6380" t="str">
        <f>"126120"</f>
        <v>126120</v>
      </c>
    </row>
    <row r="6381" spans="1:11" x14ac:dyDescent="0.25">
      <c r="A6381">
        <v>2025</v>
      </c>
      <c r="B6381" t="s">
        <v>1623</v>
      </c>
      <c r="C6381" t="s">
        <v>1624</v>
      </c>
      <c r="D6381" t="s">
        <v>58</v>
      </c>
      <c r="E6381" t="s">
        <v>20</v>
      </c>
      <c r="F6381" t="str">
        <f>"43616-3422"</f>
        <v>43616-3422</v>
      </c>
      <c r="G6381" t="str">
        <f t="shared" si="222"/>
        <v>753658</v>
      </c>
      <c r="H6381" s="2">
        <f>40</f>
        <v>40</v>
      </c>
      <c r="I6381" t="s">
        <v>27</v>
      </c>
      <c r="J6381" t="s">
        <v>39</v>
      </c>
      <c r="K6381" t="str">
        <f>"125944"</f>
        <v>125944</v>
      </c>
    </row>
    <row r="6382" spans="1:11" x14ac:dyDescent="0.25">
      <c r="A6382">
        <v>2025</v>
      </c>
      <c r="B6382" t="s">
        <v>1625</v>
      </c>
      <c r="C6382" t="s">
        <v>1626</v>
      </c>
      <c r="D6382" t="s">
        <v>19</v>
      </c>
      <c r="E6382" t="s">
        <v>20</v>
      </c>
      <c r="F6382" t="str">
        <f>"43614"</f>
        <v>43614</v>
      </c>
      <c r="G6382" t="str">
        <f>"Je12092025"</f>
        <v>Je12092025</v>
      </c>
      <c r="H6382" s="2">
        <f>168.87</f>
        <v>168.87</v>
      </c>
      <c r="I6382" t="s">
        <v>15</v>
      </c>
      <c r="J6382" t="s">
        <v>909</v>
      </c>
      <c r="K6382" t="str">
        <f>"60166812"</f>
        <v>60166812</v>
      </c>
    </row>
    <row r="6383" spans="1:11" x14ac:dyDescent="0.25">
      <c r="A6383">
        <v>2025</v>
      </c>
      <c r="B6383" t="s">
        <v>1650</v>
      </c>
      <c r="C6383" t="s">
        <v>1651</v>
      </c>
      <c r="D6383" t="s">
        <v>383</v>
      </c>
      <c r="E6383" t="s">
        <v>20</v>
      </c>
      <c r="F6383" t="str">
        <f>"44311"</f>
        <v>44311</v>
      </c>
      <c r="G6383" t="str">
        <f>"759796"</f>
        <v>759796</v>
      </c>
      <c r="H6383" s="2">
        <f>70</f>
        <v>70</v>
      </c>
      <c r="I6383" t="s">
        <v>27</v>
      </c>
      <c r="J6383" t="s">
        <v>188</v>
      </c>
      <c r="K6383" t="str">
        <f>"45477"</f>
        <v>45477</v>
      </c>
    </row>
    <row r="6384" spans="1:11" x14ac:dyDescent="0.25">
      <c r="A6384">
        <v>2025</v>
      </c>
      <c r="B6384" t="s">
        <v>1659</v>
      </c>
      <c r="C6384" t="s">
        <v>1660</v>
      </c>
      <c r="D6384" t="s">
        <v>50</v>
      </c>
      <c r="E6384" t="s">
        <v>20</v>
      </c>
      <c r="F6384" t="str">
        <f>"43560"</f>
        <v>43560</v>
      </c>
      <c r="G6384" t="str">
        <f>"Je12092025"</f>
        <v>Je12092025</v>
      </c>
      <c r="H6384" s="2">
        <f>20</f>
        <v>20</v>
      </c>
      <c r="I6384" t="s">
        <v>15</v>
      </c>
      <c r="J6384" t="s">
        <v>909</v>
      </c>
      <c r="K6384" t="str">
        <f>"60169804"</f>
        <v>60169804</v>
      </c>
    </row>
    <row r="6385" spans="1:11" x14ac:dyDescent="0.25">
      <c r="A6385">
        <v>2025</v>
      </c>
      <c r="B6385" t="s">
        <v>1665</v>
      </c>
      <c r="C6385" t="s">
        <v>1666</v>
      </c>
      <c r="D6385" t="s">
        <v>19</v>
      </c>
      <c r="E6385" t="s">
        <v>20</v>
      </c>
      <c r="F6385" t="str">
        <f>"43613-2560"</f>
        <v>43613-2560</v>
      </c>
      <c r="G6385" t="str">
        <f>"753658"</f>
        <v>753658</v>
      </c>
      <c r="H6385" s="2">
        <f>20</f>
        <v>20</v>
      </c>
      <c r="I6385" t="s">
        <v>27</v>
      </c>
      <c r="J6385" t="s">
        <v>39</v>
      </c>
      <c r="K6385" t="str">
        <f>"131029"</f>
        <v>131029</v>
      </c>
    </row>
    <row r="6386" spans="1:11" x14ac:dyDescent="0.25">
      <c r="A6386">
        <v>2025</v>
      </c>
      <c r="B6386" t="s">
        <v>1677</v>
      </c>
      <c r="C6386" t="s">
        <v>1678</v>
      </c>
      <c r="D6386" t="s">
        <v>19</v>
      </c>
      <c r="E6386" t="s">
        <v>20</v>
      </c>
      <c r="F6386" t="str">
        <f>"43615"</f>
        <v>43615</v>
      </c>
      <c r="G6386" t="str">
        <f>"753658"</f>
        <v>753658</v>
      </c>
      <c r="H6386" s="2">
        <f>20</f>
        <v>20</v>
      </c>
      <c r="I6386" t="s">
        <v>27</v>
      </c>
      <c r="J6386" t="s">
        <v>39</v>
      </c>
      <c r="K6386" t="str">
        <f>"127977"</f>
        <v>127977</v>
      </c>
    </row>
    <row r="6387" spans="1:11" x14ac:dyDescent="0.25">
      <c r="A6387">
        <v>2025</v>
      </c>
      <c r="B6387" t="s">
        <v>1679</v>
      </c>
      <c r="C6387" t="s">
        <v>1680</v>
      </c>
      <c r="D6387" t="s">
        <v>19</v>
      </c>
      <c r="E6387" t="s">
        <v>20</v>
      </c>
      <c r="F6387" t="str">
        <f>"43623-1111"</f>
        <v>43623-1111</v>
      </c>
      <c r="G6387" t="str">
        <f>"753658"</f>
        <v>753658</v>
      </c>
      <c r="H6387" s="2">
        <f>10</f>
        <v>10</v>
      </c>
      <c r="I6387" t="s">
        <v>27</v>
      </c>
      <c r="J6387" t="s">
        <v>39</v>
      </c>
      <c r="K6387" t="str">
        <f>"131670"</f>
        <v>131670</v>
      </c>
    </row>
    <row r="6388" spans="1:11" x14ac:dyDescent="0.25">
      <c r="A6388">
        <v>2025</v>
      </c>
      <c r="B6388" t="s">
        <v>1691</v>
      </c>
      <c r="C6388" t="s">
        <v>1692</v>
      </c>
      <c r="D6388" t="s">
        <v>19</v>
      </c>
      <c r="E6388" t="s">
        <v>20</v>
      </c>
      <c r="F6388" t="str">
        <f>"43612-3418"</f>
        <v>43612-3418</v>
      </c>
      <c r="G6388" t="str">
        <f>"753658"</f>
        <v>753658</v>
      </c>
      <c r="H6388" s="2">
        <f>10</f>
        <v>10</v>
      </c>
      <c r="I6388" t="s">
        <v>27</v>
      </c>
      <c r="J6388" t="s">
        <v>39</v>
      </c>
      <c r="K6388" t="str">
        <f>"131713"</f>
        <v>131713</v>
      </c>
    </row>
    <row r="6389" spans="1:11" x14ac:dyDescent="0.25">
      <c r="A6389">
        <v>2025</v>
      </c>
      <c r="B6389" t="s">
        <v>1695</v>
      </c>
      <c r="C6389" t="s">
        <v>1696</v>
      </c>
      <c r="D6389" t="s">
        <v>19</v>
      </c>
      <c r="E6389" t="s">
        <v>20</v>
      </c>
      <c r="F6389" t="str">
        <f>"43606"</f>
        <v>43606</v>
      </c>
      <c r="G6389" t="str">
        <f>"759796"</f>
        <v>759796</v>
      </c>
      <c r="H6389" s="2">
        <f>220</f>
        <v>220</v>
      </c>
      <c r="I6389" t="s">
        <v>27</v>
      </c>
      <c r="J6389" t="s">
        <v>188</v>
      </c>
      <c r="K6389" t="str">
        <f>"45831"</f>
        <v>45831</v>
      </c>
    </row>
    <row r="6390" spans="1:11" x14ac:dyDescent="0.25">
      <c r="A6390">
        <v>2025</v>
      </c>
      <c r="B6390" t="s">
        <v>1733</v>
      </c>
      <c r="C6390" t="s">
        <v>1734</v>
      </c>
      <c r="D6390" t="s">
        <v>19</v>
      </c>
      <c r="E6390" t="s">
        <v>20</v>
      </c>
      <c r="F6390" t="str">
        <f>"43604"</f>
        <v>43604</v>
      </c>
      <c r="G6390" t="str">
        <f>"759796"</f>
        <v>759796</v>
      </c>
      <c r="H6390" s="2">
        <f>20</f>
        <v>20</v>
      </c>
      <c r="I6390" t="s">
        <v>27</v>
      </c>
      <c r="J6390" t="s">
        <v>188</v>
      </c>
      <c r="K6390" t="str">
        <f>"45426"</f>
        <v>45426</v>
      </c>
    </row>
    <row r="6391" spans="1:11" x14ac:dyDescent="0.25">
      <c r="A6391">
        <v>2025</v>
      </c>
      <c r="B6391" t="s">
        <v>1748</v>
      </c>
      <c r="C6391" t="s">
        <v>1749</v>
      </c>
      <c r="D6391" t="s">
        <v>111</v>
      </c>
      <c r="E6391" t="s">
        <v>20</v>
      </c>
      <c r="F6391" t="str">
        <f>"43215"</f>
        <v>43215</v>
      </c>
      <c r="G6391" t="str">
        <f>"Je09192025"</f>
        <v>Je09192025</v>
      </c>
      <c r="H6391" s="2">
        <f>1077.8</f>
        <v>1077.8</v>
      </c>
      <c r="I6391" t="s">
        <v>15</v>
      </c>
      <c r="J6391" t="s">
        <v>563</v>
      </c>
      <c r="K6391" t="str">
        <f>"60163836"</f>
        <v>60163836</v>
      </c>
    </row>
    <row r="6392" spans="1:11" x14ac:dyDescent="0.25">
      <c r="A6392">
        <v>2025</v>
      </c>
      <c r="B6392" t="s">
        <v>1755</v>
      </c>
      <c r="C6392" t="s">
        <v>1756</v>
      </c>
      <c r="D6392" t="s">
        <v>105</v>
      </c>
      <c r="E6392" t="s">
        <v>20</v>
      </c>
      <c r="F6392" t="str">
        <f>"43528"</f>
        <v>43528</v>
      </c>
      <c r="G6392" t="str">
        <f>"759796"</f>
        <v>759796</v>
      </c>
      <c r="H6392" s="2">
        <f>20</f>
        <v>20</v>
      </c>
      <c r="I6392" t="s">
        <v>27</v>
      </c>
      <c r="J6392" t="s">
        <v>188</v>
      </c>
      <c r="K6392" t="str">
        <f>"44632"</f>
        <v>44632</v>
      </c>
    </row>
    <row r="6393" spans="1:11" x14ac:dyDescent="0.25">
      <c r="A6393">
        <v>2025</v>
      </c>
      <c r="B6393" t="s">
        <v>1770</v>
      </c>
      <c r="C6393" t="s">
        <v>1771</v>
      </c>
      <c r="D6393" t="s">
        <v>19</v>
      </c>
      <c r="E6393" t="s">
        <v>20</v>
      </c>
      <c r="F6393" t="str">
        <f>"43609-1950"</f>
        <v>43609-1950</v>
      </c>
      <c r="G6393" t="str">
        <f>"753658"</f>
        <v>753658</v>
      </c>
      <c r="H6393" s="2">
        <f>30</f>
        <v>30</v>
      </c>
      <c r="I6393" t="s">
        <v>27</v>
      </c>
      <c r="J6393" t="s">
        <v>39</v>
      </c>
      <c r="K6393" t="str">
        <f>"126906"</f>
        <v>126906</v>
      </c>
    </row>
    <row r="6394" spans="1:11" x14ac:dyDescent="0.25">
      <c r="A6394">
        <v>2025</v>
      </c>
      <c r="B6394" t="s">
        <v>1778</v>
      </c>
      <c r="C6394" t="s">
        <v>1779</v>
      </c>
      <c r="D6394" t="s">
        <v>19</v>
      </c>
      <c r="E6394" t="s">
        <v>20</v>
      </c>
      <c r="F6394" t="str">
        <f>"43605-2812"</f>
        <v>43605-2812</v>
      </c>
      <c r="G6394" t="str">
        <f>"753658"</f>
        <v>753658</v>
      </c>
      <c r="H6394" s="2">
        <f>20</f>
        <v>20</v>
      </c>
      <c r="I6394" t="s">
        <v>27</v>
      </c>
      <c r="J6394" t="s">
        <v>39</v>
      </c>
      <c r="K6394" t="str">
        <f>"128414"</f>
        <v>128414</v>
      </c>
    </row>
    <row r="6395" spans="1:11" x14ac:dyDescent="0.25">
      <c r="A6395">
        <v>2025</v>
      </c>
      <c r="B6395" t="s">
        <v>1798</v>
      </c>
      <c r="C6395" t="s">
        <v>1799</v>
      </c>
      <c r="D6395" t="s">
        <v>19</v>
      </c>
      <c r="E6395" t="s">
        <v>20</v>
      </c>
      <c r="F6395" t="str">
        <f>"43623-3843"</f>
        <v>43623-3843</v>
      </c>
      <c r="G6395" t="str">
        <f>"753658"</f>
        <v>753658</v>
      </c>
      <c r="H6395" s="2">
        <f>20</f>
        <v>20</v>
      </c>
      <c r="I6395" t="s">
        <v>27</v>
      </c>
      <c r="J6395" t="s">
        <v>39</v>
      </c>
      <c r="K6395" t="str">
        <f>"131198"</f>
        <v>131198</v>
      </c>
    </row>
    <row r="6396" spans="1:11" x14ac:dyDescent="0.25">
      <c r="A6396">
        <v>2025</v>
      </c>
      <c r="B6396" t="s">
        <v>1802</v>
      </c>
      <c r="C6396" t="s">
        <v>1803</v>
      </c>
      <c r="D6396" t="s">
        <v>19</v>
      </c>
      <c r="E6396" t="s">
        <v>20</v>
      </c>
      <c r="F6396" t="str">
        <f>"43615-2556"</f>
        <v>43615-2556</v>
      </c>
      <c r="G6396" t="str">
        <f>"753658"</f>
        <v>753658</v>
      </c>
      <c r="H6396" s="2">
        <f>20</f>
        <v>20</v>
      </c>
      <c r="I6396" t="s">
        <v>27</v>
      </c>
      <c r="J6396" t="s">
        <v>39</v>
      </c>
      <c r="K6396" t="str">
        <f>"128972"</f>
        <v>128972</v>
      </c>
    </row>
    <row r="6397" spans="1:11" x14ac:dyDescent="0.25">
      <c r="A6397">
        <v>2025</v>
      </c>
      <c r="B6397" t="s">
        <v>1804</v>
      </c>
      <c r="C6397" t="s">
        <v>1805</v>
      </c>
      <c r="D6397" t="s">
        <v>64</v>
      </c>
      <c r="E6397" t="s">
        <v>20</v>
      </c>
      <c r="F6397" t="str">
        <f>"43566-1114"</f>
        <v>43566-1114</v>
      </c>
      <c r="G6397" t="str">
        <f>"753658"</f>
        <v>753658</v>
      </c>
      <c r="H6397" s="2">
        <f>10</f>
        <v>10</v>
      </c>
      <c r="I6397" t="s">
        <v>27</v>
      </c>
      <c r="J6397" t="s">
        <v>39</v>
      </c>
      <c r="K6397" t="str">
        <f>"127918"</f>
        <v>127918</v>
      </c>
    </row>
    <row r="6398" spans="1:11" x14ac:dyDescent="0.25">
      <c r="A6398">
        <v>2025</v>
      </c>
      <c r="B6398" t="s">
        <v>1806</v>
      </c>
      <c r="C6398" t="s">
        <v>1807</v>
      </c>
      <c r="D6398" t="s">
        <v>19</v>
      </c>
      <c r="E6398" t="s">
        <v>20</v>
      </c>
      <c r="F6398" t="str">
        <f>"43615"</f>
        <v>43615</v>
      </c>
      <c r="G6398" t="str">
        <f>"Je09192025"</f>
        <v>Je09192025</v>
      </c>
      <c r="H6398" s="2">
        <f>70</f>
        <v>70</v>
      </c>
      <c r="I6398" t="s">
        <v>15</v>
      </c>
      <c r="J6398" t="s">
        <v>563</v>
      </c>
      <c r="K6398" t="str">
        <f>"60162406"</f>
        <v>60162406</v>
      </c>
    </row>
    <row r="6399" spans="1:11" x14ac:dyDescent="0.25">
      <c r="A6399">
        <v>2025</v>
      </c>
      <c r="B6399" t="s">
        <v>1826</v>
      </c>
      <c r="C6399" t="s">
        <v>1827</v>
      </c>
      <c r="D6399" t="s">
        <v>19</v>
      </c>
      <c r="E6399" t="s">
        <v>20</v>
      </c>
      <c r="F6399" t="str">
        <f>"43607-2851"</f>
        <v>43607-2851</v>
      </c>
      <c r="G6399" t="str">
        <f>"753658"</f>
        <v>753658</v>
      </c>
      <c r="H6399" s="2">
        <f>10</f>
        <v>10</v>
      </c>
      <c r="I6399" t="s">
        <v>27</v>
      </c>
      <c r="J6399" t="s">
        <v>39</v>
      </c>
      <c r="K6399" t="str">
        <f>"128076"</f>
        <v>128076</v>
      </c>
    </row>
    <row r="6400" spans="1:11" x14ac:dyDescent="0.25">
      <c r="A6400">
        <v>2025</v>
      </c>
      <c r="B6400" t="s">
        <v>1840</v>
      </c>
      <c r="C6400" t="s">
        <v>1841</v>
      </c>
      <c r="D6400" t="s">
        <v>125</v>
      </c>
      <c r="E6400" t="s">
        <v>20</v>
      </c>
      <c r="F6400" t="str">
        <f>"43537-9165"</f>
        <v>43537-9165</v>
      </c>
      <c r="G6400" t="str">
        <f>"753658"</f>
        <v>753658</v>
      </c>
      <c r="H6400" s="2">
        <f>10</f>
        <v>10</v>
      </c>
      <c r="I6400" t="s">
        <v>27</v>
      </c>
      <c r="J6400" t="s">
        <v>39</v>
      </c>
      <c r="K6400" t="str">
        <f>"128219"</f>
        <v>128219</v>
      </c>
    </row>
    <row r="6401" spans="1:11" x14ac:dyDescent="0.25">
      <c r="A6401">
        <v>2025</v>
      </c>
      <c r="B6401" t="s">
        <v>1846</v>
      </c>
      <c r="C6401" t="s">
        <v>1847</v>
      </c>
      <c r="D6401" t="s">
        <v>58</v>
      </c>
      <c r="E6401" t="s">
        <v>20</v>
      </c>
      <c r="F6401" t="str">
        <f>"43616-1441"</f>
        <v>43616-1441</v>
      </c>
      <c r="G6401" t="str">
        <f>"753658"</f>
        <v>753658</v>
      </c>
      <c r="H6401" s="2">
        <f>10</f>
        <v>10</v>
      </c>
      <c r="I6401" t="s">
        <v>27</v>
      </c>
      <c r="J6401" t="s">
        <v>39</v>
      </c>
      <c r="K6401" t="str">
        <f>"128687"</f>
        <v>128687</v>
      </c>
    </row>
    <row r="6402" spans="1:11" x14ac:dyDescent="0.25">
      <c r="A6402">
        <v>2025</v>
      </c>
      <c r="B6402" t="s">
        <v>1858</v>
      </c>
      <c r="C6402" t="s">
        <v>1859</v>
      </c>
      <c r="D6402" t="s">
        <v>19</v>
      </c>
      <c r="E6402" t="s">
        <v>20</v>
      </c>
      <c r="F6402" t="str">
        <f>"43604"</f>
        <v>43604</v>
      </c>
      <c r="G6402" t="str">
        <f>"751639"</f>
        <v>751639</v>
      </c>
      <c r="H6402" s="2">
        <f>15.09</f>
        <v>15.09</v>
      </c>
      <c r="I6402" t="s">
        <v>27</v>
      </c>
      <c r="J6402" t="s">
        <v>96</v>
      </c>
      <c r="K6402" t="str">
        <f>"334885"</f>
        <v>334885</v>
      </c>
    </row>
    <row r="6403" spans="1:11" x14ac:dyDescent="0.25">
      <c r="A6403">
        <v>2025</v>
      </c>
      <c r="B6403" t="s">
        <v>1892</v>
      </c>
      <c r="C6403" t="s">
        <v>1893</v>
      </c>
      <c r="D6403" t="s">
        <v>19</v>
      </c>
      <c r="E6403" t="s">
        <v>20</v>
      </c>
      <c r="F6403" t="str">
        <f>"43615-1205"</f>
        <v>43615-1205</v>
      </c>
      <c r="G6403" t="str">
        <f>"753658"</f>
        <v>753658</v>
      </c>
      <c r="H6403" s="2">
        <f>40</f>
        <v>40</v>
      </c>
      <c r="I6403" t="s">
        <v>27</v>
      </c>
      <c r="J6403" t="s">
        <v>39</v>
      </c>
      <c r="K6403" t="str">
        <f>"127848"</f>
        <v>127848</v>
      </c>
    </row>
    <row r="6404" spans="1:11" x14ac:dyDescent="0.25">
      <c r="A6404">
        <v>2025</v>
      </c>
      <c r="B6404" t="s">
        <v>1894</v>
      </c>
      <c r="C6404" t="s">
        <v>1895</v>
      </c>
      <c r="D6404" t="s">
        <v>50</v>
      </c>
      <c r="E6404" t="s">
        <v>20</v>
      </c>
      <c r="F6404" t="str">
        <f>"43560"</f>
        <v>43560</v>
      </c>
      <c r="G6404" t="str">
        <f>"759797"</f>
        <v>759797</v>
      </c>
      <c r="H6404" s="2">
        <f>1213.27</f>
        <v>1213.27</v>
      </c>
      <c r="I6404" t="s">
        <v>27</v>
      </c>
      <c r="J6404" t="s">
        <v>239</v>
      </c>
      <c r="K6404" t="str">
        <f>"N/A"</f>
        <v>N/A</v>
      </c>
    </row>
    <row r="6405" spans="1:11" x14ac:dyDescent="0.25">
      <c r="A6405">
        <v>2025</v>
      </c>
      <c r="B6405" t="s">
        <v>1907</v>
      </c>
      <c r="C6405" t="s">
        <v>1908</v>
      </c>
      <c r="D6405" t="s">
        <v>19</v>
      </c>
      <c r="E6405" t="s">
        <v>20</v>
      </c>
      <c r="F6405" t="str">
        <f>"43607-1412"</f>
        <v>43607-1412</v>
      </c>
      <c r="G6405" t="str">
        <f>"753658"</f>
        <v>753658</v>
      </c>
      <c r="H6405" s="2">
        <f>40</f>
        <v>40</v>
      </c>
      <c r="I6405" t="s">
        <v>27</v>
      </c>
      <c r="J6405" t="s">
        <v>39</v>
      </c>
      <c r="K6405" t="str">
        <f>"129921"</f>
        <v>129921</v>
      </c>
    </row>
    <row r="6406" spans="1:11" x14ac:dyDescent="0.25">
      <c r="A6406">
        <v>2025</v>
      </c>
      <c r="B6406" t="s">
        <v>1909</v>
      </c>
      <c r="C6406" t="s">
        <v>1910</v>
      </c>
      <c r="D6406" t="s">
        <v>19</v>
      </c>
      <c r="E6406" t="s">
        <v>20</v>
      </c>
      <c r="F6406" t="str">
        <f>"43611-1248"</f>
        <v>43611-1248</v>
      </c>
      <c r="G6406" t="str">
        <f>"753658"</f>
        <v>753658</v>
      </c>
      <c r="H6406" s="2">
        <f>10</f>
        <v>10</v>
      </c>
      <c r="I6406" t="s">
        <v>27</v>
      </c>
      <c r="J6406" t="s">
        <v>39</v>
      </c>
      <c r="K6406" t="str">
        <f>"130953"</f>
        <v>130953</v>
      </c>
    </row>
    <row r="6407" spans="1:11" x14ac:dyDescent="0.25">
      <c r="A6407">
        <v>2025</v>
      </c>
      <c r="B6407" t="s">
        <v>1911</v>
      </c>
      <c r="C6407" t="s">
        <v>1912</v>
      </c>
      <c r="D6407" t="s">
        <v>19</v>
      </c>
      <c r="E6407" t="s">
        <v>20</v>
      </c>
      <c r="F6407" t="str">
        <f>"43612-3130"</f>
        <v>43612-3130</v>
      </c>
      <c r="G6407" t="str">
        <f>"753658"</f>
        <v>753658</v>
      </c>
      <c r="H6407" s="2">
        <f>10</f>
        <v>10</v>
      </c>
      <c r="I6407" t="s">
        <v>27</v>
      </c>
      <c r="J6407" t="s">
        <v>39</v>
      </c>
      <c r="K6407" t="str">
        <f>"125822"</f>
        <v>125822</v>
      </c>
    </row>
    <row r="6408" spans="1:11" x14ac:dyDescent="0.25">
      <c r="A6408">
        <v>2025</v>
      </c>
      <c r="B6408" t="s">
        <v>1921</v>
      </c>
      <c r="C6408" t="s">
        <v>1922</v>
      </c>
      <c r="D6408" t="s">
        <v>19</v>
      </c>
      <c r="E6408" t="s">
        <v>20</v>
      </c>
      <c r="F6408" t="str">
        <f>"43608-1337"</f>
        <v>43608-1337</v>
      </c>
      <c r="G6408" t="str">
        <f>"753658"</f>
        <v>753658</v>
      </c>
      <c r="H6408" s="2">
        <f>10</f>
        <v>10</v>
      </c>
      <c r="I6408" t="s">
        <v>27</v>
      </c>
      <c r="J6408" t="s">
        <v>39</v>
      </c>
      <c r="K6408" t="str">
        <f>"128740"</f>
        <v>128740</v>
      </c>
    </row>
    <row r="6409" spans="1:11" x14ac:dyDescent="0.25">
      <c r="A6409">
        <v>2025</v>
      </c>
      <c r="B6409" t="s">
        <v>1932</v>
      </c>
      <c r="C6409" t="s">
        <v>1933</v>
      </c>
      <c r="D6409" t="s">
        <v>1163</v>
      </c>
      <c r="E6409" t="s">
        <v>20</v>
      </c>
      <c r="F6409" t="str">
        <f>"45243"</f>
        <v>45243</v>
      </c>
      <c r="G6409" t="str">
        <f>"759796"</f>
        <v>759796</v>
      </c>
      <c r="H6409" s="2">
        <f>195.59</f>
        <v>195.59</v>
      </c>
      <c r="I6409" t="s">
        <v>27</v>
      </c>
      <c r="J6409" t="s">
        <v>188</v>
      </c>
      <c r="K6409" t="str">
        <f>"45503"</f>
        <v>45503</v>
      </c>
    </row>
    <row r="6410" spans="1:11" x14ac:dyDescent="0.25">
      <c r="A6410">
        <v>2025</v>
      </c>
      <c r="B6410" t="s">
        <v>1936</v>
      </c>
      <c r="C6410" t="s">
        <v>1937</v>
      </c>
      <c r="D6410" t="s">
        <v>19</v>
      </c>
      <c r="E6410" t="s">
        <v>20</v>
      </c>
      <c r="F6410" t="str">
        <f>"43617"</f>
        <v>43617</v>
      </c>
      <c r="G6410" t="str">
        <f>"759796"</f>
        <v>759796</v>
      </c>
      <c r="H6410" s="2">
        <f>20</f>
        <v>20</v>
      </c>
      <c r="I6410" t="s">
        <v>27</v>
      </c>
      <c r="J6410" t="s">
        <v>188</v>
      </c>
      <c r="K6410" t="str">
        <f>"45381"</f>
        <v>45381</v>
      </c>
    </row>
    <row r="6411" spans="1:11" x14ac:dyDescent="0.25">
      <c r="A6411">
        <v>2025</v>
      </c>
      <c r="B6411" t="s">
        <v>1958</v>
      </c>
      <c r="C6411" t="s">
        <v>1959</v>
      </c>
      <c r="D6411" t="s">
        <v>19</v>
      </c>
      <c r="E6411" t="s">
        <v>20</v>
      </c>
      <c r="F6411" t="str">
        <f>"43613-4206"</f>
        <v>43613-4206</v>
      </c>
      <c r="G6411" t="str">
        <f>"753658"</f>
        <v>753658</v>
      </c>
      <c r="H6411" s="2">
        <f>10</f>
        <v>10</v>
      </c>
      <c r="I6411" t="s">
        <v>27</v>
      </c>
      <c r="J6411" t="s">
        <v>39</v>
      </c>
      <c r="K6411" t="str">
        <f>"126809"</f>
        <v>126809</v>
      </c>
    </row>
    <row r="6412" spans="1:11" x14ac:dyDescent="0.25">
      <c r="A6412">
        <v>2025</v>
      </c>
      <c r="B6412" t="s">
        <v>1978</v>
      </c>
      <c r="C6412" t="s">
        <v>1979</v>
      </c>
      <c r="D6412" t="s">
        <v>1506</v>
      </c>
      <c r="E6412" t="s">
        <v>14</v>
      </c>
      <c r="F6412" t="str">
        <f>"48076"</f>
        <v>48076</v>
      </c>
      <c r="G6412" t="str">
        <f>"Je12092025"</f>
        <v>Je12092025</v>
      </c>
      <c r="H6412" s="2">
        <f>277.13</f>
        <v>277.13</v>
      </c>
      <c r="I6412" t="s">
        <v>15</v>
      </c>
      <c r="J6412" t="s">
        <v>909</v>
      </c>
      <c r="K6412" t="str">
        <f>"60169663"</f>
        <v>60169663</v>
      </c>
    </row>
    <row r="6413" spans="1:11" x14ac:dyDescent="0.25">
      <c r="A6413">
        <v>2025</v>
      </c>
      <c r="B6413" t="s">
        <v>1980</v>
      </c>
      <c r="C6413" t="s">
        <v>1981</v>
      </c>
      <c r="D6413" t="s">
        <v>1506</v>
      </c>
      <c r="E6413" t="s">
        <v>14</v>
      </c>
      <c r="F6413" t="str">
        <f>"48076"</f>
        <v>48076</v>
      </c>
      <c r="G6413" t="str">
        <f>"Je12092025"</f>
        <v>Je12092025</v>
      </c>
      <c r="H6413" s="2">
        <f>100</f>
        <v>100</v>
      </c>
      <c r="I6413" t="s">
        <v>15</v>
      </c>
      <c r="J6413" t="s">
        <v>909</v>
      </c>
      <c r="K6413" t="str">
        <f>"60166411"</f>
        <v>60166411</v>
      </c>
    </row>
    <row r="6414" spans="1:11" x14ac:dyDescent="0.25">
      <c r="A6414">
        <v>2025</v>
      </c>
      <c r="B6414" t="s">
        <v>1982</v>
      </c>
      <c r="C6414" t="s">
        <v>1983</v>
      </c>
      <c r="D6414" t="s">
        <v>19</v>
      </c>
      <c r="E6414" t="s">
        <v>20</v>
      </c>
      <c r="F6414" t="str">
        <f>"43614-3273"</f>
        <v>43614-3273</v>
      </c>
      <c r="G6414" t="str">
        <f>"753658"</f>
        <v>753658</v>
      </c>
      <c r="H6414" s="2">
        <f>20</f>
        <v>20</v>
      </c>
      <c r="I6414" t="s">
        <v>27</v>
      </c>
      <c r="J6414" t="s">
        <v>39</v>
      </c>
      <c r="K6414" t="str">
        <f>"128294"</f>
        <v>128294</v>
      </c>
    </row>
    <row r="6415" spans="1:11" x14ac:dyDescent="0.25">
      <c r="A6415">
        <v>2025</v>
      </c>
      <c r="B6415" t="s">
        <v>1988</v>
      </c>
      <c r="C6415" t="s">
        <v>1989</v>
      </c>
      <c r="D6415" t="s">
        <v>19</v>
      </c>
      <c r="E6415" t="s">
        <v>20</v>
      </c>
      <c r="F6415" t="str">
        <f>"43608-1655"</f>
        <v>43608-1655</v>
      </c>
      <c r="G6415" t="str">
        <f>"753658"</f>
        <v>753658</v>
      </c>
      <c r="H6415" s="2">
        <f>10</f>
        <v>10</v>
      </c>
      <c r="I6415" t="s">
        <v>27</v>
      </c>
      <c r="J6415" t="s">
        <v>39</v>
      </c>
      <c r="K6415" t="str">
        <f>"131691"</f>
        <v>131691</v>
      </c>
    </row>
    <row r="6416" spans="1:11" x14ac:dyDescent="0.25">
      <c r="A6416">
        <v>2025</v>
      </c>
      <c r="B6416" t="s">
        <v>1990</v>
      </c>
      <c r="C6416" t="s">
        <v>1991</v>
      </c>
      <c r="D6416" t="s">
        <v>19</v>
      </c>
      <c r="E6416" t="s">
        <v>20</v>
      </c>
      <c r="F6416" t="str">
        <f>"43614"</f>
        <v>43614</v>
      </c>
      <c r="G6416" t="str">
        <f>"753658"</f>
        <v>753658</v>
      </c>
      <c r="H6416" s="2">
        <f>10</f>
        <v>10</v>
      </c>
      <c r="I6416" t="s">
        <v>27</v>
      </c>
      <c r="J6416" t="s">
        <v>39</v>
      </c>
      <c r="K6416" t="str">
        <f>"125732"</f>
        <v>125732</v>
      </c>
    </row>
    <row r="6417" spans="1:11" x14ac:dyDescent="0.25">
      <c r="A6417">
        <v>2025</v>
      </c>
      <c r="B6417" t="s">
        <v>1992</v>
      </c>
      <c r="C6417" t="s">
        <v>1993</v>
      </c>
      <c r="D6417" t="s">
        <v>58</v>
      </c>
      <c r="E6417" t="s">
        <v>20</v>
      </c>
      <c r="F6417" t="str">
        <f>"43616-1559"</f>
        <v>43616-1559</v>
      </c>
      <c r="G6417" t="str">
        <f>"753658"</f>
        <v>753658</v>
      </c>
      <c r="H6417" s="2">
        <f>60</f>
        <v>60</v>
      </c>
      <c r="I6417" t="s">
        <v>27</v>
      </c>
      <c r="J6417" t="s">
        <v>39</v>
      </c>
      <c r="K6417" t="str">
        <f>"128505"</f>
        <v>128505</v>
      </c>
    </row>
    <row r="6418" spans="1:11" x14ac:dyDescent="0.25">
      <c r="A6418">
        <v>2025</v>
      </c>
      <c r="B6418" t="s">
        <v>1996</v>
      </c>
      <c r="C6418" t="s">
        <v>1997</v>
      </c>
      <c r="D6418" t="s">
        <v>58</v>
      </c>
      <c r="E6418" t="s">
        <v>20</v>
      </c>
      <c r="F6418" t="str">
        <f>"43616"</f>
        <v>43616</v>
      </c>
      <c r="G6418" t="str">
        <f>"751639"</f>
        <v>751639</v>
      </c>
      <c r="H6418" s="2">
        <f>31.25</f>
        <v>31.25</v>
      </c>
      <c r="I6418" t="s">
        <v>27</v>
      </c>
      <c r="J6418" t="s">
        <v>96</v>
      </c>
      <c r="K6418" t="str">
        <f>"334823"</f>
        <v>334823</v>
      </c>
    </row>
    <row r="6419" spans="1:11" x14ac:dyDescent="0.25">
      <c r="A6419">
        <v>2025</v>
      </c>
      <c r="B6419" t="s">
        <v>2016</v>
      </c>
      <c r="C6419" t="s">
        <v>2017</v>
      </c>
      <c r="D6419" t="s">
        <v>19</v>
      </c>
      <c r="E6419" t="s">
        <v>20</v>
      </c>
      <c r="F6419" t="str">
        <f>"43613-2831"</f>
        <v>43613-2831</v>
      </c>
      <c r="G6419" t="str">
        <f t="shared" ref="G6419:G6432" si="223">"753658"</f>
        <v>753658</v>
      </c>
      <c r="H6419" s="2">
        <f>30</f>
        <v>30</v>
      </c>
      <c r="I6419" t="s">
        <v>27</v>
      </c>
      <c r="J6419" t="s">
        <v>39</v>
      </c>
      <c r="K6419" t="str">
        <f>"127293"</f>
        <v>127293</v>
      </c>
    </row>
    <row r="6420" spans="1:11" x14ac:dyDescent="0.25">
      <c r="A6420">
        <v>2025</v>
      </c>
      <c r="B6420" t="s">
        <v>2028</v>
      </c>
      <c r="C6420" t="s">
        <v>2029</v>
      </c>
      <c r="D6420" t="s">
        <v>105</v>
      </c>
      <c r="E6420" t="s">
        <v>20</v>
      </c>
      <c r="F6420" t="str">
        <f>"43528-8480"</f>
        <v>43528-8480</v>
      </c>
      <c r="G6420" t="str">
        <f t="shared" si="223"/>
        <v>753658</v>
      </c>
      <c r="H6420" s="2">
        <f>20</f>
        <v>20</v>
      </c>
      <c r="I6420" t="s">
        <v>27</v>
      </c>
      <c r="J6420" t="s">
        <v>39</v>
      </c>
      <c r="K6420" t="str">
        <f>"131125"</f>
        <v>131125</v>
      </c>
    </row>
    <row r="6421" spans="1:11" x14ac:dyDescent="0.25">
      <c r="A6421">
        <v>2025</v>
      </c>
      <c r="B6421" t="s">
        <v>2036</v>
      </c>
      <c r="C6421" t="s">
        <v>2037</v>
      </c>
      <c r="D6421" t="s">
        <v>19</v>
      </c>
      <c r="E6421" t="s">
        <v>20</v>
      </c>
      <c r="F6421" t="str">
        <f>"43615-3811"</f>
        <v>43615-3811</v>
      </c>
      <c r="G6421" t="str">
        <f t="shared" si="223"/>
        <v>753658</v>
      </c>
      <c r="H6421" s="2">
        <f>30</f>
        <v>30</v>
      </c>
      <c r="I6421" t="s">
        <v>27</v>
      </c>
      <c r="J6421" t="s">
        <v>39</v>
      </c>
      <c r="K6421" t="str">
        <f>"126909"</f>
        <v>126909</v>
      </c>
    </row>
    <row r="6422" spans="1:11" x14ac:dyDescent="0.25">
      <c r="A6422">
        <v>2025</v>
      </c>
      <c r="B6422" t="s">
        <v>2038</v>
      </c>
      <c r="C6422" t="s">
        <v>2039</v>
      </c>
      <c r="D6422" t="s">
        <v>19</v>
      </c>
      <c r="E6422" t="s">
        <v>20</v>
      </c>
      <c r="F6422" t="str">
        <f>"43613-4703"</f>
        <v>43613-4703</v>
      </c>
      <c r="G6422" t="str">
        <f t="shared" si="223"/>
        <v>753658</v>
      </c>
      <c r="H6422" s="2">
        <f>30</f>
        <v>30</v>
      </c>
      <c r="I6422" t="s">
        <v>27</v>
      </c>
      <c r="J6422" t="s">
        <v>39</v>
      </c>
      <c r="K6422" t="str">
        <f>"131384"</f>
        <v>131384</v>
      </c>
    </row>
    <row r="6423" spans="1:11" x14ac:dyDescent="0.25">
      <c r="A6423">
        <v>2025</v>
      </c>
      <c r="B6423" t="s">
        <v>2042</v>
      </c>
      <c r="C6423" t="s">
        <v>2043</v>
      </c>
      <c r="D6423" t="s">
        <v>19</v>
      </c>
      <c r="E6423" t="s">
        <v>20</v>
      </c>
      <c r="F6423" t="str">
        <f>"43613-3512"</f>
        <v>43613-3512</v>
      </c>
      <c r="G6423" t="str">
        <f t="shared" si="223"/>
        <v>753658</v>
      </c>
      <c r="H6423" s="2">
        <f>10</f>
        <v>10</v>
      </c>
      <c r="I6423" t="s">
        <v>27</v>
      </c>
      <c r="J6423" t="s">
        <v>39</v>
      </c>
      <c r="K6423" t="str">
        <f>"125229"</f>
        <v>125229</v>
      </c>
    </row>
    <row r="6424" spans="1:11" x14ac:dyDescent="0.25">
      <c r="A6424">
        <v>2025</v>
      </c>
      <c r="B6424" t="s">
        <v>2044</v>
      </c>
      <c r="C6424" t="s">
        <v>2045</v>
      </c>
      <c r="D6424" t="s">
        <v>19</v>
      </c>
      <c r="E6424" t="s">
        <v>20</v>
      </c>
      <c r="F6424" t="str">
        <f>"43623-1223"</f>
        <v>43623-1223</v>
      </c>
      <c r="G6424" t="str">
        <f t="shared" si="223"/>
        <v>753658</v>
      </c>
      <c r="H6424" s="2">
        <f>20</f>
        <v>20</v>
      </c>
      <c r="I6424" t="s">
        <v>27</v>
      </c>
      <c r="J6424" t="s">
        <v>39</v>
      </c>
      <c r="K6424" t="str">
        <f>"129180"</f>
        <v>129180</v>
      </c>
    </row>
    <row r="6425" spans="1:11" x14ac:dyDescent="0.25">
      <c r="A6425">
        <v>2025</v>
      </c>
      <c r="B6425" t="s">
        <v>2050</v>
      </c>
      <c r="C6425" t="s">
        <v>2051</v>
      </c>
      <c r="D6425" t="s">
        <v>19</v>
      </c>
      <c r="E6425" t="s">
        <v>20</v>
      </c>
      <c r="F6425" t="str">
        <f>"43605"</f>
        <v>43605</v>
      </c>
      <c r="G6425" t="str">
        <f t="shared" si="223"/>
        <v>753658</v>
      </c>
      <c r="H6425" s="2">
        <f>10</f>
        <v>10</v>
      </c>
      <c r="I6425" t="s">
        <v>27</v>
      </c>
      <c r="J6425" t="s">
        <v>39</v>
      </c>
      <c r="K6425" t="str">
        <f>"128251"</f>
        <v>128251</v>
      </c>
    </row>
    <row r="6426" spans="1:11" x14ac:dyDescent="0.25">
      <c r="A6426">
        <v>2025</v>
      </c>
      <c r="B6426" t="s">
        <v>2062</v>
      </c>
      <c r="C6426" t="s">
        <v>2063</v>
      </c>
      <c r="D6426" t="s">
        <v>19</v>
      </c>
      <c r="E6426" t="s">
        <v>20</v>
      </c>
      <c r="F6426" t="str">
        <f>"43604-2301"</f>
        <v>43604-2301</v>
      </c>
      <c r="G6426" t="str">
        <f t="shared" si="223"/>
        <v>753658</v>
      </c>
      <c r="H6426" s="2">
        <f>20</f>
        <v>20</v>
      </c>
      <c r="I6426" t="s">
        <v>27</v>
      </c>
      <c r="J6426" t="s">
        <v>39</v>
      </c>
      <c r="K6426" t="str">
        <f>"125675"</f>
        <v>125675</v>
      </c>
    </row>
    <row r="6427" spans="1:11" x14ac:dyDescent="0.25">
      <c r="A6427">
        <v>2025</v>
      </c>
      <c r="B6427" t="s">
        <v>2064</v>
      </c>
      <c r="C6427" t="s">
        <v>2065</v>
      </c>
      <c r="D6427" t="s">
        <v>19</v>
      </c>
      <c r="E6427" t="s">
        <v>20</v>
      </c>
      <c r="F6427" t="str">
        <f>"43605-1656"</f>
        <v>43605-1656</v>
      </c>
      <c r="G6427" t="str">
        <f t="shared" si="223"/>
        <v>753658</v>
      </c>
      <c r="H6427" s="2">
        <f>30</f>
        <v>30</v>
      </c>
      <c r="I6427" t="s">
        <v>27</v>
      </c>
      <c r="J6427" t="s">
        <v>39</v>
      </c>
      <c r="K6427" t="str">
        <f>"127353"</f>
        <v>127353</v>
      </c>
    </row>
    <row r="6428" spans="1:11" x14ac:dyDescent="0.25">
      <c r="A6428">
        <v>2025</v>
      </c>
      <c r="B6428" t="s">
        <v>2085</v>
      </c>
      <c r="C6428" t="s">
        <v>2086</v>
      </c>
      <c r="D6428" t="s">
        <v>19</v>
      </c>
      <c r="E6428" t="s">
        <v>20</v>
      </c>
      <c r="F6428" t="str">
        <f>"43623-3016"</f>
        <v>43623-3016</v>
      </c>
      <c r="G6428" t="str">
        <f t="shared" si="223"/>
        <v>753658</v>
      </c>
      <c r="H6428" s="2">
        <f>10</f>
        <v>10</v>
      </c>
      <c r="I6428" t="s">
        <v>27</v>
      </c>
      <c r="J6428" t="s">
        <v>39</v>
      </c>
      <c r="K6428" t="str">
        <f>"125550"</f>
        <v>125550</v>
      </c>
    </row>
    <row r="6429" spans="1:11" x14ac:dyDescent="0.25">
      <c r="A6429">
        <v>2025</v>
      </c>
      <c r="B6429" t="s">
        <v>2087</v>
      </c>
      <c r="C6429" t="s">
        <v>2088</v>
      </c>
      <c r="D6429" t="s">
        <v>19</v>
      </c>
      <c r="E6429" t="s">
        <v>20</v>
      </c>
      <c r="F6429" t="str">
        <f>"43623-2536"</f>
        <v>43623-2536</v>
      </c>
      <c r="G6429" t="str">
        <f t="shared" si="223"/>
        <v>753658</v>
      </c>
      <c r="H6429" s="2">
        <f>10</f>
        <v>10</v>
      </c>
      <c r="I6429" t="s">
        <v>27</v>
      </c>
      <c r="J6429" t="s">
        <v>39</v>
      </c>
      <c r="K6429" t="str">
        <f>"127049"</f>
        <v>127049</v>
      </c>
    </row>
    <row r="6430" spans="1:11" x14ac:dyDescent="0.25">
      <c r="A6430">
        <v>2025</v>
      </c>
      <c r="B6430" t="s">
        <v>2092</v>
      </c>
      <c r="C6430" t="s">
        <v>2093</v>
      </c>
      <c r="D6430" t="s">
        <v>899</v>
      </c>
      <c r="E6430" t="s">
        <v>20</v>
      </c>
      <c r="F6430" t="str">
        <f>"43412-9437"</f>
        <v>43412-9437</v>
      </c>
      <c r="G6430" t="str">
        <f t="shared" si="223"/>
        <v>753658</v>
      </c>
      <c r="H6430" s="2">
        <f>10</f>
        <v>10</v>
      </c>
      <c r="I6430" t="s">
        <v>27</v>
      </c>
      <c r="J6430" t="s">
        <v>39</v>
      </c>
      <c r="K6430" t="str">
        <f>"125545"</f>
        <v>125545</v>
      </c>
    </row>
    <row r="6431" spans="1:11" x14ac:dyDescent="0.25">
      <c r="A6431">
        <v>2025</v>
      </c>
      <c r="B6431" t="s">
        <v>2099</v>
      </c>
      <c r="C6431" t="s">
        <v>2100</v>
      </c>
      <c r="D6431" t="s">
        <v>105</v>
      </c>
      <c r="E6431" t="s">
        <v>20</v>
      </c>
      <c r="F6431" t="str">
        <f>"43528-8620"</f>
        <v>43528-8620</v>
      </c>
      <c r="G6431" t="str">
        <f t="shared" si="223"/>
        <v>753658</v>
      </c>
      <c r="H6431" s="2">
        <f>10</f>
        <v>10</v>
      </c>
      <c r="I6431" t="s">
        <v>27</v>
      </c>
      <c r="J6431" t="s">
        <v>39</v>
      </c>
      <c r="K6431" t="str">
        <f>"126346"</f>
        <v>126346</v>
      </c>
    </row>
    <row r="6432" spans="1:11" x14ac:dyDescent="0.25">
      <c r="A6432">
        <v>2025</v>
      </c>
      <c r="B6432" t="s">
        <v>2101</v>
      </c>
      <c r="C6432" t="s">
        <v>2102</v>
      </c>
      <c r="D6432" t="s">
        <v>19</v>
      </c>
      <c r="E6432" t="s">
        <v>20</v>
      </c>
      <c r="F6432" t="str">
        <f>"43615-6362"</f>
        <v>43615-6362</v>
      </c>
      <c r="G6432" t="str">
        <f t="shared" si="223"/>
        <v>753658</v>
      </c>
      <c r="H6432" s="2">
        <f>10</f>
        <v>10</v>
      </c>
      <c r="I6432" t="s">
        <v>27</v>
      </c>
      <c r="J6432" t="s">
        <v>39</v>
      </c>
      <c r="K6432" t="str">
        <f>"128170"</f>
        <v>128170</v>
      </c>
    </row>
    <row r="6433" spans="1:11" x14ac:dyDescent="0.25">
      <c r="A6433">
        <v>2025</v>
      </c>
      <c r="B6433" t="s">
        <v>2107</v>
      </c>
      <c r="C6433" t="s">
        <v>2108</v>
      </c>
      <c r="D6433" t="s">
        <v>19</v>
      </c>
      <c r="E6433" t="s">
        <v>20</v>
      </c>
      <c r="F6433" t="str">
        <f>"43613"</f>
        <v>43613</v>
      </c>
      <c r="G6433" t="str">
        <f>"772209"</f>
        <v>772209</v>
      </c>
      <c r="H6433" s="2">
        <f>12393.48</f>
        <v>12393.48</v>
      </c>
      <c r="I6433" t="s">
        <v>27</v>
      </c>
      <c r="J6433" t="s">
        <v>691</v>
      </c>
      <c r="K6433" t="str">
        <f>"N/A"</f>
        <v>N/A</v>
      </c>
    </row>
    <row r="6434" spans="1:11" x14ac:dyDescent="0.25">
      <c r="A6434">
        <v>2025</v>
      </c>
      <c r="B6434" t="s">
        <v>2117</v>
      </c>
      <c r="C6434" t="s">
        <v>2118</v>
      </c>
      <c r="D6434" t="s">
        <v>19</v>
      </c>
      <c r="E6434" t="s">
        <v>20</v>
      </c>
      <c r="F6434" t="str">
        <f>"43615-1708"</f>
        <v>43615-1708</v>
      </c>
      <c r="G6434" t="str">
        <f>"753658"</f>
        <v>753658</v>
      </c>
      <c r="H6434" s="2">
        <f>20</f>
        <v>20</v>
      </c>
      <c r="I6434" t="s">
        <v>27</v>
      </c>
      <c r="J6434" t="s">
        <v>39</v>
      </c>
      <c r="K6434" t="str">
        <f>"131274"</f>
        <v>131274</v>
      </c>
    </row>
    <row r="6435" spans="1:11" x14ac:dyDescent="0.25">
      <c r="A6435">
        <v>2025</v>
      </c>
      <c r="B6435" t="s">
        <v>2125</v>
      </c>
      <c r="C6435" t="s">
        <v>2126</v>
      </c>
      <c r="D6435" t="s">
        <v>111</v>
      </c>
      <c r="E6435" t="s">
        <v>20</v>
      </c>
      <c r="F6435" t="str">
        <f>"43218"</f>
        <v>43218</v>
      </c>
      <c r="G6435" t="str">
        <f>"751641"</f>
        <v>751641</v>
      </c>
      <c r="H6435" s="2">
        <f>2.68</f>
        <v>2.68</v>
      </c>
      <c r="I6435" t="s">
        <v>27</v>
      </c>
      <c r="J6435" t="s">
        <v>219</v>
      </c>
      <c r="K6435" t="str">
        <f>"22027740"</f>
        <v>22027740</v>
      </c>
    </row>
    <row r="6436" spans="1:11" x14ac:dyDescent="0.25">
      <c r="A6436">
        <v>2025</v>
      </c>
      <c r="B6436" t="s">
        <v>2127</v>
      </c>
      <c r="C6436" t="s">
        <v>2126</v>
      </c>
      <c r="D6436" t="s">
        <v>111</v>
      </c>
      <c r="E6436" t="s">
        <v>20</v>
      </c>
      <c r="F6436" t="str">
        <f>"43218"</f>
        <v>43218</v>
      </c>
      <c r="G6436" t="str">
        <f>"751641"</f>
        <v>751641</v>
      </c>
      <c r="H6436" s="2">
        <f>5.07</f>
        <v>5.07</v>
      </c>
      <c r="I6436" t="s">
        <v>27</v>
      </c>
      <c r="J6436" t="s">
        <v>219</v>
      </c>
      <c r="K6436" t="str">
        <f>"22027231"</f>
        <v>22027231</v>
      </c>
    </row>
    <row r="6437" spans="1:11" x14ac:dyDescent="0.25">
      <c r="A6437">
        <v>2025</v>
      </c>
      <c r="B6437" t="s">
        <v>2127</v>
      </c>
      <c r="C6437" t="s">
        <v>2126</v>
      </c>
      <c r="D6437" t="s">
        <v>111</v>
      </c>
      <c r="E6437" t="s">
        <v>20</v>
      </c>
      <c r="F6437" t="str">
        <f>"43218"</f>
        <v>43218</v>
      </c>
      <c r="G6437" t="str">
        <f>"751641"</f>
        <v>751641</v>
      </c>
      <c r="H6437" s="2">
        <f>5.03</f>
        <v>5.03</v>
      </c>
      <c r="I6437" t="s">
        <v>27</v>
      </c>
      <c r="J6437" t="s">
        <v>219</v>
      </c>
      <c r="K6437" t="str">
        <f>"33013028"</f>
        <v>33013028</v>
      </c>
    </row>
    <row r="6438" spans="1:11" x14ac:dyDescent="0.25">
      <c r="A6438">
        <v>2025</v>
      </c>
      <c r="B6438" t="s">
        <v>2129</v>
      </c>
      <c r="C6438" t="s">
        <v>2130</v>
      </c>
      <c r="D6438" t="s">
        <v>19</v>
      </c>
      <c r="E6438" t="s">
        <v>20</v>
      </c>
      <c r="F6438" t="str">
        <f>"43623"</f>
        <v>43623</v>
      </c>
      <c r="G6438" t="str">
        <f>"753658"</f>
        <v>753658</v>
      </c>
      <c r="H6438" s="2">
        <f>20</f>
        <v>20</v>
      </c>
      <c r="I6438" t="s">
        <v>27</v>
      </c>
      <c r="J6438" t="s">
        <v>39</v>
      </c>
      <c r="K6438" t="str">
        <f>"129268"</f>
        <v>129268</v>
      </c>
    </row>
    <row r="6439" spans="1:11" x14ac:dyDescent="0.25">
      <c r="A6439">
        <v>2025</v>
      </c>
      <c r="B6439" t="s">
        <v>2157</v>
      </c>
      <c r="C6439" t="s">
        <v>2158</v>
      </c>
      <c r="D6439" t="s">
        <v>50</v>
      </c>
      <c r="E6439" t="s">
        <v>20</v>
      </c>
      <c r="F6439" t="str">
        <f>"43560-3925"</f>
        <v>43560-3925</v>
      </c>
      <c r="G6439" t="str">
        <f>"753658"</f>
        <v>753658</v>
      </c>
      <c r="H6439" s="2">
        <f>10</f>
        <v>10</v>
      </c>
      <c r="I6439" t="s">
        <v>27</v>
      </c>
      <c r="J6439" t="s">
        <v>39</v>
      </c>
      <c r="K6439" t="str">
        <f>"129615"</f>
        <v>129615</v>
      </c>
    </row>
    <row r="6440" spans="1:11" x14ac:dyDescent="0.25">
      <c r="A6440">
        <v>2025</v>
      </c>
      <c r="B6440" t="s">
        <v>2166</v>
      </c>
      <c r="C6440" t="s">
        <v>2167</v>
      </c>
      <c r="D6440" t="s">
        <v>125</v>
      </c>
      <c r="E6440" t="s">
        <v>20</v>
      </c>
      <c r="F6440" t="str">
        <f>"43537-9540"</f>
        <v>43537-9540</v>
      </c>
      <c r="G6440" t="str">
        <f>"753658"</f>
        <v>753658</v>
      </c>
      <c r="H6440" s="2">
        <f>30</f>
        <v>30</v>
      </c>
      <c r="I6440" t="s">
        <v>27</v>
      </c>
      <c r="J6440" t="s">
        <v>39</v>
      </c>
      <c r="K6440" t="str">
        <f>"126591"</f>
        <v>126591</v>
      </c>
    </row>
    <row r="6441" spans="1:11" x14ac:dyDescent="0.25">
      <c r="A6441">
        <v>2025</v>
      </c>
      <c r="B6441" t="s">
        <v>2191</v>
      </c>
      <c r="C6441" t="s">
        <v>2192</v>
      </c>
      <c r="D6441" t="s">
        <v>19</v>
      </c>
      <c r="E6441" t="s">
        <v>20</v>
      </c>
      <c r="F6441" t="str">
        <f>"43613-4315"</f>
        <v>43613-4315</v>
      </c>
      <c r="G6441" t="str">
        <f>"753658"</f>
        <v>753658</v>
      </c>
      <c r="H6441" s="2">
        <f>10</f>
        <v>10</v>
      </c>
      <c r="I6441" t="s">
        <v>27</v>
      </c>
      <c r="J6441" t="s">
        <v>39</v>
      </c>
      <c r="K6441" t="str">
        <f>"125820"</f>
        <v>125820</v>
      </c>
    </row>
    <row r="6442" spans="1:11" x14ac:dyDescent="0.25">
      <c r="A6442">
        <v>2025</v>
      </c>
      <c r="B6442" t="s">
        <v>2197</v>
      </c>
      <c r="C6442" t="s">
        <v>2198</v>
      </c>
      <c r="D6442" t="s">
        <v>19</v>
      </c>
      <c r="E6442" t="s">
        <v>20</v>
      </c>
      <c r="F6442" t="str">
        <f>"43612-3027"</f>
        <v>43612-3027</v>
      </c>
      <c r="G6442" t="str">
        <f>"753658"</f>
        <v>753658</v>
      </c>
      <c r="H6442" s="2">
        <f>10</f>
        <v>10</v>
      </c>
      <c r="I6442" t="s">
        <v>27</v>
      </c>
      <c r="J6442" t="s">
        <v>39</v>
      </c>
      <c r="K6442" t="str">
        <f>"129767"</f>
        <v>129767</v>
      </c>
    </row>
    <row r="6443" spans="1:11" x14ac:dyDescent="0.25">
      <c r="A6443">
        <v>2025</v>
      </c>
      <c r="B6443" t="s">
        <v>2199</v>
      </c>
      <c r="C6443" t="s">
        <v>2200</v>
      </c>
      <c r="D6443" t="s">
        <v>19</v>
      </c>
      <c r="E6443" t="s">
        <v>20</v>
      </c>
      <c r="F6443" t="str">
        <f>"43615"</f>
        <v>43615</v>
      </c>
      <c r="G6443" t="str">
        <f>"772209"</f>
        <v>772209</v>
      </c>
      <c r="H6443" s="2">
        <f>2109.4</f>
        <v>2109.4</v>
      </c>
      <c r="I6443" t="s">
        <v>27</v>
      </c>
      <c r="J6443" t="s">
        <v>691</v>
      </c>
      <c r="K6443" t="str">
        <f>"N/A"</f>
        <v>N/A</v>
      </c>
    </row>
    <row r="6444" spans="1:11" x14ac:dyDescent="0.25">
      <c r="A6444">
        <v>2025</v>
      </c>
      <c r="B6444" t="s">
        <v>2214</v>
      </c>
      <c r="C6444" t="s">
        <v>2215</v>
      </c>
      <c r="D6444" t="s">
        <v>58</v>
      </c>
      <c r="E6444" t="s">
        <v>20</v>
      </c>
      <c r="F6444" t="str">
        <f>"43616"</f>
        <v>43616</v>
      </c>
      <c r="G6444" t="str">
        <f>"Je07082025"</f>
        <v>Je07082025</v>
      </c>
      <c r="H6444" s="2">
        <f>218.25</f>
        <v>218.25</v>
      </c>
      <c r="I6444" t="s">
        <v>15</v>
      </c>
      <c r="J6444" t="s">
        <v>185</v>
      </c>
      <c r="K6444" t="str">
        <f>"60156947"</f>
        <v>60156947</v>
      </c>
    </row>
    <row r="6445" spans="1:11" x14ac:dyDescent="0.25">
      <c r="A6445">
        <v>2025</v>
      </c>
      <c r="B6445" t="s">
        <v>2222</v>
      </c>
      <c r="C6445" t="s">
        <v>2223</v>
      </c>
      <c r="D6445" t="s">
        <v>19</v>
      </c>
      <c r="E6445" t="s">
        <v>20</v>
      </c>
      <c r="F6445" t="str">
        <f>"43617-1252"</f>
        <v>43617-1252</v>
      </c>
      <c r="G6445" t="str">
        <f t="shared" ref="G6445:G6459" si="224">"753658"</f>
        <v>753658</v>
      </c>
      <c r="H6445" s="2">
        <f>10</f>
        <v>10</v>
      </c>
      <c r="I6445" t="s">
        <v>27</v>
      </c>
      <c r="J6445" t="s">
        <v>39</v>
      </c>
      <c r="K6445" t="str">
        <f>"129250"</f>
        <v>129250</v>
      </c>
    </row>
    <row r="6446" spans="1:11" x14ac:dyDescent="0.25">
      <c r="A6446">
        <v>2025</v>
      </c>
      <c r="B6446" t="s">
        <v>2242</v>
      </c>
      <c r="C6446" t="s">
        <v>2243</v>
      </c>
      <c r="D6446" t="s">
        <v>323</v>
      </c>
      <c r="E6446" t="s">
        <v>20</v>
      </c>
      <c r="F6446" t="str">
        <f>"43571-9860"</f>
        <v>43571-9860</v>
      </c>
      <c r="G6446" t="str">
        <f t="shared" si="224"/>
        <v>753658</v>
      </c>
      <c r="H6446" s="2">
        <f>10</f>
        <v>10</v>
      </c>
      <c r="I6446" t="s">
        <v>27</v>
      </c>
      <c r="J6446" t="s">
        <v>39</v>
      </c>
      <c r="K6446" t="str">
        <f>"126577"</f>
        <v>126577</v>
      </c>
    </row>
    <row r="6447" spans="1:11" x14ac:dyDescent="0.25">
      <c r="A6447">
        <v>2025</v>
      </c>
      <c r="B6447" t="s">
        <v>2256</v>
      </c>
      <c r="C6447" t="s">
        <v>2257</v>
      </c>
      <c r="D6447" t="s">
        <v>105</v>
      </c>
      <c r="E6447" t="s">
        <v>20</v>
      </c>
      <c r="F6447" t="str">
        <f>"43528-9143"</f>
        <v>43528-9143</v>
      </c>
      <c r="G6447" t="str">
        <f t="shared" si="224"/>
        <v>753658</v>
      </c>
      <c r="H6447" s="2">
        <f>10</f>
        <v>10</v>
      </c>
      <c r="I6447" t="s">
        <v>27</v>
      </c>
      <c r="J6447" t="s">
        <v>39</v>
      </c>
      <c r="K6447" t="str">
        <f>"129182"</f>
        <v>129182</v>
      </c>
    </row>
    <row r="6448" spans="1:11" x14ac:dyDescent="0.25">
      <c r="A6448">
        <v>2025</v>
      </c>
      <c r="B6448" t="s">
        <v>2272</v>
      </c>
      <c r="C6448" t="s">
        <v>2273</v>
      </c>
      <c r="D6448" t="s">
        <v>19</v>
      </c>
      <c r="E6448" t="s">
        <v>20</v>
      </c>
      <c r="F6448" t="str">
        <f>"43605-2414"</f>
        <v>43605-2414</v>
      </c>
      <c r="G6448" t="str">
        <f t="shared" si="224"/>
        <v>753658</v>
      </c>
      <c r="H6448" s="2">
        <f>20</f>
        <v>20</v>
      </c>
      <c r="I6448" t="s">
        <v>27</v>
      </c>
      <c r="J6448" t="s">
        <v>39</v>
      </c>
      <c r="K6448" t="str">
        <f>"126638"</f>
        <v>126638</v>
      </c>
    </row>
    <row r="6449" spans="1:11" x14ac:dyDescent="0.25">
      <c r="A6449">
        <v>2025</v>
      </c>
      <c r="B6449" t="s">
        <v>2274</v>
      </c>
      <c r="C6449" t="s">
        <v>2275</v>
      </c>
      <c r="D6449" t="s">
        <v>19</v>
      </c>
      <c r="E6449" t="s">
        <v>20</v>
      </c>
      <c r="F6449" t="str">
        <f>"43605-1959"</f>
        <v>43605-1959</v>
      </c>
      <c r="G6449" t="str">
        <f t="shared" si="224"/>
        <v>753658</v>
      </c>
      <c r="H6449" s="2">
        <f>10</f>
        <v>10</v>
      </c>
      <c r="I6449" t="s">
        <v>27</v>
      </c>
      <c r="J6449" t="s">
        <v>39</v>
      </c>
      <c r="K6449" t="str">
        <f>"131639"</f>
        <v>131639</v>
      </c>
    </row>
    <row r="6450" spans="1:11" x14ac:dyDescent="0.25">
      <c r="A6450">
        <v>2025</v>
      </c>
      <c r="B6450" t="s">
        <v>2284</v>
      </c>
      <c r="C6450" t="s">
        <v>2285</v>
      </c>
      <c r="D6450" t="s">
        <v>164</v>
      </c>
      <c r="E6450" t="s">
        <v>20</v>
      </c>
      <c r="F6450" t="str">
        <f>"43558-8928"</f>
        <v>43558-8928</v>
      </c>
      <c r="G6450" t="str">
        <f t="shared" si="224"/>
        <v>753658</v>
      </c>
      <c r="H6450" s="2">
        <f>60</f>
        <v>60</v>
      </c>
      <c r="I6450" t="s">
        <v>27</v>
      </c>
      <c r="J6450" t="s">
        <v>39</v>
      </c>
      <c r="K6450" t="str">
        <f>"127303"</f>
        <v>127303</v>
      </c>
    </row>
    <row r="6451" spans="1:11" x14ac:dyDescent="0.25">
      <c r="A6451">
        <v>2025</v>
      </c>
      <c r="B6451" t="s">
        <v>2312</v>
      </c>
      <c r="C6451" t="s">
        <v>2313</v>
      </c>
      <c r="D6451" t="s">
        <v>105</v>
      </c>
      <c r="E6451" t="s">
        <v>20</v>
      </c>
      <c r="F6451" t="str">
        <f>"43528-8681"</f>
        <v>43528-8681</v>
      </c>
      <c r="G6451" t="str">
        <f t="shared" si="224"/>
        <v>753658</v>
      </c>
      <c r="H6451" s="2">
        <f>10</f>
        <v>10</v>
      </c>
      <c r="I6451" t="s">
        <v>27</v>
      </c>
      <c r="J6451" t="s">
        <v>39</v>
      </c>
      <c r="K6451" t="str">
        <f>"126218"</f>
        <v>126218</v>
      </c>
    </row>
    <row r="6452" spans="1:11" x14ac:dyDescent="0.25">
      <c r="A6452">
        <v>2025</v>
      </c>
      <c r="B6452" t="s">
        <v>2314</v>
      </c>
      <c r="C6452" t="s">
        <v>2315</v>
      </c>
      <c r="D6452" t="s">
        <v>19</v>
      </c>
      <c r="E6452" t="s">
        <v>20</v>
      </c>
      <c r="F6452" t="str">
        <f>"43611"</f>
        <v>43611</v>
      </c>
      <c r="G6452" t="str">
        <f t="shared" si="224"/>
        <v>753658</v>
      </c>
      <c r="H6452" s="2">
        <f>20</f>
        <v>20</v>
      </c>
      <c r="I6452" t="s">
        <v>27</v>
      </c>
      <c r="J6452" t="s">
        <v>39</v>
      </c>
      <c r="K6452" t="str">
        <f>"129273"</f>
        <v>129273</v>
      </c>
    </row>
    <row r="6453" spans="1:11" x14ac:dyDescent="0.25">
      <c r="A6453">
        <v>2025</v>
      </c>
      <c r="B6453" t="s">
        <v>2327</v>
      </c>
      <c r="C6453" t="s">
        <v>2328</v>
      </c>
      <c r="D6453" t="s">
        <v>19</v>
      </c>
      <c r="E6453" t="s">
        <v>20</v>
      </c>
      <c r="F6453" t="str">
        <f>"43613-2752"</f>
        <v>43613-2752</v>
      </c>
      <c r="G6453" t="str">
        <f t="shared" si="224"/>
        <v>753658</v>
      </c>
      <c r="H6453" s="2">
        <f>20</f>
        <v>20</v>
      </c>
      <c r="I6453" t="s">
        <v>27</v>
      </c>
      <c r="J6453" t="s">
        <v>39</v>
      </c>
      <c r="K6453" t="str">
        <f>"129503"</f>
        <v>129503</v>
      </c>
    </row>
    <row r="6454" spans="1:11" x14ac:dyDescent="0.25">
      <c r="A6454">
        <v>2025</v>
      </c>
      <c r="B6454" t="s">
        <v>2331</v>
      </c>
      <c r="C6454" t="s">
        <v>2332</v>
      </c>
      <c r="D6454" t="s">
        <v>19</v>
      </c>
      <c r="E6454" t="s">
        <v>20</v>
      </c>
      <c r="F6454" t="str">
        <f>"43607-2857"</f>
        <v>43607-2857</v>
      </c>
      <c r="G6454" t="str">
        <f t="shared" si="224"/>
        <v>753658</v>
      </c>
      <c r="H6454" s="2">
        <f>20</f>
        <v>20</v>
      </c>
      <c r="I6454" t="s">
        <v>27</v>
      </c>
      <c r="J6454" t="s">
        <v>39</v>
      </c>
      <c r="K6454" t="str">
        <f>"126442"</f>
        <v>126442</v>
      </c>
    </row>
    <row r="6455" spans="1:11" x14ac:dyDescent="0.25">
      <c r="A6455">
        <v>2025</v>
      </c>
      <c r="B6455" t="s">
        <v>2337</v>
      </c>
      <c r="C6455" t="s">
        <v>2338</v>
      </c>
      <c r="D6455" t="s">
        <v>19</v>
      </c>
      <c r="E6455" t="s">
        <v>20</v>
      </c>
      <c r="F6455" t="str">
        <f>"43617-1080"</f>
        <v>43617-1080</v>
      </c>
      <c r="G6455" t="str">
        <f t="shared" si="224"/>
        <v>753658</v>
      </c>
      <c r="H6455" s="2">
        <f>10</f>
        <v>10</v>
      </c>
      <c r="I6455" t="s">
        <v>27</v>
      </c>
      <c r="J6455" t="s">
        <v>39</v>
      </c>
      <c r="K6455" t="str">
        <f>"128242"</f>
        <v>128242</v>
      </c>
    </row>
    <row r="6456" spans="1:11" x14ac:dyDescent="0.25">
      <c r="A6456">
        <v>2025</v>
      </c>
      <c r="B6456" t="s">
        <v>2339</v>
      </c>
      <c r="C6456" t="s">
        <v>2340</v>
      </c>
      <c r="D6456" t="s">
        <v>19</v>
      </c>
      <c r="E6456" t="s">
        <v>20</v>
      </c>
      <c r="F6456" t="str">
        <f>"43615-6914"</f>
        <v>43615-6914</v>
      </c>
      <c r="G6456" t="str">
        <f t="shared" si="224"/>
        <v>753658</v>
      </c>
      <c r="H6456" s="2">
        <f>10</f>
        <v>10</v>
      </c>
      <c r="I6456" t="s">
        <v>27</v>
      </c>
      <c r="J6456" t="s">
        <v>39</v>
      </c>
      <c r="K6456" t="str">
        <f>"127704"</f>
        <v>127704</v>
      </c>
    </row>
    <row r="6457" spans="1:11" x14ac:dyDescent="0.25">
      <c r="A6457">
        <v>2025</v>
      </c>
      <c r="B6457" t="s">
        <v>2351</v>
      </c>
      <c r="C6457" t="s">
        <v>2352</v>
      </c>
      <c r="D6457" t="s">
        <v>19</v>
      </c>
      <c r="E6457" t="s">
        <v>20</v>
      </c>
      <c r="F6457" t="str">
        <f>"43604-8208"</f>
        <v>43604-8208</v>
      </c>
      <c r="G6457" t="str">
        <f t="shared" si="224"/>
        <v>753658</v>
      </c>
      <c r="H6457" s="2">
        <f>10</f>
        <v>10</v>
      </c>
      <c r="I6457" t="s">
        <v>27</v>
      </c>
      <c r="J6457" t="s">
        <v>39</v>
      </c>
      <c r="K6457" t="str">
        <f>"125903"</f>
        <v>125903</v>
      </c>
    </row>
    <row r="6458" spans="1:11" x14ac:dyDescent="0.25">
      <c r="A6458">
        <v>2025</v>
      </c>
      <c r="B6458" t="s">
        <v>2353</v>
      </c>
      <c r="C6458" t="s">
        <v>2354</v>
      </c>
      <c r="D6458" t="s">
        <v>19</v>
      </c>
      <c r="E6458" t="s">
        <v>20</v>
      </c>
      <c r="F6458" t="str">
        <f>"43614-2630"</f>
        <v>43614-2630</v>
      </c>
      <c r="G6458" t="str">
        <f t="shared" si="224"/>
        <v>753658</v>
      </c>
      <c r="H6458" s="2">
        <f>10</f>
        <v>10</v>
      </c>
      <c r="I6458" t="s">
        <v>27</v>
      </c>
      <c r="J6458" t="s">
        <v>39</v>
      </c>
      <c r="K6458" t="str">
        <f>"129718"</f>
        <v>129718</v>
      </c>
    </row>
    <row r="6459" spans="1:11" x14ac:dyDescent="0.25">
      <c r="A6459">
        <v>2025</v>
      </c>
      <c r="B6459" t="s">
        <v>2355</v>
      </c>
      <c r="C6459" t="s">
        <v>2356</v>
      </c>
      <c r="D6459" t="s">
        <v>58</v>
      </c>
      <c r="E6459" t="s">
        <v>20</v>
      </c>
      <c r="F6459" t="str">
        <f>"43616-2387"</f>
        <v>43616-2387</v>
      </c>
      <c r="G6459" t="str">
        <f t="shared" si="224"/>
        <v>753658</v>
      </c>
      <c r="H6459" s="2">
        <f>10</f>
        <v>10</v>
      </c>
      <c r="I6459" t="s">
        <v>27</v>
      </c>
      <c r="J6459" t="s">
        <v>39</v>
      </c>
      <c r="K6459" t="str">
        <f>"128207"</f>
        <v>128207</v>
      </c>
    </row>
    <row r="6460" spans="1:11" x14ac:dyDescent="0.25">
      <c r="A6460">
        <v>2025</v>
      </c>
      <c r="B6460" t="s">
        <v>2357</v>
      </c>
      <c r="C6460" t="s">
        <v>2358</v>
      </c>
      <c r="D6460" t="s">
        <v>19</v>
      </c>
      <c r="E6460" t="s">
        <v>20</v>
      </c>
      <c r="F6460" t="str">
        <f>"43615"</f>
        <v>43615</v>
      </c>
      <c r="G6460" t="str">
        <f>"751639"</f>
        <v>751639</v>
      </c>
      <c r="H6460" s="2">
        <f>18.1</f>
        <v>18.100000000000001</v>
      </c>
      <c r="I6460" t="s">
        <v>27</v>
      </c>
      <c r="J6460" t="s">
        <v>96</v>
      </c>
      <c r="K6460" t="str">
        <f>"335011"</f>
        <v>335011</v>
      </c>
    </row>
    <row r="6461" spans="1:11" x14ac:dyDescent="0.25">
      <c r="A6461">
        <v>2025</v>
      </c>
      <c r="B6461" t="s">
        <v>2360</v>
      </c>
      <c r="C6461" t="s">
        <v>2361</v>
      </c>
      <c r="D6461" t="s">
        <v>19</v>
      </c>
      <c r="E6461" t="s">
        <v>20</v>
      </c>
      <c r="F6461" t="str">
        <f>"43606"</f>
        <v>43606</v>
      </c>
      <c r="G6461" t="str">
        <f>"759796"</f>
        <v>759796</v>
      </c>
      <c r="H6461" s="2">
        <f>3.06</f>
        <v>3.06</v>
      </c>
      <c r="I6461" t="s">
        <v>27</v>
      </c>
      <c r="J6461" t="s">
        <v>188</v>
      </c>
      <c r="K6461" t="str">
        <f>"45936"</f>
        <v>45936</v>
      </c>
    </row>
    <row r="6462" spans="1:11" x14ac:dyDescent="0.25">
      <c r="A6462">
        <v>2025</v>
      </c>
      <c r="B6462" t="s">
        <v>2362</v>
      </c>
      <c r="C6462" t="s">
        <v>2363</v>
      </c>
      <c r="D6462" t="s">
        <v>105</v>
      </c>
      <c r="E6462" t="s">
        <v>20</v>
      </c>
      <c r="F6462" t="str">
        <f>"43528"</f>
        <v>43528</v>
      </c>
      <c r="G6462" t="str">
        <f>"Je09192025"</f>
        <v>Je09192025</v>
      </c>
      <c r="H6462" s="2">
        <f>37.86</f>
        <v>37.86</v>
      </c>
      <c r="I6462" t="s">
        <v>15</v>
      </c>
      <c r="J6462" t="s">
        <v>563</v>
      </c>
      <c r="K6462" t="str">
        <f>"60162410"</f>
        <v>60162410</v>
      </c>
    </row>
    <row r="6463" spans="1:11" x14ac:dyDescent="0.25">
      <c r="A6463">
        <v>2025</v>
      </c>
      <c r="B6463" t="s">
        <v>2373</v>
      </c>
      <c r="C6463" t="s">
        <v>2374</v>
      </c>
      <c r="D6463" t="s">
        <v>19</v>
      </c>
      <c r="E6463" t="s">
        <v>20</v>
      </c>
      <c r="F6463" t="str">
        <f>"43604"</f>
        <v>43604</v>
      </c>
      <c r="G6463" t="str">
        <f>"751639"</f>
        <v>751639</v>
      </c>
      <c r="H6463" s="2">
        <f>9.56</f>
        <v>9.56</v>
      </c>
      <c r="I6463" t="s">
        <v>27</v>
      </c>
      <c r="J6463" t="s">
        <v>96</v>
      </c>
      <c r="K6463" t="str">
        <f>"334760"</f>
        <v>334760</v>
      </c>
    </row>
    <row r="6464" spans="1:11" x14ac:dyDescent="0.25">
      <c r="A6464">
        <v>2025</v>
      </c>
      <c r="B6464" t="s">
        <v>2389</v>
      </c>
      <c r="C6464" t="s">
        <v>1162</v>
      </c>
      <c r="D6464" t="s">
        <v>1163</v>
      </c>
      <c r="E6464" t="s">
        <v>20</v>
      </c>
      <c r="F6464" t="str">
        <f>"45202"</f>
        <v>45202</v>
      </c>
      <c r="G6464" t="str">
        <f>"759796"</f>
        <v>759796</v>
      </c>
      <c r="H6464" s="2">
        <f>57.9</f>
        <v>57.9</v>
      </c>
      <c r="I6464" t="s">
        <v>27</v>
      </c>
      <c r="J6464" t="s">
        <v>188</v>
      </c>
      <c r="K6464" t="str">
        <f>"45718"</f>
        <v>45718</v>
      </c>
    </row>
    <row r="6465" spans="1:11" x14ac:dyDescent="0.25">
      <c r="A6465">
        <v>2025</v>
      </c>
      <c r="B6465" t="s">
        <v>2389</v>
      </c>
      <c r="C6465" t="s">
        <v>2390</v>
      </c>
      <c r="D6465" t="s">
        <v>2391</v>
      </c>
      <c r="E6465" t="s">
        <v>462</v>
      </c>
      <c r="F6465" t="str">
        <f>"33309"</f>
        <v>33309</v>
      </c>
      <c r="G6465" t="str">
        <f>"759796"</f>
        <v>759796</v>
      </c>
      <c r="H6465" s="2">
        <f>118.07</f>
        <v>118.07</v>
      </c>
      <c r="I6465" t="s">
        <v>27</v>
      </c>
      <c r="J6465" t="s">
        <v>188</v>
      </c>
      <c r="K6465" t="str">
        <f>"45300"</f>
        <v>45300</v>
      </c>
    </row>
    <row r="6466" spans="1:11" x14ac:dyDescent="0.25">
      <c r="A6466">
        <v>2025</v>
      </c>
      <c r="B6466" t="s">
        <v>2407</v>
      </c>
      <c r="C6466" t="s">
        <v>2408</v>
      </c>
      <c r="D6466" t="s">
        <v>105</v>
      </c>
      <c r="E6466" t="s">
        <v>20</v>
      </c>
      <c r="F6466" t="str">
        <f>"43528-9204"</f>
        <v>43528-9204</v>
      </c>
      <c r="G6466" t="str">
        <f>"753658"</f>
        <v>753658</v>
      </c>
      <c r="H6466" s="2">
        <f>20</f>
        <v>20</v>
      </c>
      <c r="I6466" t="s">
        <v>27</v>
      </c>
      <c r="J6466" t="s">
        <v>39</v>
      </c>
      <c r="K6466" t="str">
        <f>"125585"</f>
        <v>125585</v>
      </c>
    </row>
    <row r="6467" spans="1:11" x14ac:dyDescent="0.25">
      <c r="A6467">
        <v>2025</v>
      </c>
      <c r="B6467" t="s">
        <v>2418</v>
      </c>
      <c r="C6467" t="s">
        <v>2419</v>
      </c>
      <c r="D6467" t="s">
        <v>19</v>
      </c>
      <c r="E6467" t="s">
        <v>20</v>
      </c>
      <c r="F6467" t="str">
        <f>"43615"</f>
        <v>43615</v>
      </c>
      <c r="G6467" t="str">
        <f>"Je07082025"</f>
        <v>Je07082025</v>
      </c>
      <c r="H6467" s="2">
        <f>832</f>
        <v>832</v>
      </c>
      <c r="I6467" t="s">
        <v>15</v>
      </c>
      <c r="J6467" t="s">
        <v>185</v>
      </c>
      <c r="K6467" t="str">
        <f>"60156660"</f>
        <v>60156660</v>
      </c>
    </row>
    <row r="6468" spans="1:11" x14ac:dyDescent="0.25">
      <c r="A6468">
        <v>2025</v>
      </c>
      <c r="B6468" t="s">
        <v>2443</v>
      </c>
      <c r="C6468" t="s">
        <v>2444</v>
      </c>
      <c r="D6468" t="s">
        <v>19</v>
      </c>
      <c r="E6468" t="s">
        <v>20</v>
      </c>
      <c r="F6468" t="str">
        <f>"43612"</f>
        <v>43612</v>
      </c>
      <c r="G6468" t="str">
        <f>"753658"</f>
        <v>753658</v>
      </c>
      <c r="H6468" s="2">
        <f>20</f>
        <v>20</v>
      </c>
      <c r="I6468" t="s">
        <v>27</v>
      </c>
      <c r="J6468" t="s">
        <v>39</v>
      </c>
      <c r="K6468" t="str">
        <f>"127536"</f>
        <v>127536</v>
      </c>
    </row>
    <row r="6469" spans="1:11" x14ac:dyDescent="0.25">
      <c r="A6469">
        <v>2025</v>
      </c>
      <c r="B6469" t="s">
        <v>2455</v>
      </c>
      <c r="C6469" t="s">
        <v>2456</v>
      </c>
      <c r="D6469" t="s">
        <v>164</v>
      </c>
      <c r="E6469" t="s">
        <v>20</v>
      </c>
      <c r="F6469" t="str">
        <f>"43558"</f>
        <v>43558</v>
      </c>
      <c r="G6469" t="str">
        <f>"Je07082025"</f>
        <v>Je07082025</v>
      </c>
      <c r="H6469" s="2">
        <f>414.25</f>
        <v>414.25</v>
      </c>
      <c r="I6469" t="s">
        <v>15</v>
      </c>
      <c r="J6469" t="s">
        <v>185</v>
      </c>
      <c r="K6469" t="str">
        <f>"60154617"</f>
        <v>60154617</v>
      </c>
    </row>
    <row r="6470" spans="1:11" x14ac:dyDescent="0.25">
      <c r="A6470">
        <v>2025</v>
      </c>
      <c r="B6470" t="s">
        <v>2457</v>
      </c>
      <c r="C6470" t="s">
        <v>2458</v>
      </c>
      <c r="D6470" t="s">
        <v>50</v>
      </c>
      <c r="E6470" t="s">
        <v>20</v>
      </c>
      <c r="F6470" t="str">
        <f>"43560-3926"</f>
        <v>43560-3926</v>
      </c>
      <c r="G6470" t="str">
        <f>"753658"</f>
        <v>753658</v>
      </c>
      <c r="H6470" s="2">
        <f>20</f>
        <v>20</v>
      </c>
      <c r="I6470" t="s">
        <v>27</v>
      </c>
      <c r="J6470" t="s">
        <v>39</v>
      </c>
      <c r="K6470" t="str">
        <f>"130024"</f>
        <v>130024</v>
      </c>
    </row>
    <row r="6471" spans="1:11" x14ac:dyDescent="0.25">
      <c r="A6471">
        <v>2025</v>
      </c>
      <c r="B6471" t="s">
        <v>2461</v>
      </c>
      <c r="C6471" t="s">
        <v>2462</v>
      </c>
      <c r="D6471" t="s">
        <v>1299</v>
      </c>
      <c r="E6471" t="s">
        <v>20</v>
      </c>
      <c r="F6471" t="str">
        <f>"43504-9710"</f>
        <v>43504-9710</v>
      </c>
      <c r="G6471" t="str">
        <f>"753658"</f>
        <v>753658</v>
      </c>
      <c r="H6471" s="2">
        <f>10</f>
        <v>10</v>
      </c>
      <c r="I6471" t="s">
        <v>27</v>
      </c>
      <c r="J6471" t="s">
        <v>39</v>
      </c>
      <c r="K6471" t="str">
        <f>"125430"</f>
        <v>125430</v>
      </c>
    </row>
    <row r="6472" spans="1:11" x14ac:dyDescent="0.25">
      <c r="A6472">
        <v>2025</v>
      </c>
      <c r="B6472" t="s">
        <v>2483</v>
      </c>
      <c r="C6472" t="s">
        <v>2484</v>
      </c>
      <c r="D6472" t="s">
        <v>125</v>
      </c>
      <c r="E6472" t="s">
        <v>20</v>
      </c>
      <c r="F6472" t="str">
        <f>"43537-2896"</f>
        <v>43537-2896</v>
      </c>
      <c r="G6472" t="str">
        <f>"753658"</f>
        <v>753658</v>
      </c>
      <c r="H6472" s="2">
        <f>40</f>
        <v>40</v>
      </c>
      <c r="I6472" t="s">
        <v>27</v>
      </c>
      <c r="J6472" t="s">
        <v>39</v>
      </c>
      <c r="K6472" t="str">
        <f>"127824"</f>
        <v>127824</v>
      </c>
    </row>
    <row r="6473" spans="1:11" x14ac:dyDescent="0.25">
      <c r="A6473">
        <v>2025</v>
      </c>
      <c r="B6473" t="s">
        <v>2491</v>
      </c>
      <c r="C6473" t="s">
        <v>2492</v>
      </c>
      <c r="D6473" t="s">
        <v>19</v>
      </c>
      <c r="E6473" t="s">
        <v>20</v>
      </c>
      <c r="F6473" t="str">
        <f>"43612-1122"</f>
        <v>43612-1122</v>
      </c>
      <c r="G6473" t="str">
        <f>"753658"</f>
        <v>753658</v>
      </c>
      <c r="H6473" s="2">
        <f>10</f>
        <v>10</v>
      </c>
      <c r="I6473" t="s">
        <v>27</v>
      </c>
      <c r="J6473" t="s">
        <v>39</v>
      </c>
      <c r="K6473" t="str">
        <f>"130959"</f>
        <v>130959</v>
      </c>
    </row>
    <row r="6474" spans="1:11" x14ac:dyDescent="0.25">
      <c r="A6474">
        <v>2025</v>
      </c>
      <c r="B6474" t="s">
        <v>2493</v>
      </c>
      <c r="C6474" t="s">
        <v>2494</v>
      </c>
      <c r="D6474" t="s">
        <v>1415</v>
      </c>
      <c r="E6474" t="s">
        <v>216</v>
      </c>
      <c r="F6474" t="str">
        <f>"46016"</f>
        <v>46016</v>
      </c>
      <c r="G6474" t="str">
        <f>"776051"</f>
        <v>776051</v>
      </c>
      <c r="H6474" s="2">
        <f>171.42</f>
        <v>171.42</v>
      </c>
      <c r="I6474" t="s">
        <v>1416</v>
      </c>
      <c r="J6474" t="s">
        <v>1417</v>
      </c>
      <c r="K6474" t="str">
        <f>"28092"</f>
        <v>28092</v>
      </c>
    </row>
    <row r="6475" spans="1:11" x14ac:dyDescent="0.25">
      <c r="A6475">
        <v>2025</v>
      </c>
      <c r="B6475" t="s">
        <v>2503</v>
      </c>
      <c r="C6475" t="s">
        <v>1004</v>
      </c>
      <c r="D6475" t="s">
        <v>1005</v>
      </c>
      <c r="E6475" t="s">
        <v>20</v>
      </c>
      <c r="F6475" t="str">
        <f>"44139"</f>
        <v>44139</v>
      </c>
      <c r="G6475" t="str">
        <f>"759796"</f>
        <v>759796</v>
      </c>
      <c r="H6475" s="2">
        <f>185.84</f>
        <v>185.84</v>
      </c>
      <c r="I6475" t="s">
        <v>27</v>
      </c>
      <c r="J6475" t="s">
        <v>188</v>
      </c>
      <c r="K6475" t="str">
        <f>"45743"</f>
        <v>45743</v>
      </c>
    </row>
    <row r="6476" spans="1:11" x14ac:dyDescent="0.25">
      <c r="A6476">
        <v>2025</v>
      </c>
      <c r="B6476" t="s">
        <v>2503</v>
      </c>
      <c r="C6476" t="s">
        <v>1004</v>
      </c>
      <c r="D6476" t="s">
        <v>1005</v>
      </c>
      <c r="E6476" t="s">
        <v>20</v>
      </c>
      <c r="F6476" t="str">
        <f>"44139"</f>
        <v>44139</v>
      </c>
      <c r="G6476" t="str">
        <f>"759796"</f>
        <v>759796</v>
      </c>
      <c r="H6476" s="2">
        <f>550</f>
        <v>550</v>
      </c>
      <c r="I6476" t="s">
        <v>27</v>
      </c>
      <c r="J6476" t="s">
        <v>188</v>
      </c>
      <c r="K6476" t="str">
        <f>"45898"</f>
        <v>45898</v>
      </c>
    </row>
    <row r="6477" spans="1:11" x14ac:dyDescent="0.25">
      <c r="A6477">
        <v>2025</v>
      </c>
      <c r="B6477" t="s">
        <v>2504</v>
      </c>
      <c r="C6477" t="s">
        <v>2505</v>
      </c>
      <c r="D6477" t="s">
        <v>19</v>
      </c>
      <c r="E6477" t="s">
        <v>20</v>
      </c>
      <c r="F6477" t="str">
        <f>"43604-1941"</f>
        <v>43604-1941</v>
      </c>
      <c r="G6477" t="str">
        <f>"Je09192025"</f>
        <v>Je09192025</v>
      </c>
      <c r="H6477" s="2">
        <f>1170.84</f>
        <v>1170.8399999999999</v>
      </c>
      <c r="I6477" t="s">
        <v>15</v>
      </c>
      <c r="J6477" t="s">
        <v>563</v>
      </c>
      <c r="K6477" t="str">
        <f>"60157473"</f>
        <v>60157473</v>
      </c>
    </row>
    <row r="6478" spans="1:11" x14ac:dyDescent="0.25">
      <c r="A6478">
        <v>2025</v>
      </c>
      <c r="B6478" t="s">
        <v>2516</v>
      </c>
      <c r="C6478" t="s">
        <v>2517</v>
      </c>
      <c r="D6478" t="s">
        <v>19</v>
      </c>
      <c r="E6478" t="s">
        <v>20</v>
      </c>
      <c r="F6478" t="str">
        <f>"43612-2070"</f>
        <v>43612-2070</v>
      </c>
      <c r="G6478" t="str">
        <f>"753658"</f>
        <v>753658</v>
      </c>
      <c r="H6478" s="2">
        <f>40</f>
        <v>40</v>
      </c>
      <c r="I6478" t="s">
        <v>27</v>
      </c>
      <c r="J6478" t="s">
        <v>39</v>
      </c>
      <c r="K6478" t="str">
        <f>"125380"</f>
        <v>125380</v>
      </c>
    </row>
    <row r="6479" spans="1:11" x14ac:dyDescent="0.25">
      <c r="A6479">
        <v>2025</v>
      </c>
      <c r="B6479" t="s">
        <v>2518</v>
      </c>
      <c r="C6479" t="s">
        <v>2519</v>
      </c>
      <c r="D6479" t="s">
        <v>164</v>
      </c>
      <c r="E6479" t="s">
        <v>20</v>
      </c>
      <c r="F6479" t="str">
        <f>"43558-8531"</f>
        <v>43558-8531</v>
      </c>
      <c r="G6479" t="str">
        <f>"753658"</f>
        <v>753658</v>
      </c>
      <c r="H6479" s="2">
        <f>20</f>
        <v>20</v>
      </c>
      <c r="I6479" t="s">
        <v>27</v>
      </c>
      <c r="J6479" t="s">
        <v>39</v>
      </c>
      <c r="K6479" t="str">
        <f>"128364"</f>
        <v>128364</v>
      </c>
    </row>
    <row r="6480" spans="1:11" x14ac:dyDescent="0.25">
      <c r="A6480">
        <v>2025</v>
      </c>
      <c r="B6480" t="s">
        <v>2522</v>
      </c>
      <c r="C6480" t="s">
        <v>2523</v>
      </c>
      <c r="D6480" t="s">
        <v>2499</v>
      </c>
      <c r="E6480" t="s">
        <v>887</v>
      </c>
      <c r="F6480" t="str">
        <f>"47448"</f>
        <v>47448</v>
      </c>
      <c r="G6480" t="str">
        <f>"751641"</f>
        <v>751641</v>
      </c>
      <c r="H6480" s="2">
        <f>5</f>
        <v>5</v>
      </c>
      <c r="I6480" t="s">
        <v>27</v>
      </c>
      <c r="J6480" t="s">
        <v>219</v>
      </c>
      <c r="K6480" t="str">
        <f>"11004871"</f>
        <v>11004871</v>
      </c>
    </row>
    <row r="6481" spans="1:11" x14ac:dyDescent="0.25">
      <c r="A6481">
        <v>2025</v>
      </c>
      <c r="B6481" t="s">
        <v>2536</v>
      </c>
      <c r="C6481" t="s">
        <v>2537</v>
      </c>
      <c r="D6481" t="s">
        <v>19</v>
      </c>
      <c r="E6481" t="s">
        <v>20</v>
      </c>
      <c r="F6481" t="str">
        <f>"43617"</f>
        <v>43617</v>
      </c>
      <c r="G6481" t="str">
        <f>"751639"</f>
        <v>751639</v>
      </c>
      <c r="H6481" s="2">
        <f>17.5</f>
        <v>17.5</v>
      </c>
      <c r="I6481" t="s">
        <v>27</v>
      </c>
      <c r="J6481" t="s">
        <v>96</v>
      </c>
      <c r="K6481" t="str">
        <f>"335065"</f>
        <v>335065</v>
      </c>
    </row>
    <row r="6482" spans="1:11" x14ac:dyDescent="0.25">
      <c r="A6482">
        <v>2025</v>
      </c>
      <c r="B6482" t="s">
        <v>2558</v>
      </c>
      <c r="C6482" t="s">
        <v>2559</v>
      </c>
      <c r="D6482" t="s">
        <v>19</v>
      </c>
      <c r="E6482" t="s">
        <v>20</v>
      </c>
      <c r="F6482" t="str">
        <f>"43613-3047"</f>
        <v>43613-3047</v>
      </c>
      <c r="G6482" t="str">
        <f>"753658"</f>
        <v>753658</v>
      </c>
      <c r="H6482" s="2">
        <f>10</f>
        <v>10</v>
      </c>
      <c r="I6482" t="s">
        <v>27</v>
      </c>
      <c r="J6482" t="s">
        <v>39</v>
      </c>
      <c r="K6482" t="str">
        <f>"131920"</f>
        <v>131920</v>
      </c>
    </row>
    <row r="6483" spans="1:11" x14ac:dyDescent="0.25">
      <c r="A6483">
        <v>2025</v>
      </c>
      <c r="B6483" t="s">
        <v>2564</v>
      </c>
      <c r="C6483" t="s">
        <v>2565</v>
      </c>
      <c r="D6483" t="s">
        <v>125</v>
      </c>
      <c r="E6483" t="s">
        <v>20</v>
      </c>
      <c r="F6483" t="str">
        <f>"43537-2200"</f>
        <v>43537-2200</v>
      </c>
      <c r="G6483" t="str">
        <f>"753658"</f>
        <v>753658</v>
      </c>
      <c r="H6483" s="2">
        <f>10</f>
        <v>10</v>
      </c>
      <c r="I6483" t="s">
        <v>27</v>
      </c>
      <c r="J6483" t="s">
        <v>39</v>
      </c>
      <c r="K6483" t="str">
        <f>"129063"</f>
        <v>129063</v>
      </c>
    </row>
    <row r="6484" spans="1:11" x14ac:dyDescent="0.25">
      <c r="A6484">
        <v>2025</v>
      </c>
      <c r="B6484" t="s">
        <v>2593</v>
      </c>
      <c r="C6484" t="s">
        <v>2594</v>
      </c>
      <c r="D6484" t="s">
        <v>125</v>
      </c>
      <c r="E6484" t="s">
        <v>20</v>
      </c>
      <c r="F6484" t="str">
        <f>"43537"</f>
        <v>43537</v>
      </c>
      <c r="G6484" t="str">
        <f>"Je07082025"</f>
        <v>Je07082025</v>
      </c>
      <c r="H6484" s="2">
        <f>20</f>
        <v>20</v>
      </c>
      <c r="I6484" t="s">
        <v>15</v>
      </c>
      <c r="J6484" t="s">
        <v>185</v>
      </c>
      <c r="K6484" t="str">
        <f>"60149140"</f>
        <v>60149140</v>
      </c>
    </row>
    <row r="6485" spans="1:11" x14ac:dyDescent="0.25">
      <c r="A6485">
        <v>2025</v>
      </c>
      <c r="B6485" t="s">
        <v>2595</v>
      </c>
      <c r="C6485" t="s">
        <v>2596</v>
      </c>
      <c r="D6485" t="s">
        <v>19</v>
      </c>
      <c r="E6485" t="s">
        <v>20</v>
      </c>
      <c r="F6485" t="str">
        <f>"43611-1518"</f>
        <v>43611-1518</v>
      </c>
      <c r="G6485" t="str">
        <f>"753658"</f>
        <v>753658</v>
      </c>
      <c r="H6485" s="2">
        <f>60</f>
        <v>60</v>
      </c>
      <c r="I6485" t="s">
        <v>27</v>
      </c>
      <c r="J6485" t="s">
        <v>39</v>
      </c>
      <c r="K6485" t="str">
        <f>"127357"</f>
        <v>127357</v>
      </c>
    </row>
    <row r="6486" spans="1:11" x14ac:dyDescent="0.25">
      <c r="A6486">
        <v>2025</v>
      </c>
      <c r="B6486" t="s">
        <v>2609</v>
      </c>
      <c r="C6486" t="s">
        <v>2610</v>
      </c>
      <c r="D6486" t="s">
        <v>19</v>
      </c>
      <c r="E6486" t="s">
        <v>20</v>
      </c>
      <c r="F6486" t="str">
        <f>"43607"</f>
        <v>43607</v>
      </c>
      <c r="G6486" t="str">
        <f>"751639"</f>
        <v>751639</v>
      </c>
      <c r="H6486" s="2">
        <f>1.5</f>
        <v>1.5</v>
      </c>
      <c r="I6486" t="s">
        <v>27</v>
      </c>
      <c r="J6486" t="s">
        <v>96</v>
      </c>
      <c r="K6486" t="str">
        <f>"334982"</f>
        <v>334982</v>
      </c>
    </row>
    <row r="6487" spans="1:11" x14ac:dyDescent="0.25">
      <c r="A6487">
        <v>2025</v>
      </c>
      <c r="B6487" t="s">
        <v>2615</v>
      </c>
      <c r="C6487" t="s">
        <v>2616</v>
      </c>
      <c r="D6487" t="s">
        <v>105</v>
      </c>
      <c r="E6487" t="s">
        <v>20</v>
      </c>
      <c r="F6487" t="str">
        <f>"43528-7878"</f>
        <v>43528-7878</v>
      </c>
      <c r="G6487" t="str">
        <f>"753658"</f>
        <v>753658</v>
      </c>
      <c r="H6487" s="2">
        <f>10</f>
        <v>10</v>
      </c>
      <c r="I6487" t="s">
        <v>27</v>
      </c>
      <c r="J6487" t="s">
        <v>39</v>
      </c>
      <c r="K6487" t="str">
        <f>"128048"</f>
        <v>128048</v>
      </c>
    </row>
    <row r="6488" spans="1:11" x14ac:dyDescent="0.25">
      <c r="A6488">
        <v>2025</v>
      </c>
      <c r="B6488" t="s">
        <v>2627</v>
      </c>
      <c r="C6488" t="s">
        <v>2628</v>
      </c>
      <c r="D6488" t="s">
        <v>19</v>
      </c>
      <c r="E6488" t="s">
        <v>20</v>
      </c>
      <c r="F6488" t="str">
        <f>"43605-1515"</f>
        <v>43605-1515</v>
      </c>
      <c r="G6488" t="str">
        <f>"753658"</f>
        <v>753658</v>
      </c>
      <c r="H6488" s="2">
        <f>20</f>
        <v>20</v>
      </c>
      <c r="I6488" t="s">
        <v>27</v>
      </c>
      <c r="J6488" t="s">
        <v>39</v>
      </c>
      <c r="K6488" t="str">
        <f>"125451"</f>
        <v>125451</v>
      </c>
    </row>
    <row r="6489" spans="1:11" x14ac:dyDescent="0.25">
      <c r="A6489">
        <v>2025</v>
      </c>
      <c r="B6489" t="s">
        <v>2629</v>
      </c>
      <c r="C6489" t="s">
        <v>2630</v>
      </c>
      <c r="D6489" t="s">
        <v>50</v>
      </c>
      <c r="E6489" t="s">
        <v>20</v>
      </c>
      <c r="F6489" t="str">
        <f>"43560-3752"</f>
        <v>43560-3752</v>
      </c>
      <c r="G6489" t="str">
        <f>"753658"</f>
        <v>753658</v>
      </c>
      <c r="H6489" s="2">
        <f>10</f>
        <v>10</v>
      </c>
      <c r="I6489" t="s">
        <v>27</v>
      </c>
      <c r="J6489" t="s">
        <v>39</v>
      </c>
      <c r="K6489" t="str">
        <f>"125211"</f>
        <v>125211</v>
      </c>
    </row>
    <row r="6490" spans="1:11" x14ac:dyDescent="0.25">
      <c r="A6490">
        <v>2025</v>
      </c>
      <c r="B6490" t="s">
        <v>2631</v>
      </c>
      <c r="C6490" t="s">
        <v>2632</v>
      </c>
      <c r="D6490" t="s">
        <v>19</v>
      </c>
      <c r="E6490" t="s">
        <v>20</v>
      </c>
      <c r="F6490" t="str">
        <f>"43613-2979"</f>
        <v>43613-2979</v>
      </c>
      <c r="G6490" t="str">
        <f>"753658"</f>
        <v>753658</v>
      </c>
      <c r="H6490" s="2">
        <f>40</f>
        <v>40</v>
      </c>
      <c r="I6490" t="s">
        <v>27</v>
      </c>
      <c r="J6490" t="s">
        <v>39</v>
      </c>
      <c r="K6490" t="str">
        <f>"125561"</f>
        <v>125561</v>
      </c>
    </row>
    <row r="6491" spans="1:11" x14ac:dyDescent="0.25">
      <c r="A6491">
        <v>2025</v>
      </c>
      <c r="B6491" t="s">
        <v>2635</v>
      </c>
      <c r="C6491" t="s">
        <v>2636</v>
      </c>
      <c r="D6491" t="s">
        <v>19</v>
      </c>
      <c r="E6491" t="s">
        <v>20</v>
      </c>
      <c r="F6491" t="str">
        <f>"43606"</f>
        <v>43606</v>
      </c>
      <c r="G6491" t="str">
        <f>"Je12092025"</f>
        <v>Je12092025</v>
      </c>
      <c r="H6491" s="2">
        <f>20</f>
        <v>20</v>
      </c>
      <c r="I6491" t="s">
        <v>15</v>
      </c>
      <c r="J6491" t="s">
        <v>909</v>
      </c>
      <c r="K6491" t="str">
        <f>"60169897"</f>
        <v>60169897</v>
      </c>
    </row>
    <row r="6492" spans="1:11" x14ac:dyDescent="0.25">
      <c r="A6492">
        <v>2025</v>
      </c>
      <c r="B6492" t="s">
        <v>2641</v>
      </c>
      <c r="C6492" t="s">
        <v>2642</v>
      </c>
      <c r="D6492" t="s">
        <v>19</v>
      </c>
      <c r="E6492" t="s">
        <v>20</v>
      </c>
      <c r="F6492" t="str">
        <f>"43604"</f>
        <v>43604</v>
      </c>
      <c r="G6492" t="str">
        <f>"759796"</f>
        <v>759796</v>
      </c>
      <c r="H6492" s="2">
        <f>20</f>
        <v>20</v>
      </c>
      <c r="I6492" t="s">
        <v>27</v>
      </c>
      <c r="J6492" t="s">
        <v>188</v>
      </c>
      <c r="K6492" t="str">
        <f>"45433"</f>
        <v>45433</v>
      </c>
    </row>
    <row r="6493" spans="1:11" x14ac:dyDescent="0.25">
      <c r="A6493">
        <v>2025</v>
      </c>
      <c r="B6493" t="s">
        <v>2652</v>
      </c>
      <c r="C6493" t="s">
        <v>2653</v>
      </c>
      <c r="D6493" t="s">
        <v>512</v>
      </c>
      <c r="E6493" t="s">
        <v>20</v>
      </c>
      <c r="F6493" t="str">
        <f>"43512"</f>
        <v>43512</v>
      </c>
      <c r="G6493" t="str">
        <f>"759796"</f>
        <v>759796</v>
      </c>
      <c r="H6493" s="2">
        <f>6.8</f>
        <v>6.8</v>
      </c>
      <c r="I6493" t="s">
        <v>27</v>
      </c>
      <c r="J6493" t="s">
        <v>188</v>
      </c>
      <c r="K6493" t="str">
        <f>"45524"</f>
        <v>45524</v>
      </c>
    </row>
    <row r="6494" spans="1:11" x14ac:dyDescent="0.25">
      <c r="A6494">
        <v>2025</v>
      </c>
      <c r="B6494" t="s">
        <v>2658</v>
      </c>
      <c r="C6494" t="s">
        <v>1004</v>
      </c>
      <c r="D6494" t="s">
        <v>1005</v>
      </c>
      <c r="E6494" t="s">
        <v>20</v>
      </c>
      <c r="F6494" t="str">
        <f>"44139"</f>
        <v>44139</v>
      </c>
      <c r="G6494" t="str">
        <f>"759796"</f>
        <v>759796</v>
      </c>
      <c r="H6494" s="2">
        <f>110.85</f>
        <v>110.85</v>
      </c>
      <c r="I6494" t="s">
        <v>27</v>
      </c>
      <c r="J6494" t="s">
        <v>188</v>
      </c>
      <c r="K6494" t="str">
        <f>"45707"</f>
        <v>45707</v>
      </c>
    </row>
    <row r="6495" spans="1:11" x14ac:dyDescent="0.25">
      <c r="A6495">
        <v>2025</v>
      </c>
      <c r="B6495" t="s">
        <v>2658</v>
      </c>
      <c r="C6495" t="s">
        <v>1004</v>
      </c>
      <c r="D6495" t="s">
        <v>1005</v>
      </c>
      <c r="E6495" t="s">
        <v>20</v>
      </c>
      <c r="F6495" t="str">
        <f>"44139"</f>
        <v>44139</v>
      </c>
      <c r="G6495" t="str">
        <f>"759796"</f>
        <v>759796</v>
      </c>
      <c r="H6495" s="2">
        <f>157.85</f>
        <v>157.85</v>
      </c>
      <c r="I6495" t="s">
        <v>27</v>
      </c>
      <c r="J6495" t="s">
        <v>188</v>
      </c>
      <c r="K6495" t="str">
        <f>"44875"</f>
        <v>44875</v>
      </c>
    </row>
    <row r="6496" spans="1:11" x14ac:dyDescent="0.25">
      <c r="A6496">
        <v>2025</v>
      </c>
      <c r="B6496" t="s">
        <v>2659</v>
      </c>
      <c r="C6496" t="s">
        <v>1004</v>
      </c>
      <c r="D6496" t="s">
        <v>1005</v>
      </c>
      <c r="E6496" t="s">
        <v>20</v>
      </c>
      <c r="F6496" t="str">
        <f>"44139"</f>
        <v>44139</v>
      </c>
      <c r="G6496" t="str">
        <f>"759796"</f>
        <v>759796</v>
      </c>
      <c r="H6496" s="2">
        <f>130.4</f>
        <v>130.4</v>
      </c>
      <c r="I6496" t="s">
        <v>27</v>
      </c>
      <c r="J6496" t="s">
        <v>188</v>
      </c>
      <c r="K6496" t="str">
        <f>"45122"</f>
        <v>45122</v>
      </c>
    </row>
    <row r="6497" spans="1:11" x14ac:dyDescent="0.25">
      <c r="A6497">
        <v>2025</v>
      </c>
      <c r="B6497" t="s">
        <v>2662</v>
      </c>
      <c r="C6497" t="s">
        <v>2663</v>
      </c>
      <c r="D6497" t="s">
        <v>58</v>
      </c>
      <c r="E6497" t="s">
        <v>20</v>
      </c>
      <c r="F6497" t="str">
        <f>"43616-2305"</f>
        <v>43616-2305</v>
      </c>
      <c r="G6497" t="str">
        <f>"753658"</f>
        <v>753658</v>
      </c>
      <c r="H6497" s="2">
        <f>30</f>
        <v>30</v>
      </c>
      <c r="I6497" t="s">
        <v>27</v>
      </c>
      <c r="J6497" t="s">
        <v>39</v>
      </c>
      <c r="K6497" t="str">
        <f>"126980"</f>
        <v>126980</v>
      </c>
    </row>
    <row r="6498" spans="1:11" x14ac:dyDescent="0.25">
      <c r="A6498">
        <v>2025</v>
      </c>
      <c r="B6498" t="s">
        <v>2666</v>
      </c>
      <c r="C6498" t="s">
        <v>2667</v>
      </c>
      <c r="D6498" t="s">
        <v>125</v>
      </c>
      <c r="E6498" t="s">
        <v>20</v>
      </c>
      <c r="F6498" t="str">
        <f>"43537-3145"</f>
        <v>43537-3145</v>
      </c>
      <c r="G6498" t="str">
        <f>"753658"</f>
        <v>753658</v>
      </c>
      <c r="H6498" s="2">
        <f>10</f>
        <v>10</v>
      </c>
      <c r="I6498" t="s">
        <v>27</v>
      </c>
      <c r="J6498" t="s">
        <v>39</v>
      </c>
      <c r="K6498" t="str">
        <f>"131851"</f>
        <v>131851</v>
      </c>
    </row>
    <row r="6499" spans="1:11" x14ac:dyDescent="0.25">
      <c r="A6499">
        <v>2025</v>
      </c>
      <c r="B6499" t="s">
        <v>2672</v>
      </c>
      <c r="C6499" t="s">
        <v>2673</v>
      </c>
      <c r="D6499" t="s">
        <v>19</v>
      </c>
      <c r="E6499" t="s">
        <v>20</v>
      </c>
      <c r="F6499" t="str">
        <f>"43623-1113"</f>
        <v>43623-1113</v>
      </c>
      <c r="G6499" t="str">
        <f>"753658"</f>
        <v>753658</v>
      </c>
      <c r="H6499" s="2">
        <f>10</f>
        <v>10</v>
      </c>
      <c r="I6499" t="s">
        <v>27</v>
      </c>
      <c r="J6499" t="s">
        <v>39</v>
      </c>
      <c r="K6499" t="str">
        <f>"129621"</f>
        <v>129621</v>
      </c>
    </row>
    <row r="6500" spans="1:11" x14ac:dyDescent="0.25">
      <c r="A6500">
        <v>2025</v>
      </c>
      <c r="B6500" t="s">
        <v>2674</v>
      </c>
      <c r="C6500" t="s">
        <v>2675</v>
      </c>
      <c r="D6500" t="s">
        <v>422</v>
      </c>
      <c r="E6500" t="s">
        <v>20</v>
      </c>
      <c r="F6500" t="str">
        <f>"44114"</f>
        <v>44114</v>
      </c>
      <c r="G6500" t="str">
        <f>"759796"</f>
        <v>759796</v>
      </c>
      <c r="H6500" s="2">
        <f>20</f>
        <v>20</v>
      </c>
      <c r="I6500" t="s">
        <v>27</v>
      </c>
      <c r="J6500" t="s">
        <v>188</v>
      </c>
      <c r="K6500" t="str">
        <f>"44577"</f>
        <v>44577</v>
      </c>
    </row>
    <row r="6501" spans="1:11" x14ac:dyDescent="0.25">
      <c r="A6501">
        <v>2025</v>
      </c>
      <c r="B6501" t="s">
        <v>2700</v>
      </c>
      <c r="C6501" t="s">
        <v>2701</v>
      </c>
      <c r="D6501" t="s">
        <v>19</v>
      </c>
      <c r="E6501" t="s">
        <v>20</v>
      </c>
      <c r="F6501" t="str">
        <f>"43614-1212"</f>
        <v>43614-1212</v>
      </c>
      <c r="G6501" t="str">
        <f>"753658"</f>
        <v>753658</v>
      </c>
      <c r="H6501" s="2">
        <f>10</f>
        <v>10</v>
      </c>
      <c r="I6501" t="s">
        <v>27</v>
      </c>
      <c r="J6501" t="s">
        <v>39</v>
      </c>
      <c r="K6501" t="str">
        <f>"127036"</f>
        <v>127036</v>
      </c>
    </row>
    <row r="6502" spans="1:11" x14ac:dyDescent="0.25">
      <c r="A6502">
        <v>2025</v>
      </c>
      <c r="B6502" t="s">
        <v>2704</v>
      </c>
      <c r="C6502" t="s">
        <v>2705</v>
      </c>
      <c r="D6502" t="s">
        <v>19</v>
      </c>
      <c r="E6502" t="s">
        <v>20</v>
      </c>
      <c r="F6502" t="str">
        <f>"43615-3230"</f>
        <v>43615-3230</v>
      </c>
      <c r="G6502" t="str">
        <f>"753658"</f>
        <v>753658</v>
      </c>
      <c r="H6502" s="2">
        <f>10</f>
        <v>10</v>
      </c>
      <c r="I6502" t="s">
        <v>27</v>
      </c>
      <c r="J6502" t="s">
        <v>39</v>
      </c>
      <c r="K6502" t="str">
        <f>"127797"</f>
        <v>127797</v>
      </c>
    </row>
    <row r="6503" spans="1:11" x14ac:dyDescent="0.25">
      <c r="A6503">
        <v>2025</v>
      </c>
      <c r="B6503" t="s">
        <v>2718</v>
      </c>
      <c r="C6503" t="s">
        <v>2719</v>
      </c>
      <c r="D6503" t="s">
        <v>19</v>
      </c>
      <c r="E6503" t="s">
        <v>20</v>
      </c>
      <c r="F6503" t="str">
        <f>"43608"</f>
        <v>43608</v>
      </c>
      <c r="G6503" t="str">
        <f>"751639"</f>
        <v>751639</v>
      </c>
      <c r="H6503" s="2">
        <f>28.4</f>
        <v>28.4</v>
      </c>
      <c r="I6503" t="s">
        <v>27</v>
      </c>
      <c r="J6503" t="s">
        <v>96</v>
      </c>
      <c r="K6503" t="str">
        <f>"335146"</f>
        <v>335146</v>
      </c>
    </row>
    <row r="6504" spans="1:11" x14ac:dyDescent="0.25">
      <c r="A6504">
        <v>2025</v>
      </c>
      <c r="B6504" t="s">
        <v>2729</v>
      </c>
      <c r="C6504" t="s">
        <v>2730</v>
      </c>
      <c r="D6504" t="s">
        <v>164</v>
      </c>
      <c r="E6504" t="s">
        <v>20</v>
      </c>
      <c r="F6504" t="str">
        <f>"43558-9680"</f>
        <v>43558-9680</v>
      </c>
      <c r="G6504" t="str">
        <f>"753658"</f>
        <v>753658</v>
      </c>
      <c r="H6504" s="2">
        <f>10</f>
        <v>10</v>
      </c>
      <c r="I6504" t="s">
        <v>27</v>
      </c>
      <c r="J6504" t="s">
        <v>39</v>
      </c>
      <c r="K6504" t="str">
        <f>"127652"</f>
        <v>127652</v>
      </c>
    </row>
    <row r="6505" spans="1:11" x14ac:dyDescent="0.25">
      <c r="A6505">
        <v>2025</v>
      </c>
      <c r="B6505" t="s">
        <v>2735</v>
      </c>
      <c r="C6505" t="s">
        <v>2736</v>
      </c>
      <c r="D6505" t="s">
        <v>45</v>
      </c>
      <c r="E6505" t="s">
        <v>20</v>
      </c>
      <c r="F6505" t="str">
        <f>"43542-9730"</f>
        <v>43542-9730</v>
      </c>
      <c r="G6505" t="str">
        <f>"753658"</f>
        <v>753658</v>
      </c>
      <c r="H6505" s="2">
        <f>30</f>
        <v>30</v>
      </c>
      <c r="I6505" t="s">
        <v>27</v>
      </c>
      <c r="J6505" t="s">
        <v>39</v>
      </c>
      <c r="K6505" t="str">
        <f>"126075"</f>
        <v>126075</v>
      </c>
    </row>
    <row r="6506" spans="1:11" x14ac:dyDescent="0.25">
      <c r="A6506">
        <v>2025</v>
      </c>
      <c r="B6506" t="s">
        <v>2741</v>
      </c>
      <c r="C6506" t="s">
        <v>2742</v>
      </c>
      <c r="D6506" t="s">
        <v>19</v>
      </c>
      <c r="E6506" t="s">
        <v>20</v>
      </c>
      <c r="F6506" t="str">
        <f>"43623-1413"</f>
        <v>43623-1413</v>
      </c>
      <c r="G6506" t="str">
        <f>"753658"</f>
        <v>753658</v>
      </c>
      <c r="H6506" s="2">
        <f>20</f>
        <v>20</v>
      </c>
      <c r="I6506" t="s">
        <v>27</v>
      </c>
      <c r="J6506" t="s">
        <v>39</v>
      </c>
      <c r="K6506" t="str">
        <f>"131071"</f>
        <v>131071</v>
      </c>
    </row>
    <row r="6507" spans="1:11" x14ac:dyDescent="0.25">
      <c r="A6507">
        <v>2025</v>
      </c>
      <c r="B6507" t="s">
        <v>2745</v>
      </c>
      <c r="C6507" t="s">
        <v>2746</v>
      </c>
      <c r="D6507" t="s">
        <v>19</v>
      </c>
      <c r="E6507" t="s">
        <v>20</v>
      </c>
      <c r="F6507" t="str">
        <f>"43609-1834"</f>
        <v>43609-1834</v>
      </c>
      <c r="G6507" t="str">
        <f>"753658"</f>
        <v>753658</v>
      </c>
      <c r="H6507" s="2">
        <f>30</f>
        <v>30</v>
      </c>
      <c r="I6507" t="s">
        <v>27</v>
      </c>
      <c r="J6507" t="s">
        <v>39</v>
      </c>
      <c r="K6507" t="str">
        <f>"128122"</f>
        <v>128122</v>
      </c>
    </row>
    <row r="6508" spans="1:11" x14ac:dyDescent="0.25">
      <c r="A6508">
        <v>2025</v>
      </c>
      <c r="B6508" t="s">
        <v>2745</v>
      </c>
      <c r="C6508" t="s">
        <v>2746</v>
      </c>
      <c r="D6508" t="s">
        <v>19</v>
      </c>
      <c r="E6508" t="s">
        <v>20</v>
      </c>
      <c r="F6508" t="str">
        <f>"43609-1834"</f>
        <v>43609-1834</v>
      </c>
      <c r="G6508" t="str">
        <f>"753658"</f>
        <v>753658</v>
      </c>
      <c r="H6508" s="2">
        <f>30</f>
        <v>30</v>
      </c>
      <c r="I6508" t="s">
        <v>27</v>
      </c>
      <c r="J6508" t="s">
        <v>39</v>
      </c>
      <c r="K6508" t="str">
        <f>"128234"</f>
        <v>128234</v>
      </c>
    </row>
    <row r="6509" spans="1:11" x14ac:dyDescent="0.25">
      <c r="A6509">
        <v>2025</v>
      </c>
      <c r="B6509" t="s">
        <v>2755</v>
      </c>
      <c r="C6509" t="s">
        <v>2756</v>
      </c>
      <c r="D6509" t="s">
        <v>19</v>
      </c>
      <c r="E6509" t="s">
        <v>20</v>
      </c>
      <c r="F6509" t="str">
        <f>"43605"</f>
        <v>43605</v>
      </c>
      <c r="G6509" t="str">
        <f>"Je04082025"</f>
        <v>Je04082025</v>
      </c>
      <c r="H6509" s="2">
        <f>21.25</f>
        <v>21.25</v>
      </c>
      <c r="I6509" t="s">
        <v>15</v>
      </c>
      <c r="J6509" t="s">
        <v>24</v>
      </c>
      <c r="K6509" t="str">
        <f>"60146263"</f>
        <v>60146263</v>
      </c>
    </row>
    <row r="6510" spans="1:11" x14ac:dyDescent="0.25">
      <c r="A6510">
        <v>2025</v>
      </c>
      <c r="B6510" t="s">
        <v>2769</v>
      </c>
      <c r="C6510" t="s">
        <v>2770</v>
      </c>
      <c r="D6510" t="s">
        <v>64</v>
      </c>
      <c r="E6510" t="s">
        <v>20</v>
      </c>
      <c r="F6510" t="str">
        <f>"43566-1059"</f>
        <v>43566-1059</v>
      </c>
      <c r="G6510" t="str">
        <f t="shared" ref="G6510:G6519" si="225">"753658"</f>
        <v>753658</v>
      </c>
      <c r="H6510" s="2">
        <f>20</f>
        <v>20</v>
      </c>
      <c r="I6510" t="s">
        <v>27</v>
      </c>
      <c r="J6510" t="s">
        <v>39</v>
      </c>
      <c r="K6510" t="str">
        <f>"129768"</f>
        <v>129768</v>
      </c>
    </row>
    <row r="6511" spans="1:11" x14ac:dyDescent="0.25">
      <c r="A6511">
        <v>2025</v>
      </c>
      <c r="B6511" t="s">
        <v>2773</v>
      </c>
      <c r="C6511" t="s">
        <v>2774</v>
      </c>
      <c r="D6511" t="s">
        <v>50</v>
      </c>
      <c r="E6511" t="s">
        <v>20</v>
      </c>
      <c r="F6511" t="str">
        <f>"43560-2935"</f>
        <v>43560-2935</v>
      </c>
      <c r="G6511" t="str">
        <f t="shared" si="225"/>
        <v>753658</v>
      </c>
      <c r="H6511" s="2">
        <f>10</f>
        <v>10</v>
      </c>
      <c r="I6511" t="s">
        <v>27</v>
      </c>
      <c r="J6511" t="s">
        <v>39</v>
      </c>
      <c r="K6511" t="str">
        <f>"126358"</f>
        <v>126358</v>
      </c>
    </row>
    <row r="6512" spans="1:11" x14ac:dyDescent="0.25">
      <c r="A6512">
        <v>2025</v>
      </c>
      <c r="B6512" t="s">
        <v>2790</v>
      </c>
      <c r="C6512" t="s">
        <v>2791</v>
      </c>
      <c r="D6512" t="s">
        <v>19</v>
      </c>
      <c r="E6512" t="s">
        <v>20</v>
      </c>
      <c r="F6512" t="str">
        <f>"43617-1841"</f>
        <v>43617-1841</v>
      </c>
      <c r="G6512" t="str">
        <f t="shared" si="225"/>
        <v>753658</v>
      </c>
      <c r="H6512" s="2">
        <f>10</f>
        <v>10</v>
      </c>
      <c r="I6512" t="s">
        <v>27</v>
      </c>
      <c r="J6512" t="s">
        <v>39</v>
      </c>
      <c r="K6512" t="str">
        <f>"128124"</f>
        <v>128124</v>
      </c>
    </row>
    <row r="6513" spans="1:11" x14ac:dyDescent="0.25">
      <c r="A6513">
        <v>2025</v>
      </c>
      <c r="B6513" t="s">
        <v>2794</v>
      </c>
      <c r="C6513" t="s">
        <v>2795</v>
      </c>
      <c r="D6513" t="s">
        <v>19</v>
      </c>
      <c r="E6513" t="s">
        <v>20</v>
      </c>
      <c r="F6513" t="str">
        <f>"43611-2245"</f>
        <v>43611-2245</v>
      </c>
      <c r="G6513" t="str">
        <f t="shared" si="225"/>
        <v>753658</v>
      </c>
      <c r="H6513" s="2">
        <f>10</f>
        <v>10</v>
      </c>
      <c r="I6513" t="s">
        <v>27</v>
      </c>
      <c r="J6513" t="s">
        <v>39</v>
      </c>
      <c r="K6513" t="str">
        <f>"128063"</f>
        <v>128063</v>
      </c>
    </row>
    <row r="6514" spans="1:11" x14ac:dyDescent="0.25">
      <c r="A6514">
        <v>2025</v>
      </c>
      <c r="B6514" t="s">
        <v>2798</v>
      </c>
      <c r="C6514" t="s">
        <v>2799</v>
      </c>
      <c r="D6514" t="s">
        <v>19</v>
      </c>
      <c r="E6514" t="s">
        <v>20</v>
      </c>
      <c r="F6514" t="str">
        <f>"43611-2908"</f>
        <v>43611-2908</v>
      </c>
      <c r="G6514" t="str">
        <f t="shared" si="225"/>
        <v>753658</v>
      </c>
      <c r="H6514" s="2">
        <f>10</f>
        <v>10</v>
      </c>
      <c r="I6514" t="s">
        <v>27</v>
      </c>
      <c r="J6514" t="s">
        <v>39</v>
      </c>
      <c r="K6514" t="str">
        <f>"131616"</f>
        <v>131616</v>
      </c>
    </row>
    <row r="6515" spans="1:11" x14ac:dyDescent="0.25">
      <c r="A6515">
        <v>2025</v>
      </c>
      <c r="B6515" t="s">
        <v>2804</v>
      </c>
      <c r="C6515" t="s">
        <v>2805</v>
      </c>
      <c r="D6515" t="s">
        <v>19</v>
      </c>
      <c r="E6515" t="s">
        <v>20</v>
      </c>
      <c r="F6515" t="str">
        <f>"43607-1011"</f>
        <v>43607-1011</v>
      </c>
      <c r="G6515" t="str">
        <f t="shared" si="225"/>
        <v>753658</v>
      </c>
      <c r="H6515" s="2">
        <f>10</f>
        <v>10</v>
      </c>
      <c r="I6515" t="s">
        <v>27</v>
      </c>
      <c r="J6515" t="s">
        <v>39</v>
      </c>
      <c r="K6515" t="str">
        <f>"128394"</f>
        <v>128394</v>
      </c>
    </row>
    <row r="6516" spans="1:11" x14ac:dyDescent="0.25">
      <c r="A6516">
        <v>2025</v>
      </c>
      <c r="B6516" t="s">
        <v>2816</v>
      </c>
      <c r="C6516" t="s">
        <v>2817</v>
      </c>
      <c r="D6516" t="s">
        <v>120</v>
      </c>
      <c r="E6516" t="s">
        <v>20</v>
      </c>
      <c r="F6516" t="str">
        <f>"43522-9621"</f>
        <v>43522-9621</v>
      </c>
      <c r="G6516" t="str">
        <f t="shared" si="225"/>
        <v>753658</v>
      </c>
      <c r="H6516" s="2">
        <f>30</f>
        <v>30</v>
      </c>
      <c r="I6516" t="s">
        <v>27</v>
      </c>
      <c r="J6516" t="s">
        <v>39</v>
      </c>
      <c r="K6516" t="str">
        <f>"127920"</f>
        <v>127920</v>
      </c>
    </row>
    <row r="6517" spans="1:11" x14ac:dyDescent="0.25">
      <c r="A6517">
        <v>2025</v>
      </c>
      <c r="B6517" t="s">
        <v>2820</v>
      </c>
      <c r="C6517" t="s">
        <v>2821</v>
      </c>
      <c r="D6517" t="s">
        <v>50</v>
      </c>
      <c r="E6517" t="s">
        <v>20</v>
      </c>
      <c r="F6517" t="str">
        <f>"43560-1232"</f>
        <v>43560-1232</v>
      </c>
      <c r="G6517" t="str">
        <f t="shared" si="225"/>
        <v>753658</v>
      </c>
      <c r="H6517" s="2">
        <f>30</f>
        <v>30</v>
      </c>
      <c r="I6517" t="s">
        <v>27</v>
      </c>
      <c r="J6517" t="s">
        <v>39</v>
      </c>
      <c r="K6517" t="str">
        <f>"125448"</f>
        <v>125448</v>
      </c>
    </row>
    <row r="6518" spans="1:11" x14ac:dyDescent="0.25">
      <c r="A6518">
        <v>2025</v>
      </c>
      <c r="B6518" t="s">
        <v>2826</v>
      </c>
      <c r="C6518" t="s">
        <v>2807</v>
      </c>
      <c r="D6518" t="s">
        <v>58</v>
      </c>
      <c r="E6518" t="s">
        <v>20</v>
      </c>
      <c r="F6518" t="str">
        <f>"43616-4507"</f>
        <v>43616-4507</v>
      </c>
      <c r="G6518" t="str">
        <f t="shared" si="225"/>
        <v>753658</v>
      </c>
      <c r="H6518" s="2">
        <f>20</f>
        <v>20</v>
      </c>
      <c r="I6518" t="s">
        <v>27</v>
      </c>
      <c r="J6518" t="s">
        <v>39</v>
      </c>
      <c r="K6518" t="str">
        <f>"126090"</f>
        <v>126090</v>
      </c>
    </row>
    <row r="6519" spans="1:11" x14ac:dyDescent="0.25">
      <c r="A6519">
        <v>2025</v>
      </c>
      <c r="B6519" t="s">
        <v>2829</v>
      </c>
      <c r="C6519" t="s">
        <v>2830</v>
      </c>
      <c r="D6519" t="s">
        <v>58</v>
      </c>
      <c r="E6519" t="s">
        <v>20</v>
      </c>
      <c r="F6519" t="str">
        <f>"43616-1106"</f>
        <v>43616-1106</v>
      </c>
      <c r="G6519" t="str">
        <f t="shared" si="225"/>
        <v>753658</v>
      </c>
      <c r="H6519" s="2">
        <f>20</f>
        <v>20</v>
      </c>
      <c r="I6519" t="s">
        <v>27</v>
      </c>
      <c r="J6519" t="s">
        <v>39</v>
      </c>
      <c r="K6519" t="str">
        <f>"126496"</f>
        <v>126496</v>
      </c>
    </row>
    <row r="6520" spans="1:11" x14ac:dyDescent="0.25">
      <c r="A6520">
        <v>2025</v>
      </c>
      <c r="B6520" t="s">
        <v>2837</v>
      </c>
      <c r="C6520" t="s">
        <v>2838</v>
      </c>
      <c r="D6520" t="s">
        <v>19</v>
      </c>
      <c r="E6520" t="s">
        <v>20</v>
      </c>
      <c r="F6520" t="str">
        <f>"43605"</f>
        <v>43605</v>
      </c>
      <c r="G6520" t="str">
        <f>"759796"</f>
        <v>759796</v>
      </c>
      <c r="H6520" s="2">
        <f>60.25</f>
        <v>60.25</v>
      </c>
      <c r="I6520" t="s">
        <v>27</v>
      </c>
      <c r="J6520" t="s">
        <v>188</v>
      </c>
      <c r="K6520" t="str">
        <f>"45405"</f>
        <v>45405</v>
      </c>
    </row>
    <row r="6521" spans="1:11" x14ac:dyDescent="0.25">
      <c r="A6521">
        <v>2025</v>
      </c>
      <c r="B6521" t="s">
        <v>2841</v>
      </c>
      <c r="C6521" t="s">
        <v>2842</v>
      </c>
      <c r="D6521" t="s">
        <v>19</v>
      </c>
      <c r="E6521" t="s">
        <v>20</v>
      </c>
      <c r="F6521" t="str">
        <f>"43609-2634"</f>
        <v>43609-2634</v>
      </c>
      <c r="G6521" t="str">
        <f t="shared" ref="G6521:G6527" si="226">"753658"</f>
        <v>753658</v>
      </c>
      <c r="H6521" s="2">
        <f>20</f>
        <v>20</v>
      </c>
      <c r="I6521" t="s">
        <v>27</v>
      </c>
      <c r="J6521" t="s">
        <v>39</v>
      </c>
      <c r="K6521" t="str">
        <f>"125402"</f>
        <v>125402</v>
      </c>
    </row>
    <row r="6522" spans="1:11" x14ac:dyDescent="0.25">
      <c r="A6522">
        <v>2025</v>
      </c>
      <c r="B6522" t="s">
        <v>2845</v>
      </c>
      <c r="C6522" t="s">
        <v>2846</v>
      </c>
      <c r="D6522" t="s">
        <v>19</v>
      </c>
      <c r="E6522" t="s">
        <v>20</v>
      </c>
      <c r="F6522" t="str">
        <f>"43611-3109"</f>
        <v>43611-3109</v>
      </c>
      <c r="G6522" t="str">
        <f t="shared" si="226"/>
        <v>753658</v>
      </c>
      <c r="H6522" s="2">
        <f>20</f>
        <v>20</v>
      </c>
      <c r="I6522" t="s">
        <v>27</v>
      </c>
      <c r="J6522" t="s">
        <v>39</v>
      </c>
      <c r="K6522" t="str">
        <f>"126801"</f>
        <v>126801</v>
      </c>
    </row>
    <row r="6523" spans="1:11" x14ac:dyDescent="0.25">
      <c r="A6523">
        <v>2025</v>
      </c>
      <c r="B6523" t="s">
        <v>2859</v>
      </c>
      <c r="C6523" t="s">
        <v>2860</v>
      </c>
      <c r="D6523" t="s">
        <v>125</v>
      </c>
      <c r="E6523" t="s">
        <v>20</v>
      </c>
      <c r="F6523" t="str">
        <f>"43537-3305"</f>
        <v>43537-3305</v>
      </c>
      <c r="G6523" t="str">
        <f t="shared" si="226"/>
        <v>753658</v>
      </c>
      <c r="H6523" s="2">
        <f>40</f>
        <v>40</v>
      </c>
      <c r="I6523" t="s">
        <v>27</v>
      </c>
      <c r="J6523" t="s">
        <v>39</v>
      </c>
      <c r="K6523" t="str">
        <f>"130072"</f>
        <v>130072</v>
      </c>
    </row>
    <row r="6524" spans="1:11" x14ac:dyDescent="0.25">
      <c r="A6524">
        <v>2025</v>
      </c>
      <c r="B6524" t="s">
        <v>2861</v>
      </c>
      <c r="C6524" t="s">
        <v>2862</v>
      </c>
      <c r="D6524" t="s">
        <v>19</v>
      </c>
      <c r="E6524" t="s">
        <v>20</v>
      </c>
      <c r="F6524" t="str">
        <f>"43606-2610"</f>
        <v>43606-2610</v>
      </c>
      <c r="G6524" t="str">
        <f t="shared" si="226"/>
        <v>753658</v>
      </c>
      <c r="H6524" s="2">
        <f>20</f>
        <v>20</v>
      </c>
      <c r="I6524" t="s">
        <v>27</v>
      </c>
      <c r="J6524" t="s">
        <v>39</v>
      </c>
      <c r="K6524" t="str">
        <f>"131080"</f>
        <v>131080</v>
      </c>
    </row>
    <row r="6525" spans="1:11" x14ac:dyDescent="0.25">
      <c r="A6525">
        <v>2025</v>
      </c>
      <c r="B6525" t="s">
        <v>2863</v>
      </c>
      <c r="C6525" t="s">
        <v>2864</v>
      </c>
      <c r="D6525" t="s">
        <v>19</v>
      </c>
      <c r="E6525" t="s">
        <v>20</v>
      </c>
      <c r="F6525" t="str">
        <f>"43613-4219"</f>
        <v>43613-4219</v>
      </c>
      <c r="G6525" t="str">
        <f t="shared" si="226"/>
        <v>753658</v>
      </c>
      <c r="H6525" s="2">
        <f>10</f>
        <v>10</v>
      </c>
      <c r="I6525" t="s">
        <v>27</v>
      </c>
      <c r="J6525" t="s">
        <v>39</v>
      </c>
      <c r="K6525" t="str">
        <f>"129351"</f>
        <v>129351</v>
      </c>
    </row>
    <row r="6526" spans="1:11" x14ac:dyDescent="0.25">
      <c r="A6526">
        <v>2025</v>
      </c>
      <c r="B6526" t="s">
        <v>2875</v>
      </c>
      <c r="C6526" t="s">
        <v>2876</v>
      </c>
      <c r="D6526" t="s">
        <v>19</v>
      </c>
      <c r="E6526" t="s">
        <v>20</v>
      </c>
      <c r="F6526" t="str">
        <f>"43615-6340"</f>
        <v>43615-6340</v>
      </c>
      <c r="G6526" t="str">
        <f t="shared" si="226"/>
        <v>753658</v>
      </c>
      <c r="H6526" s="2">
        <f>10</f>
        <v>10</v>
      </c>
      <c r="I6526" t="s">
        <v>27</v>
      </c>
      <c r="J6526" t="s">
        <v>39</v>
      </c>
      <c r="K6526" t="str">
        <f>"129041"</f>
        <v>129041</v>
      </c>
    </row>
    <row r="6527" spans="1:11" x14ac:dyDescent="0.25">
      <c r="A6527">
        <v>2025</v>
      </c>
      <c r="B6527" t="s">
        <v>2881</v>
      </c>
      <c r="C6527" t="s">
        <v>2882</v>
      </c>
      <c r="D6527" t="s">
        <v>19</v>
      </c>
      <c r="E6527" t="s">
        <v>20</v>
      </c>
      <c r="F6527" t="str">
        <f>"43615-7157"</f>
        <v>43615-7157</v>
      </c>
      <c r="G6527" t="str">
        <f t="shared" si="226"/>
        <v>753658</v>
      </c>
      <c r="H6527" s="2">
        <f>10</f>
        <v>10</v>
      </c>
      <c r="I6527" t="s">
        <v>27</v>
      </c>
      <c r="J6527" t="s">
        <v>39</v>
      </c>
      <c r="K6527" t="str">
        <f>"128127"</f>
        <v>128127</v>
      </c>
    </row>
    <row r="6528" spans="1:11" x14ac:dyDescent="0.25">
      <c r="A6528">
        <v>2025</v>
      </c>
      <c r="B6528" t="s">
        <v>2891</v>
      </c>
      <c r="C6528" t="s">
        <v>2892</v>
      </c>
      <c r="D6528" t="s">
        <v>19</v>
      </c>
      <c r="E6528" t="s">
        <v>20</v>
      </c>
      <c r="F6528" t="str">
        <f>"43605"</f>
        <v>43605</v>
      </c>
      <c r="G6528" t="str">
        <f>"Je07082025"</f>
        <v>Je07082025</v>
      </c>
      <c r="H6528" s="2">
        <f>271.01</f>
        <v>271.01</v>
      </c>
      <c r="I6528" t="s">
        <v>15</v>
      </c>
      <c r="J6528" t="s">
        <v>185</v>
      </c>
      <c r="K6528" t="str">
        <f>"60152116"</f>
        <v>60152116</v>
      </c>
    </row>
    <row r="6529" spans="1:11" x14ac:dyDescent="0.25">
      <c r="A6529">
        <v>2025</v>
      </c>
      <c r="B6529" t="s">
        <v>2901</v>
      </c>
      <c r="C6529" t="s">
        <v>2902</v>
      </c>
      <c r="D6529" t="s">
        <v>19</v>
      </c>
      <c r="E6529" t="s">
        <v>20</v>
      </c>
      <c r="F6529" t="str">
        <f>"43614-0754"</f>
        <v>43614-0754</v>
      </c>
      <c r="G6529" t="str">
        <f>"753658"</f>
        <v>753658</v>
      </c>
      <c r="H6529" s="2">
        <f>10</f>
        <v>10</v>
      </c>
      <c r="I6529" t="s">
        <v>27</v>
      </c>
      <c r="J6529" t="s">
        <v>39</v>
      </c>
      <c r="K6529" t="str">
        <f>"126570"</f>
        <v>126570</v>
      </c>
    </row>
    <row r="6530" spans="1:11" x14ac:dyDescent="0.25">
      <c r="A6530">
        <v>2025</v>
      </c>
      <c r="B6530" t="s">
        <v>2910</v>
      </c>
      <c r="C6530" t="s">
        <v>2911</v>
      </c>
      <c r="D6530" t="s">
        <v>19</v>
      </c>
      <c r="E6530" t="s">
        <v>20</v>
      </c>
      <c r="F6530" t="str">
        <f>"43608"</f>
        <v>43608</v>
      </c>
      <c r="G6530" t="str">
        <f>"753658"</f>
        <v>753658</v>
      </c>
      <c r="H6530" s="2">
        <f>20</f>
        <v>20</v>
      </c>
      <c r="I6530" t="s">
        <v>27</v>
      </c>
      <c r="J6530" t="s">
        <v>39</v>
      </c>
      <c r="K6530" t="str">
        <f>"126153"</f>
        <v>126153</v>
      </c>
    </row>
    <row r="6531" spans="1:11" x14ac:dyDescent="0.25">
      <c r="A6531">
        <v>2025</v>
      </c>
      <c r="B6531" t="s">
        <v>2918</v>
      </c>
      <c r="C6531" t="s">
        <v>2919</v>
      </c>
      <c r="D6531" t="s">
        <v>19</v>
      </c>
      <c r="E6531" t="s">
        <v>20</v>
      </c>
      <c r="F6531" t="str">
        <f>"43615-6351"</f>
        <v>43615-6351</v>
      </c>
      <c r="G6531" t="str">
        <f>"753658"</f>
        <v>753658</v>
      </c>
      <c r="H6531" s="2">
        <f>80</f>
        <v>80</v>
      </c>
      <c r="I6531" t="s">
        <v>27</v>
      </c>
      <c r="J6531" t="s">
        <v>39</v>
      </c>
      <c r="K6531" t="str">
        <f>"127909"</f>
        <v>127909</v>
      </c>
    </row>
    <row r="6532" spans="1:11" x14ac:dyDescent="0.25">
      <c r="A6532">
        <v>2025</v>
      </c>
      <c r="B6532" t="s">
        <v>2920</v>
      </c>
      <c r="C6532" t="s">
        <v>2921</v>
      </c>
      <c r="D6532" t="s">
        <v>19</v>
      </c>
      <c r="E6532" t="s">
        <v>20</v>
      </c>
      <c r="F6532" t="str">
        <f>"43607"</f>
        <v>43607</v>
      </c>
      <c r="G6532" t="str">
        <f>"Je07082025"</f>
        <v>Je07082025</v>
      </c>
      <c r="H6532" s="2">
        <f>203</f>
        <v>203</v>
      </c>
      <c r="I6532" t="s">
        <v>15</v>
      </c>
      <c r="J6532" t="s">
        <v>185</v>
      </c>
      <c r="K6532" t="str">
        <f>"60149157"</f>
        <v>60149157</v>
      </c>
    </row>
    <row r="6533" spans="1:11" x14ac:dyDescent="0.25">
      <c r="A6533">
        <v>2025</v>
      </c>
      <c r="B6533" t="s">
        <v>2949</v>
      </c>
      <c r="C6533" t="s">
        <v>2950</v>
      </c>
      <c r="D6533" t="s">
        <v>323</v>
      </c>
      <c r="E6533" t="s">
        <v>20</v>
      </c>
      <c r="F6533" t="str">
        <f>"43571-9660"</f>
        <v>43571-9660</v>
      </c>
      <c r="G6533" t="str">
        <f t="shared" ref="G6533:G6538" si="227">"753658"</f>
        <v>753658</v>
      </c>
      <c r="H6533" s="2">
        <f>20</f>
        <v>20</v>
      </c>
      <c r="I6533" t="s">
        <v>27</v>
      </c>
      <c r="J6533" t="s">
        <v>39</v>
      </c>
      <c r="K6533" t="str">
        <f>"129117"</f>
        <v>129117</v>
      </c>
    </row>
    <row r="6534" spans="1:11" x14ac:dyDescent="0.25">
      <c r="A6534">
        <v>2025</v>
      </c>
      <c r="B6534" t="s">
        <v>2951</v>
      </c>
      <c r="C6534" t="s">
        <v>2952</v>
      </c>
      <c r="D6534" t="s">
        <v>125</v>
      </c>
      <c r="E6534" t="s">
        <v>20</v>
      </c>
      <c r="F6534" t="str">
        <f>"43537-3148"</f>
        <v>43537-3148</v>
      </c>
      <c r="G6534" t="str">
        <f t="shared" si="227"/>
        <v>753658</v>
      </c>
      <c r="H6534" s="2">
        <f>10</f>
        <v>10</v>
      </c>
      <c r="I6534" t="s">
        <v>27</v>
      </c>
      <c r="J6534" t="s">
        <v>39</v>
      </c>
      <c r="K6534" t="str">
        <f>"127768"</f>
        <v>127768</v>
      </c>
    </row>
    <row r="6535" spans="1:11" x14ac:dyDescent="0.25">
      <c r="A6535">
        <v>2025</v>
      </c>
      <c r="B6535" t="s">
        <v>2955</v>
      </c>
      <c r="C6535" t="s">
        <v>2956</v>
      </c>
      <c r="D6535" t="s">
        <v>19</v>
      </c>
      <c r="E6535" t="s">
        <v>20</v>
      </c>
      <c r="F6535" t="str">
        <f>"43615-2731"</f>
        <v>43615-2731</v>
      </c>
      <c r="G6535" t="str">
        <f t="shared" si="227"/>
        <v>753658</v>
      </c>
      <c r="H6535" s="2">
        <f>20</f>
        <v>20</v>
      </c>
      <c r="I6535" t="s">
        <v>27</v>
      </c>
      <c r="J6535" t="s">
        <v>39</v>
      </c>
      <c r="K6535" t="str">
        <f>"129165"</f>
        <v>129165</v>
      </c>
    </row>
    <row r="6536" spans="1:11" x14ac:dyDescent="0.25">
      <c r="A6536">
        <v>2025</v>
      </c>
      <c r="B6536" t="s">
        <v>2957</v>
      </c>
      <c r="C6536" t="s">
        <v>2958</v>
      </c>
      <c r="D6536" t="s">
        <v>19</v>
      </c>
      <c r="E6536" t="s">
        <v>20</v>
      </c>
      <c r="F6536" t="str">
        <f>"43615-3339"</f>
        <v>43615-3339</v>
      </c>
      <c r="G6536" t="str">
        <f t="shared" si="227"/>
        <v>753658</v>
      </c>
      <c r="H6536" s="2">
        <f>10</f>
        <v>10</v>
      </c>
      <c r="I6536" t="s">
        <v>27</v>
      </c>
      <c r="J6536" t="s">
        <v>39</v>
      </c>
      <c r="K6536" t="str">
        <f>"128139"</f>
        <v>128139</v>
      </c>
    </row>
    <row r="6537" spans="1:11" x14ac:dyDescent="0.25">
      <c r="A6537">
        <v>2025</v>
      </c>
      <c r="B6537" t="s">
        <v>2965</v>
      </c>
      <c r="C6537" t="s">
        <v>2966</v>
      </c>
      <c r="D6537" t="s">
        <v>50</v>
      </c>
      <c r="E6537" t="s">
        <v>20</v>
      </c>
      <c r="F6537" t="str">
        <f>"43560-1191"</f>
        <v>43560-1191</v>
      </c>
      <c r="G6537" t="str">
        <f t="shared" si="227"/>
        <v>753658</v>
      </c>
      <c r="H6537" s="2">
        <f>10</f>
        <v>10</v>
      </c>
      <c r="I6537" t="s">
        <v>27</v>
      </c>
      <c r="J6537" t="s">
        <v>39</v>
      </c>
      <c r="K6537" t="str">
        <f>"126822"</f>
        <v>126822</v>
      </c>
    </row>
    <row r="6538" spans="1:11" x14ac:dyDescent="0.25">
      <c r="A6538">
        <v>2025</v>
      </c>
      <c r="B6538" t="s">
        <v>2969</v>
      </c>
      <c r="C6538" t="s">
        <v>2971</v>
      </c>
      <c r="D6538" t="s">
        <v>19</v>
      </c>
      <c r="E6538" t="s">
        <v>20</v>
      </c>
      <c r="F6538" t="str">
        <f>"43620-1184"</f>
        <v>43620-1184</v>
      </c>
      <c r="G6538" t="str">
        <f t="shared" si="227"/>
        <v>753658</v>
      </c>
      <c r="H6538" s="2">
        <f>10</f>
        <v>10</v>
      </c>
      <c r="I6538" t="s">
        <v>27</v>
      </c>
      <c r="J6538" t="s">
        <v>39</v>
      </c>
      <c r="K6538" t="str">
        <f>"131696"</f>
        <v>131696</v>
      </c>
    </row>
    <row r="6539" spans="1:11" x14ac:dyDescent="0.25">
      <c r="A6539">
        <v>2025</v>
      </c>
      <c r="B6539" t="s">
        <v>2972</v>
      </c>
      <c r="C6539" t="s">
        <v>2973</v>
      </c>
      <c r="D6539" t="s">
        <v>50</v>
      </c>
      <c r="E6539" t="s">
        <v>20</v>
      </c>
      <c r="F6539" t="str">
        <f>"43560"</f>
        <v>43560</v>
      </c>
      <c r="G6539" t="str">
        <f>"751639"</f>
        <v>751639</v>
      </c>
      <c r="H6539" s="2">
        <f>7.3</f>
        <v>7.3</v>
      </c>
      <c r="I6539" t="s">
        <v>27</v>
      </c>
      <c r="J6539" t="s">
        <v>96</v>
      </c>
      <c r="K6539" t="str">
        <f>"334843"</f>
        <v>334843</v>
      </c>
    </row>
    <row r="6540" spans="1:11" x14ac:dyDescent="0.25">
      <c r="A6540">
        <v>2025</v>
      </c>
      <c r="B6540" t="s">
        <v>2981</v>
      </c>
      <c r="C6540" t="s">
        <v>2982</v>
      </c>
      <c r="D6540" t="s">
        <v>19</v>
      </c>
      <c r="E6540" t="s">
        <v>20</v>
      </c>
      <c r="F6540" t="str">
        <f>"43611-2130"</f>
        <v>43611-2130</v>
      </c>
      <c r="G6540" t="str">
        <f>"753658"</f>
        <v>753658</v>
      </c>
      <c r="H6540" s="2">
        <f>10</f>
        <v>10</v>
      </c>
      <c r="I6540" t="s">
        <v>27</v>
      </c>
      <c r="J6540" t="s">
        <v>39</v>
      </c>
      <c r="K6540" t="str">
        <f>"128324"</f>
        <v>128324</v>
      </c>
    </row>
    <row r="6541" spans="1:11" x14ac:dyDescent="0.25">
      <c r="A6541">
        <v>2025</v>
      </c>
      <c r="B6541" t="s">
        <v>2983</v>
      </c>
      <c r="C6541" t="s">
        <v>2984</v>
      </c>
      <c r="D6541" t="s">
        <v>125</v>
      </c>
      <c r="E6541" t="s">
        <v>20</v>
      </c>
      <c r="F6541" t="str">
        <f>"43537-3070"</f>
        <v>43537-3070</v>
      </c>
      <c r="G6541" t="str">
        <f>"753658"</f>
        <v>753658</v>
      </c>
      <c r="H6541" s="2">
        <f>10</f>
        <v>10</v>
      </c>
      <c r="I6541" t="s">
        <v>27</v>
      </c>
      <c r="J6541" t="s">
        <v>39</v>
      </c>
      <c r="K6541" t="str">
        <f>"128070"</f>
        <v>128070</v>
      </c>
    </row>
    <row r="6542" spans="1:11" x14ac:dyDescent="0.25">
      <c r="A6542">
        <v>2025</v>
      </c>
      <c r="B6542" t="s">
        <v>2985</v>
      </c>
      <c r="C6542" t="s">
        <v>2986</v>
      </c>
      <c r="D6542" t="s">
        <v>19</v>
      </c>
      <c r="E6542" t="s">
        <v>20</v>
      </c>
      <c r="F6542" t="str">
        <f>"43614-3424"</f>
        <v>43614-3424</v>
      </c>
      <c r="G6542" t="str">
        <f>"753658"</f>
        <v>753658</v>
      </c>
      <c r="H6542" s="2">
        <f>30</f>
        <v>30</v>
      </c>
      <c r="I6542" t="s">
        <v>27</v>
      </c>
      <c r="J6542" t="s">
        <v>39</v>
      </c>
      <c r="K6542" t="str">
        <f>"126017"</f>
        <v>126017</v>
      </c>
    </row>
    <row r="6543" spans="1:11" x14ac:dyDescent="0.25">
      <c r="A6543">
        <v>2025</v>
      </c>
      <c r="B6543" t="s">
        <v>2997</v>
      </c>
      <c r="C6543" t="s">
        <v>2998</v>
      </c>
      <c r="D6543" t="s">
        <v>50</v>
      </c>
      <c r="E6543" t="s">
        <v>20</v>
      </c>
      <c r="F6543" t="str">
        <f>"43560-9617"</f>
        <v>43560-9617</v>
      </c>
      <c r="G6543" t="str">
        <f>"753658"</f>
        <v>753658</v>
      </c>
      <c r="H6543" s="2">
        <f>30</f>
        <v>30</v>
      </c>
      <c r="I6543" t="s">
        <v>27</v>
      </c>
      <c r="J6543" t="s">
        <v>39</v>
      </c>
      <c r="K6543" t="str">
        <f>"126867"</f>
        <v>126867</v>
      </c>
    </row>
    <row r="6544" spans="1:11" x14ac:dyDescent="0.25">
      <c r="A6544">
        <v>2025</v>
      </c>
      <c r="B6544" t="s">
        <v>3005</v>
      </c>
      <c r="C6544" t="s">
        <v>3006</v>
      </c>
      <c r="D6544" t="s">
        <v>19</v>
      </c>
      <c r="E6544" t="s">
        <v>20</v>
      </c>
      <c r="F6544" t="str">
        <f>"43612"</f>
        <v>43612</v>
      </c>
      <c r="G6544" t="str">
        <f>"772209"</f>
        <v>772209</v>
      </c>
      <c r="H6544" s="2">
        <f>143.82</f>
        <v>143.82</v>
      </c>
      <c r="I6544" t="s">
        <v>27</v>
      </c>
      <c r="J6544" t="s">
        <v>691</v>
      </c>
      <c r="K6544" t="str">
        <f>"N/A"</f>
        <v>N/A</v>
      </c>
    </row>
    <row r="6545" spans="1:11" x14ac:dyDescent="0.25">
      <c r="A6545">
        <v>2025</v>
      </c>
      <c r="B6545" t="s">
        <v>3007</v>
      </c>
      <c r="C6545" t="s">
        <v>2978</v>
      </c>
      <c r="D6545" t="s">
        <v>19</v>
      </c>
      <c r="E6545" t="s">
        <v>20</v>
      </c>
      <c r="F6545" t="str">
        <f>"43608-2321"</f>
        <v>43608-2321</v>
      </c>
      <c r="G6545" t="str">
        <f t="shared" ref="G6545:G6555" si="228">"753658"</f>
        <v>753658</v>
      </c>
      <c r="H6545" s="2">
        <f>40</f>
        <v>40</v>
      </c>
      <c r="I6545" t="s">
        <v>27</v>
      </c>
      <c r="J6545" t="s">
        <v>39</v>
      </c>
      <c r="K6545" t="str">
        <f>"127683"</f>
        <v>127683</v>
      </c>
    </row>
    <row r="6546" spans="1:11" x14ac:dyDescent="0.25">
      <c r="A6546">
        <v>2025</v>
      </c>
      <c r="B6546" t="s">
        <v>3015</v>
      </c>
      <c r="C6546" t="s">
        <v>3016</v>
      </c>
      <c r="D6546" t="s">
        <v>19</v>
      </c>
      <c r="E6546" t="s">
        <v>20</v>
      </c>
      <c r="F6546" t="str">
        <f>"43609-1916"</f>
        <v>43609-1916</v>
      </c>
      <c r="G6546" t="str">
        <f t="shared" si="228"/>
        <v>753658</v>
      </c>
      <c r="H6546" s="2">
        <f>30</f>
        <v>30</v>
      </c>
      <c r="I6546" t="s">
        <v>27</v>
      </c>
      <c r="J6546" t="s">
        <v>39</v>
      </c>
      <c r="K6546" t="str">
        <f>"129199"</f>
        <v>129199</v>
      </c>
    </row>
    <row r="6547" spans="1:11" x14ac:dyDescent="0.25">
      <c r="A6547">
        <v>2025</v>
      </c>
      <c r="B6547" t="s">
        <v>3025</v>
      </c>
      <c r="C6547" t="s">
        <v>3026</v>
      </c>
      <c r="D6547" t="s">
        <v>19</v>
      </c>
      <c r="E6547" t="s">
        <v>20</v>
      </c>
      <c r="F6547" t="str">
        <f>"43613-3239"</f>
        <v>43613-3239</v>
      </c>
      <c r="G6547" t="str">
        <f t="shared" si="228"/>
        <v>753658</v>
      </c>
      <c r="H6547" s="2">
        <f>10</f>
        <v>10</v>
      </c>
      <c r="I6547" t="s">
        <v>27</v>
      </c>
      <c r="J6547" t="s">
        <v>39</v>
      </c>
      <c r="K6547" t="str">
        <f>"125535"</f>
        <v>125535</v>
      </c>
    </row>
    <row r="6548" spans="1:11" x14ac:dyDescent="0.25">
      <c r="A6548">
        <v>2025</v>
      </c>
      <c r="B6548" t="s">
        <v>3035</v>
      </c>
      <c r="C6548" t="s">
        <v>3036</v>
      </c>
      <c r="D6548" t="s">
        <v>58</v>
      </c>
      <c r="E6548" t="s">
        <v>20</v>
      </c>
      <c r="F6548" t="str">
        <f>"43616-2106"</f>
        <v>43616-2106</v>
      </c>
      <c r="G6548" t="str">
        <f t="shared" si="228"/>
        <v>753658</v>
      </c>
      <c r="H6548" s="2">
        <f>10</f>
        <v>10</v>
      </c>
      <c r="I6548" t="s">
        <v>27</v>
      </c>
      <c r="J6548" t="s">
        <v>39</v>
      </c>
      <c r="K6548" t="str">
        <f>"131626"</f>
        <v>131626</v>
      </c>
    </row>
    <row r="6549" spans="1:11" x14ac:dyDescent="0.25">
      <c r="A6549">
        <v>2025</v>
      </c>
      <c r="B6549" t="s">
        <v>3042</v>
      </c>
      <c r="C6549" t="s">
        <v>3043</v>
      </c>
      <c r="D6549" t="s">
        <v>19</v>
      </c>
      <c r="E6549" t="s">
        <v>20</v>
      </c>
      <c r="F6549" t="str">
        <f>"43611-2651"</f>
        <v>43611-2651</v>
      </c>
      <c r="G6549" t="str">
        <f t="shared" si="228"/>
        <v>753658</v>
      </c>
      <c r="H6549" s="2">
        <f>10</f>
        <v>10</v>
      </c>
      <c r="I6549" t="s">
        <v>27</v>
      </c>
      <c r="J6549" t="s">
        <v>39</v>
      </c>
      <c r="K6549" t="str">
        <f>"126427"</f>
        <v>126427</v>
      </c>
    </row>
    <row r="6550" spans="1:11" x14ac:dyDescent="0.25">
      <c r="A6550">
        <v>2025</v>
      </c>
      <c r="B6550" t="s">
        <v>3044</v>
      </c>
      <c r="C6550" t="s">
        <v>3045</v>
      </c>
      <c r="D6550" t="s">
        <v>19</v>
      </c>
      <c r="E6550" t="s">
        <v>20</v>
      </c>
      <c r="F6550" t="str">
        <f>"43605-3025"</f>
        <v>43605-3025</v>
      </c>
      <c r="G6550" t="str">
        <f t="shared" si="228"/>
        <v>753658</v>
      </c>
      <c r="H6550" s="2">
        <f>10</f>
        <v>10</v>
      </c>
      <c r="I6550" t="s">
        <v>27</v>
      </c>
      <c r="J6550" t="s">
        <v>39</v>
      </c>
      <c r="K6550" t="str">
        <f>"126950"</f>
        <v>126950</v>
      </c>
    </row>
    <row r="6551" spans="1:11" x14ac:dyDescent="0.25">
      <c r="A6551">
        <v>2025</v>
      </c>
      <c r="B6551" t="s">
        <v>3046</v>
      </c>
      <c r="C6551" t="s">
        <v>3047</v>
      </c>
      <c r="D6551" t="s">
        <v>19</v>
      </c>
      <c r="E6551" t="s">
        <v>20</v>
      </c>
      <c r="F6551" t="str">
        <f>"43623-3861"</f>
        <v>43623-3861</v>
      </c>
      <c r="G6551" t="str">
        <f t="shared" si="228"/>
        <v>753658</v>
      </c>
      <c r="H6551" s="2">
        <f>20</f>
        <v>20</v>
      </c>
      <c r="I6551" t="s">
        <v>27</v>
      </c>
      <c r="J6551" t="s">
        <v>39</v>
      </c>
      <c r="K6551" t="str">
        <f>"125968"</f>
        <v>125968</v>
      </c>
    </row>
    <row r="6552" spans="1:11" x14ac:dyDescent="0.25">
      <c r="A6552">
        <v>2025</v>
      </c>
      <c r="B6552" t="s">
        <v>3050</v>
      </c>
      <c r="C6552" t="s">
        <v>3051</v>
      </c>
      <c r="D6552" t="s">
        <v>19</v>
      </c>
      <c r="E6552" t="s">
        <v>20</v>
      </c>
      <c r="F6552" t="str">
        <f>"43615-4271"</f>
        <v>43615-4271</v>
      </c>
      <c r="G6552" t="str">
        <f t="shared" si="228"/>
        <v>753658</v>
      </c>
      <c r="H6552" s="2">
        <f>90</f>
        <v>90</v>
      </c>
      <c r="I6552" t="s">
        <v>27</v>
      </c>
      <c r="J6552" t="s">
        <v>39</v>
      </c>
      <c r="K6552" t="str">
        <f>"128677"</f>
        <v>128677</v>
      </c>
    </row>
    <row r="6553" spans="1:11" x14ac:dyDescent="0.25">
      <c r="A6553">
        <v>2025</v>
      </c>
      <c r="B6553" t="s">
        <v>3052</v>
      </c>
      <c r="C6553" t="s">
        <v>3053</v>
      </c>
      <c r="D6553" t="s">
        <v>19</v>
      </c>
      <c r="E6553" t="s">
        <v>20</v>
      </c>
      <c r="F6553" t="str">
        <f>"43608-1420"</f>
        <v>43608-1420</v>
      </c>
      <c r="G6553" t="str">
        <f t="shared" si="228"/>
        <v>753658</v>
      </c>
      <c r="H6553" s="2">
        <f>20</f>
        <v>20</v>
      </c>
      <c r="I6553" t="s">
        <v>27</v>
      </c>
      <c r="J6553" t="s">
        <v>39</v>
      </c>
      <c r="K6553" t="str">
        <f>"125540"</f>
        <v>125540</v>
      </c>
    </row>
    <row r="6554" spans="1:11" x14ac:dyDescent="0.25">
      <c r="A6554">
        <v>2025</v>
      </c>
      <c r="B6554" t="s">
        <v>3054</v>
      </c>
      <c r="C6554" t="s">
        <v>3055</v>
      </c>
      <c r="D6554" t="s">
        <v>105</v>
      </c>
      <c r="E6554" t="s">
        <v>20</v>
      </c>
      <c r="F6554" t="str">
        <f>"43528-9011"</f>
        <v>43528-9011</v>
      </c>
      <c r="G6554" t="str">
        <f t="shared" si="228"/>
        <v>753658</v>
      </c>
      <c r="H6554" s="2">
        <f>10</f>
        <v>10</v>
      </c>
      <c r="I6554" t="s">
        <v>27</v>
      </c>
      <c r="J6554" t="s">
        <v>39</v>
      </c>
      <c r="K6554" t="str">
        <f>"128789"</f>
        <v>128789</v>
      </c>
    </row>
    <row r="6555" spans="1:11" x14ac:dyDescent="0.25">
      <c r="A6555">
        <v>2025</v>
      </c>
      <c r="B6555" t="s">
        <v>3060</v>
      </c>
      <c r="C6555" t="s">
        <v>3061</v>
      </c>
      <c r="D6555" t="s">
        <v>50</v>
      </c>
      <c r="E6555" t="s">
        <v>20</v>
      </c>
      <c r="F6555" t="str">
        <f>"43560-3453"</f>
        <v>43560-3453</v>
      </c>
      <c r="G6555" t="str">
        <f t="shared" si="228"/>
        <v>753658</v>
      </c>
      <c r="H6555" s="2">
        <f>10</f>
        <v>10</v>
      </c>
      <c r="I6555" t="s">
        <v>27</v>
      </c>
      <c r="J6555" t="s">
        <v>39</v>
      </c>
      <c r="K6555" t="str">
        <f>"129473"</f>
        <v>129473</v>
      </c>
    </row>
    <row r="6556" spans="1:11" x14ac:dyDescent="0.25">
      <c r="A6556">
        <v>2025</v>
      </c>
      <c r="B6556" t="s">
        <v>3072</v>
      </c>
      <c r="C6556" t="s">
        <v>1734</v>
      </c>
      <c r="D6556" t="s">
        <v>19</v>
      </c>
      <c r="E6556" t="s">
        <v>20</v>
      </c>
      <c r="F6556" t="str">
        <f>"43604"</f>
        <v>43604</v>
      </c>
      <c r="G6556" t="str">
        <f>"759796"</f>
        <v>759796</v>
      </c>
      <c r="H6556" s="2">
        <f>20</f>
        <v>20</v>
      </c>
      <c r="I6556" t="s">
        <v>27</v>
      </c>
      <c r="J6556" t="s">
        <v>188</v>
      </c>
      <c r="K6556" t="str">
        <f>"45472"</f>
        <v>45472</v>
      </c>
    </row>
    <row r="6557" spans="1:11" x14ac:dyDescent="0.25">
      <c r="A6557">
        <v>2025</v>
      </c>
      <c r="B6557" t="s">
        <v>3086</v>
      </c>
      <c r="C6557" t="s">
        <v>3087</v>
      </c>
      <c r="D6557" t="s">
        <v>19</v>
      </c>
      <c r="E6557" t="s">
        <v>20</v>
      </c>
      <c r="F6557" t="str">
        <f>"43613-2015"</f>
        <v>43613-2015</v>
      </c>
      <c r="G6557" t="str">
        <f t="shared" ref="G6557:G6565" si="229">"753658"</f>
        <v>753658</v>
      </c>
      <c r="H6557" s="2">
        <f>20</f>
        <v>20</v>
      </c>
      <c r="I6557" t="s">
        <v>27</v>
      </c>
      <c r="J6557" t="s">
        <v>39</v>
      </c>
      <c r="K6557" t="str">
        <f>"125312"</f>
        <v>125312</v>
      </c>
    </row>
    <row r="6558" spans="1:11" x14ac:dyDescent="0.25">
      <c r="A6558">
        <v>2025</v>
      </c>
      <c r="B6558" t="s">
        <v>3088</v>
      </c>
      <c r="C6558" t="s">
        <v>3089</v>
      </c>
      <c r="D6558" t="s">
        <v>125</v>
      </c>
      <c r="E6558" t="s">
        <v>20</v>
      </c>
      <c r="F6558" t="str">
        <f>"43537-1102"</f>
        <v>43537-1102</v>
      </c>
      <c r="G6558" t="str">
        <f t="shared" si="229"/>
        <v>753658</v>
      </c>
      <c r="H6558" s="2">
        <f>40</f>
        <v>40</v>
      </c>
      <c r="I6558" t="s">
        <v>27</v>
      </c>
      <c r="J6558" t="s">
        <v>39</v>
      </c>
      <c r="K6558" t="str">
        <f>"127363"</f>
        <v>127363</v>
      </c>
    </row>
    <row r="6559" spans="1:11" x14ac:dyDescent="0.25">
      <c r="A6559">
        <v>2025</v>
      </c>
      <c r="B6559" t="s">
        <v>3102</v>
      </c>
      <c r="C6559" t="s">
        <v>3103</v>
      </c>
      <c r="D6559" t="s">
        <v>19</v>
      </c>
      <c r="E6559" t="s">
        <v>20</v>
      </c>
      <c r="F6559" t="str">
        <f>"43612"</f>
        <v>43612</v>
      </c>
      <c r="G6559" t="str">
        <f t="shared" si="229"/>
        <v>753658</v>
      </c>
      <c r="H6559" s="2">
        <f>20</f>
        <v>20</v>
      </c>
      <c r="I6559" t="s">
        <v>27</v>
      </c>
      <c r="J6559" t="s">
        <v>39</v>
      </c>
      <c r="K6559" t="str">
        <f>"131796"</f>
        <v>131796</v>
      </c>
    </row>
    <row r="6560" spans="1:11" x14ac:dyDescent="0.25">
      <c r="A6560">
        <v>2025</v>
      </c>
      <c r="B6560" t="s">
        <v>3109</v>
      </c>
      <c r="C6560" t="s">
        <v>3110</v>
      </c>
      <c r="D6560" t="s">
        <v>19</v>
      </c>
      <c r="E6560" t="s">
        <v>20</v>
      </c>
      <c r="F6560" t="str">
        <f>"43617-2217"</f>
        <v>43617-2217</v>
      </c>
      <c r="G6560" t="str">
        <f t="shared" si="229"/>
        <v>753658</v>
      </c>
      <c r="H6560" s="2">
        <f>10</f>
        <v>10</v>
      </c>
      <c r="I6560" t="s">
        <v>27</v>
      </c>
      <c r="J6560" t="s">
        <v>39</v>
      </c>
      <c r="K6560" t="str">
        <f>"126287"</f>
        <v>126287</v>
      </c>
    </row>
    <row r="6561" spans="1:11" x14ac:dyDescent="0.25">
      <c r="A6561">
        <v>2025</v>
      </c>
      <c r="B6561" t="s">
        <v>3146</v>
      </c>
      <c r="C6561" t="s">
        <v>3147</v>
      </c>
      <c r="D6561" t="s">
        <v>19</v>
      </c>
      <c r="E6561" t="s">
        <v>20</v>
      </c>
      <c r="F6561" t="str">
        <f>"43615-3526"</f>
        <v>43615-3526</v>
      </c>
      <c r="G6561" t="str">
        <f t="shared" si="229"/>
        <v>753658</v>
      </c>
      <c r="H6561" s="2">
        <f>10</f>
        <v>10</v>
      </c>
      <c r="I6561" t="s">
        <v>27</v>
      </c>
      <c r="J6561" t="s">
        <v>39</v>
      </c>
      <c r="K6561" t="str">
        <f>"126224"</f>
        <v>126224</v>
      </c>
    </row>
    <row r="6562" spans="1:11" x14ac:dyDescent="0.25">
      <c r="A6562">
        <v>2025</v>
      </c>
      <c r="B6562" t="s">
        <v>3148</v>
      </c>
      <c r="C6562" t="s">
        <v>3149</v>
      </c>
      <c r="D6562" t="s">
        <v>19</v>
      </c>
      <c r="E6562" t="s">
        <v>20</v>
      </c>
      <c r="F6562" t="str">
        <f>"43617-2139"</f>
        <v>43617-2139</v>
      </c>
      <c r="G6562" t="str">
        <f t="shared" si="229"/>
        <v>753658</v>
      </c>
      <c r="H6562" s="2">
        <f>20</f>
        <v>20</v>
      </c>
      <c r="I6562" t="s">
        <v>27</v>
      </c>
      <c r="J6562" t="s">
        <v>39</v>
      </c>
      <c r="K6562" t="str">
        <f>"131829"</f>
        <v>131829</v>
      </c>
    </row>
    <row r="6563" spans="1:11" x14ac:dyDescent="0.25">
      <c r="A6563">
        <v>2025</v>
      </c>
      <c r="B6563" t="s">
        <v>3158</v>
      </c>
      <c r="C6563" t="s">
        <v>3159</v>
      </c>
      <c r="D6563" t="s">
        <v>19</v>
      </c>
      <c r="E6563" t="s">
        <v>20</v>
      </c>
      <c r="F6563" t="str">
        <f>"43612-1516"</f>
        <v>43612-1516</v>
      </c>
      <c r="G6563" t="str">
        <f t="shared" si="229"/>
        <v>753658</v>
      </c>
      <c r="H6563" s="2">
        <f>10</f>
        <v>10</v>
      </c>
      <c r="I6563" t="s">
        <v>27</v>
      </c>
      <c r="J6563" t="s">
        <v>39</v>
      </c>
      <c r="K6563" t="str">
        <f>"129156"</f>
        <v>129156</v>
      </c>
    </row>
    <row r="6564" spans="1:11" x14ac:dyDescent="0.25">
      <c r="A6564">
        <v>2025</v>
      </c>
      <c r="B6564" t="s">
        <v>3166</v>
      </c>
      <c r="C6564" t="s">
        <v>3167</v>
      </c>
      <c r="D6564" t="s">
        <v>19</v>
      </c>
      <c r="E6564" t="s">
        <v>20</v>
      </c>
      <c r="F6564" t="str">
        <f>"43615-5235"</f>
        <v>43615-5235</v>
      </c>
      <c r="G6564" t="str">
        <f t="shared" si="229"/>
        <v>753658</v>
      </c>
      <c r="H6564" s="2">
        <f>20</f>
        <v>20</v>
      </c>
      <c r="I6564" t="s">
        <v>27</v>
      </c>
      <c r="J6564" t="s">
        <v>39</v>
      </c>
      <c r="K6564" t="str">
        <f>"126009"</f>
        <v>126009</v>
      </c>
    </row>
    <row r="6565" spans="1:11" x14ac:dyDescent="0.25">
      <c r="A6565">
        <v>2025</v>
      </c>
      <c r="B6565" t="s">
        <v>3172</v>
      </c>
      <c r="C6565" t="s">
        <v>3173</v>
      </c>
      <c r="D6565" t="s">
        <v>64</v>
      </c>
      <c r="E6565" t="s">
        <v>20</v>
      </c>
      <c r="F6565" t="str">
        <f>"43566-1233"</f>
        <v>43566-1233</v>
      </c>
      <c r="G6565" t="str">
        <f t="shared" si="229"/>
        <v>753658</v>
      </c>
      <c r="H6565" s="2">
        <f>10</f>
        <v>10</v>
      </c>
      <c r="I6565" t="s">
        <v>27</v>
      </c>
      <c r="J6565" t="s">
        <v>39</v>
      </c>
      <c r="K6565" t="str">
        <f>"129986"</f>
        <v>129986</v>
      </c>
    </row>
    <row r="6566" spans="1:11" x14ac:dyDescent="0.25">
      <c r="A6566">
        <v>2025</v>
      </c>
      <c r="B6566" t="s">
        <v>3180</v>
      </c>
      <c r="C6566" t="s">
        <v>3181</v>
      </c>
      <c r="D6566" t="s">
        <v>19</v>
      </c>
      <c r="E6566" t="s">
        <v>20</v>
      </c>
      <c r="F6566" t="str">
        <f>"43609"</f>
        <v>43609</v>
      </c>
      <c r="G6566" t="str">
        <f>"Je04082025"</f>
        <v>Je04082025</v>
      </c>
      <c r="H6566" s="2">
        <f>20</f>
        <v>20</v>
      </c>
      <c r="I6566" t="s">
        <v>15</v>
      </c>
      <c r="J6566" t="s">
        <v>24</v>
      </c>
      <c r="K6566" t="str">
        <f>"60146265"</f>
        <v>60146265</v>
      </c>
    </row>
    <row r="6567" spans="1:11" x14ac:dyDescent="0.25">
      <c r="A6567">
        <v>2025</v>
      </c>
      <c r="B6567" t="s">
        <v>3188</v>
      </c>
      <c r="C6567" t="s">
        <v>3189</v>
      </c>
      <c r="D6567" t="s">
        <v>58</v>
      </c>
      <c r="E6567" t="s">
        <v>20</v>
      </c>
      <c r="F6567" t="str">
        <f>"43616-4636"</f>
        <v>43616-4636</v>
      </c>
      <c r="G6567" t="str">
        <f>"753658"</f>
        <v>753658</v>
      </c>
      <c r="H6567" s="2">
        <f>30</f>
        <v>30</v>
      </c>
      <c r="I6567" t="s">
        <v>27</v>
      </c>
      <c r="J6567" t="s">
        <v>39</v>
      </c>
      <c r="K6567" t="str">
        <f>"132005"</f>
        <v>132005</v>
      </c>
    </row>
    <row r="6568" spans="1:11" x14ac:dyDescent="0.25">
      <c r="A6568">
        <v>2025</v>
      </c>
      <c r="B6568" t="s">
        <v>3196</v>
      </c>
      <c r="C6568" t="s">
        <v>3197</v>
      </c>
      <c r="D6568" t="s">
        <v>19</v>
      </c>
      <c r="E6568" t="s">
        <v>20</v>
      </c>
      <c r="F6568" t="str">
        <f>"43606"</f>
        <v>43606</v>
      </c>
      <c r="G6568" t="str">
        <f>"753658"</f>
        <v>753658</v>
      </c>
      <c r="H6568" s="2">
        <f>10</f>
        <v>10</v>
      </c>
      <c r="I6568" t="s">
        <v>27</v>
      </c>
      <c r="J6568" t="s">
        <v>39</v>
      </c>
      <c r="K6568" t="str">
        <f>"128339"</f>
        <v>128339</v>
      </c>
    </row>
    <row r="6569" spans="1:11" x14ac:dyDescent="0.25">
      <c r="A6569">
        <v>2025</v>
      </c>
      <c r="B6569" t="s">
        <v>3216</v>
      </c>
      <c r="C6569" t="s">
        <v>3217</v>
      </c>
      <c r="D6569" t="s">
        <v>19</v>
      </c>
      <c r="E6569" t="s">
        <v>20</v>
      </c>
      <c r="F6569" t="str">
        <f>"43614"</f>
        <v>43614</v>
      </c>
      <c r="G6569" t="str">
        <f>"759797"</f>
        <v>759797</v>
      </c>
      <c r="H6569" s="2">
        <f>745.43</f>
        <v>745.43</v>
      </c>
      <c r="I6569" t="s">
        <v>27</v>
      </c>
      <c r="J6569" t="s">
        <v>239</v>
      </c>
      <c r="K6569" t="str">
        <f>"N/A"</f>
        <v>N/A</v>
      </c>
    </row>
    <row r="6570" spans="1:11" x14ac:dyDescent="0.25">
      <c r="A6570">
        <v>2025</v>
      </c>
      <c r="B6570" t="s">
        <v>3226</v>
      </c>
      <c r="C6570" t="s">
        <v>3227</v>
      </c>
      <c r="D6570" t="s">
        <v>50</v>
      </c>
      <c r="E6570" t="s">
        <v>20</v>
      </c>
      <c r="F6570" t="str">
        <f>"43560-1804"</f>
        <v>43560-1804</v>
      </c>
      <c r="G6570" t="str">
        <f t="shared" ref="G6570:G6575" si="230">"753658"</f>
        <v>753658</v>
      </c>
      <c r="H6570" s="2">
        <f>10</f>
        <v>10</v>
      </c>
      <c r="I6570" t="s">
        <v>27</v>
      </c>
      <c r="J6570" t="s">
        <v>39</v>
      </c>
      <c r="K6570" t="str">
        <f>"128223"</f>
        <v>128223</v>
      </c>
    </row>
    <row r="6571" spans="1:11" x14ac:dyDescent="0.25">
      <c r="A6571">
        <v>2025</v>
      </c>
      <c r="B6571" t="s">
        <v>3230</v>
      </c>
      <c r="C6571" t="s">
        <v>3231</v>
      </c>
      <c r="D6571" t="s">
        <v>19</v>
      </c>
      <c r="E6571" t="s">
        <v>20</v>
      </c>
      <c r="F6571" t="str">
        <f>"43611-2101"</f>
        <v>43611-2101</v>
      </c>
      <c r="G6571" t="str">
        <f t="shared" si="230"/>
        <v>753658</v>
      </c>
      <c r="H6571" s="2">
        <f>20</f>
        <v>20</v>
      </c>
      <c r="I6571" t="s">
        <v>27</v>
      </c>
      <c r="J6571" t="s">
        <v>39</v>
      </c>
      <c r="K6571" t="str">
        <f>"125976"</f>
        <v>125976</v>
      </c>
    </row>
    <row r="6572" spans="1:11" x14ac:dyDescent="0.25">
      <c r="A6572">
        <v>2025</v>
      </c>
      <c r="B6572" t="s">
        <v>3234</v>
      </c>
      <c r="C6572" t="s">
        <v>3235</v>
      </c>
      <c r="D6572" t="s">
        <v>19</v>
      </c>
      <c r="E6572" t="s">
        <v>20</v>
      </c>
      <c r="F6572" t="str">
        <f>"43614-3926"</f>
        <v>43614-3926</v>
      </c>
      <c r="G6572" t="str">
        <f t="shared" si="230"/>
        <v>753658</v>
      </c>
      <c r="H6572" s="2">
        <f>20</f>
        <v>20</v>
      </c>
      <c r="I6572" t="s">
        <v>27</v>
      </c>
      <c r="J6572" t="s">
        <v>39</v>
      </c>
      <c r="K6572" t="str">
        <f>"128077"</f>
        <v>128077</v>
      </c>
    </row>
    <row r="6573" spans="1:11" x14ac:dyDescent="0.25">
      <c r="A6573">
        <v>2025</v>
      </c>
      <c r="B6573" t="s">
        <v>3242</v>
      </c>
      <c r="C6573" t="s">
        <v>3243</v>
      </c>
      <c r="D6573" t="s">
        <v>19</v>
      </c>
      <c r="E6573" t="s">
        <v>20</v>
      </c>
      <c r="F6573" t="str">
        <f>"43612"</f>
        <v>43612</v>
      </c>
      <c r="G6573" t="str">
        <f t="shared" si="230"/>
        <v>753658</v>
      </c>
      <c r="H6573" s="2">
        <f>10</f>
        <v>10</v>
      </c>
      <c r="I6573" t="s">
        <v>27</v>
      </c>
      <c r="J6573" t="s">
        <v>39</v>
      </c>
      <c r="K6573" t="str">
        <f>"126162"</f>
        <v>126162</v>
      </c>
    </row>
    <row r="6574" spans="1:11" x14ac:dyDescent="0.25">
      <c r="A6574">
        <v>2025</v>
      </c>
      <c r="B6574" t="s">
        <v>3247</v>
      </c>
      <c r="C6574" t="s">
        <v>3248</v>
      </c>
      <c r="D6574" t="s">
        <v>19</v>
      </c>
      <c r="E6574" t="s">
        <v>20</v>
      </c>
      <c r="F6574" t="str">
        <f>"43611-2730"</f>
        <v>43611-2730</v>
      </c>
      <c r="G6574" t="str">
        <f t="shared" si="230"/>
        <v>753658</v>
      </c>
      <c r="H6574" s="2">
        <f>10</f>
        <v>10</v>
      </c>
      <c r="I6574" t="s">
        <v>27</v>
      </c>
      <c r="J6574" t="s">
        <v>39</v>
      </c>
      <c r="K6574" t="str">
        <f>"131839"</f>
        <v>131839</v>
      </c>
    </row>
    <row r="6575" spans="1:11" x14ac:dyDescent="0.25">
      <c r="A6575">
        <v>2025</v>
      </c>
      <c r="B6575" t="s">
        <v>3257</v>
      </c>
      <c r="C6575" t="s">
        <v>3258</v>
      </c>
      <c r="D6575" t="s">
        <v>19</v>
      </c>
      <c r="E6575" t="s">
        <v>20</v>
      </c>
      <c r="F6575" t="str">
        <f>"43617-1440"</f>
        <v>43617-1440</v>
      </c>
      <c r="G6575" t="str">
        <f t="shared" si="230"/>
        <v>753658</v>
      </c>
      <c r="H6575" s="2">
        <f>40</f>
        <v>40</v>
      </c>
      <c r="I6575" t="s">
        <v>27</v>
      </c>
      <c r="J6575" t="s">
        <v>39</v>
      </c>
      <c r="K6575" t="str">
        <f>"132010"</f>
        <v>132010</v>
      </c>
    </row>
    <row r="6576" spans="1:11" x14ac:dyDescent="0.25">
      <c r="A6576">
        <v>2025</v>
      </c>
      <c r="B6576" t="s">
        <v>3259</v>
      </c>
      <c r="C6576" t="s">
        <v>3260</v>
      </c>
      <c r="D6576" t="s">
        <v>19</v>
      </c>
      <c r="E6576" t="s">
        <v>20</v>
      </c>
      <c r="F6576" t="str">
        <f>"43604"</f>
        <v>43604</v>
      </c>
      <c r="G6576" t="str">
        <f>"759796"</f>
        <v>759796</v>
      </c>
      <c r="H6576" s="2">
        <f>17.88</f>
        <v>17.88</v>
      </c>
      <c r="I6576" t="s">
        <v>27</v>
      </c>
      <c r="J6576" t="s">
        <v>188</v>
      </c>
      <c r="K6576" t="str">
        <f>"46752"</f>
        <v>46752</v>
      </c>
    </row>
    <row r="6577" spans="1:11" x14ac:dyDescent="0.25">
      <c r="A6577">
        <v>2025</v>
      </c>
      <c r="B6577" t="s">
        <v>3261</v>
      </c>
      <c r="C6577" t="s">
        <v>3262</v>
      </c>
      <c r="D6577" t="s">
        <v>19</v>
      </c>
      <c r="E6577" t="s">
        <v>20</v>
      </c>
      <c r="F6577" t="str">
        <f>"43614-3434"</f>
        <v>43614-3434</v>
      </c>
      <c r="G6577" t="str">
        <f t="shared" ref="G6577:G6588" si="231">"753658"</f>
        <v>753658</v>
      </c>
      <c r="H6577" s="2">
        <f>10</f>
        <v>10</v>
      </c>
      <c r="I6577" t="s">
        <v>27</v>
      </c>
      <c r="J6577" t="s">
        <v>39</v>
      </c>
      <c r="K6577" t="str">
        <f>"128030"</f>
        <v>128030</v>
      </c>
    </row>
    <row r="6578" spans="1:11" x14ac:dyDescent="0.25">
      <c r="A6578">
        <v>2025</v>
      </c>
      <c r="B6578" t="s">
        <v>3269</v>
      </c>
      <c r="C6578" t="s">
        <v>3270</v>
      </c>
      <c r="D6578" t="s">
        <v>58</v>
      </c>
      <c r="E6578" t="s">
        <v>20</v>
      </c>
      <c r="F6578" t="str">
        <f>"43616-1900"</f>
        <v>43616-1900</v>
      </c>
      <c r="G6578" t="str">
        <f t="shared" si="231"/>
        <v>753658</v>
      </c>
      <c r="H6578" s="2">
        <f>10</f>
        <v>10</v>
      </c>
      <c r="I6578" t="s">
        <v>27</v>
      </c>
      <c r="J6578" t="s">
        <v>39</v>
      </c>
      <c r="K6578" t="str">
        <f>"126135"</f>
        <v>126135</v>
      </c>
    </row>
    <row r="6579" spans="1:11" x14ac:dyDescent="0.25">
      <c r="A6579">
        <v>2025</v>
      </c>
      <c r="B6579" t="s">
        <v>3271</v>
      </c>
      <c r="C6579" t="s">
        <v>2251</v>
      </c>
      <c r="D6579" t="s">
        <v>125</v>
      </c>
      <c r="E6579" t="s">
        <v>20</v>
      </c>
      <c r="F6579" t="str">
        <f>"43537-1025"</f>
        <v>43537-1025</v>
      </c>
      <c r="G6579" t="str">
        <f t="shared" si="231"/>
        <v>753658</v>
      </c>
      <c r="H6579" s="2">
        <f>10</f>
        <v>10</v>
      </c>
      <c r="I6579" t="s">
        <v>27</v>
      </c>
      <c r="J6579" t="s">
        <v>39</v>
      </c>
      <c r="K6579" t="str">
        <f>"126721"</f>
        <v>126721</v>
      </c>
    </row>
    <row r="6580" spans="1:11" x14ac:dyDescent="0.25">
      <c r="A6580">
        <v>2025</v>
      </c>
      <c r="B6580" t="s">
        <v>3272</v>
      </c>
      <c r="C6580" t="s">
        <v>3273</v>
      </c>
      <c r="D6580" t="s">
        <v>50</v>
      </c>
      <c r="E6580" t="s">
        <v>20</v>
      </c>
      <c r="F6580" t="str">
        <f>"43560-3332"</f>
        <v>43560-3332</v>
      </c>
      <c r="G6580" t="str">
        <f t="shared" si="231"/>
        <v>753658</v>
      </c>
      <c r="H6580" s="2">
        <f>10</f>
        <v>10</v>
      </c>
      <c r="I6580" t="s">
        <v>27</v>
      </c>
      <c r="J6580" t="s">
        <v>39</v>
      </c>
      <c r="K6580" t="str">
        <f>"129552"</f>
        <v>129552</v>
      </c>
    </row>
    <row r="6581" spans="1:11" x14ac:dyDescent="0.25">
      <c r="A6581">
        <v>2025</v>
      </c>
      <c r="B6581" t="s">
        <v>3274</v>
      </c>
      <c r="C6581" t="s">
        <v>3275</v>
      </c>
      <c r="D6581" t="s">
        <v>19</v>
      </c>
      <c r="E6581" t="s">
        <v>20</v>
      </c>
      <c r="F6581" t="str">
        <f>"43608-2559"</f>
        <v>43608-2559</v>
      </c>
      <c r="G6581" t="str">
        <f t="shared" si="231"/>
        <v>753658</v>
      </c>
      <c r="H6581" s="2">
        <f>20</f>
        <v>20</v>
      </c>
      <c r="I6581" t="s">
        <v>27</v>
      </c>
      <c r="J6581" t="s">
        <v>39</v>
      </c>
      <c r="K6581" t="str">
        <f>"132055"</f>
        <v>132055</v>
      </c>
    </row>
    <row r="6582" spans="1:11" x14ac:dyDescent="0.25">
      <c r="A6582">
        <v>2025</v>
      </c>
      <c r="B6582" t="s">
        <v>3276</v>
      </c>
      <c r="C6582" t="s">
        <v>3277</v>
      </c>
      <c r="D6582" t="s">
        <v>19</v>
      </c>
      <c r="E6582" t="s">
        <v>20</v>
      </c>
      <c r="F6582" t="str">
        <f>"43614-1834"</f>
        <v>43614-1834</v>
      </c>
      <c r="G6582" t="str">
        <f t="shared" si="231"/>
        <v>753658</v>
      </c>
      <c r="H6582" s="2">
        <f>20</f>
        <v>20</v>
      </c>
      <c r="I6582" t="s">
        <v>27</v>
      </c>
      <c r="J6582" t="s">
        <v>39</v>
      </c>
      <c r="K6582" t="str">
        <f>"127930"</f>
        <v>127930</v>
      </c>
    </row>
    <row r="6583" spans="1:11" x14ac:dyDescent="0.25">
      <c r="A6583">
        <v>2025</v>
      </c>
      <c r="B6583" t="s">
        <v>3278</v>
      </c>
      <c r="C6583" t="s">
        <v>3279</v>
      </c>
      <c r="D6583" t="s">
        <v>19</v>
      </c>
      <c r="E6583" t="s">
        <v>20</v>
      </c>
      <c r="F6583" t="str">
        <f>"43613-5137"</f>
        <v>43613-5137</v>
      </c>
      <c r="G6583" t="str">
        <f t="shared" si="231"/>
        <v>753658</v>
      </c>
      <c r="H6583" s="2">
        <f>10</f>
        <v>10</v>
      </c>
      <c r="I6583" t="s">
        <v>27</v>
      </c>
      <c r="J6583" t="s">
        <v>39</v>
      </c>
      <c r="K6583" t="str">
        <f>"127199"</f>
        <v>127199</v>
      </c>
    </row>
    <row r="6584" spans="1:11" x14ac:dyDescent="0.25">
      <c r="A6584">
        <v>2025</v>
      </c>
      <c r="B6584" t="s">
        <v>3282</v>
      </c>
      <c r="C6584" t="s">
        <v>3283</v>
      </c>
      <c r="D6584" t="s">
        <v>19</v>
      </c>
      <c r="E6584" t="s">
        <v>20</v>
      </c>
      <c r="F6584" t="str">
        <f>"43614-4214"</f>
        <v>43614-4214</v>
      </c>
      <c r="G6584" t="str">
        <f t="shared" si="231"/>
        <v>753658</v>
      </c>
      <c r="H6584" s="2">
        <f>10</f>
        <v>10</v>
      </c>
      <c r="I6584" t="s">
        <v>27</v>
      </c>
      <c r="J6584" t="s">
        <v>39</v>
      </c>
      <c r="K6584" t="str">
        <f>"129177"</f>
        <v>129177</v>
      </c>
    </row>
    <row r="6585" spans="1:11" x14ac:dyDescent="0.25">
      <c r="A6585">
        <v>2025</v>
      </c>
      <c r="B6585" t="s">
        <v>3284</v>
      </c>
      <c r="C6585" t="s">
        <v>3285</v>
      </c>
      <c r="D6585" t="s">
        <v>19</v>
      </c>
      <c r="E6585" t="s">
        <v>20</v>
      </c>
      <c r="F6585" t="str">
        <f>"43611-2017"</f>
        <v>43611-2017</v>
      </c>
      <c r="G6585" t="str">
        <f t="shared" si="231"/>
        <v>753658</v>
      </c>
      <c r="H6585" s="2">
        <f>30</f>
        <v>30</v>
      </c>
      <c r="I6585" t="s">
        <v>27</v>
      </c>
      <c r="J6585" t="s">
        <v>39</v>
      </c>
      <c r="K6585" t="str">
        <f>"126123"</f>
        <v>126123</v>
      </c>
    </row>
    <row r="6586" spans="1:11" x14ac:dyDescent="0.25">
      <c r="A6586">
        <v>2025</v>
      </c>
      <c r="B6586" t="s">
        <v>3290</v>
      </c>
      <c r="C6586" t="s">
        <v>3291</v>
      </c>
      <c r="D6586" t="s">
        <v>323</v>
      </c>
      <c r="E6586" t="s">
        <v>20</v>
      </c>
      <c r="F6586" t="str">
        <f>"43571-9682"</f>
        <v>43571-9682</v>
      </c>
      <c r="G6586" t="str">
        <f t="shared" si="231"/>
        <v>753658</v>
      </c>
      <c r="H6586" s="2">
        <f>20</f>
        <v>20</v>
      </c>
      <c r="I6586" t="s">
        <v>27</v>
      </c>
      <c r="J6586" t="s">
        <v>39</v>
      </c>
      <c r="K6586" t="str">
        <f>"130856"</f>
        <v>130856</v>
      </c>
    </row>
    <row r="6587" spans="1:11" x14ac:dyDescent="0.25">
      <c r="A6587">
        <v>2025</v>
      </c>
      <c r="B6587" t="s">
        <v>3294</v>
      </c>
      <c r="C6587" t="s">
        <v>3295</v>
      </c>
      <c r="D6587" t="s">
        <v>19</v>
      </c>
      <c r="E6587" t="s">
        <v>20</v>
      </c>
      <c r="F6587" t="str">
        <f>"43611-2721"</f>
        <v>43611-2721</v>
      </c>
      <c r="G6587" t="str">
        <f t="shared" si="231"/>
        <v>753658</v>
      </c>
      <c r="H6587" s="2">
        <f>60</f>
        <v>60</v>
      </c>
      <c r="I6587" t="s">
        <v>27</v>
      </c>
      <c r="J6587" t="s">
        <v>39</v>
      </c>
      <c r="K6587" t="str">
        <f>"131819"</f>
        <v>131819</v>
      </c>
    </row>
    <row r="6588" spans="1:11" x14ac:dyDescent="0.25">
      <c r="A6588">
        <v>2025</v>
      </c>
      <c r="B6588" t="s">
        <v>3302</v>
      </c>
      <c r="C6588" t="s">
        <v>3303</v>
      </c>
      <c r="D6588" t="s">
        <v>19</v>
      </c>
      <c r="E6588" t="s">
        <v>20</v>
      </c>
      <c r="F6588" t="str">
        <f>"43613-4327"</f>
        <v>43613-4327</v>
      </c>
      <c r="G6588" t="str">
        <f t="shared" si="231"/>
        <v>753658</v>
      </c>
      <c r="H6588" s="2">
        <f>10</f>
        <v>10</v>
      </c>
      <c r="I6588" t="s">
        <v>27</v>
      </c>
      <c r="J6588" t="s">
        <v>39</v>
      </c>
      <c r="K6588" t="str">
        <f>"130018"</f>
        <v>130018</v>
      </c>
    </row>
    <row r="6589" spans="1:11" x14ac:dyDescent="0.25">
      <c r="A6589">
        <v>2025</v>
      </c>
      <c r="B6589" t="s">
        <v>3310</v>
      </c>
      <c r="C6589" t="s">
        <v>3312</v>
      </c>
      <c r="D6589" t="s">
        <v>1163</v>
      </c>
      <c r="E6589" t="s">
        <v>20</v>
      </c>
      <c r="F6589" t="str">
        <f>"45227"</f>
        <v>45227</v>
      </c>
      <c r="G6589" t="str">
        <f>"759796"</f>
        <v>759796</v>
      </c>
      <c r="H6589" s="2">
        <f>330.65</f>
        <v>330.65</v>
      </c>
      <c r="I6589" t="s">
        <v>27</v>
      </c>
      <c r="J6589" t="s">
        <v>188</v>
      </c>
      <c r="K6589" t="str">
        <f>"44480"</f>
        <v>44480</v>
      </c>
    </row>
    <row r="6590" spans="1:11" x14ac:dyDescent="0.25">
      <c r="A6590">
        <v>2025</v>
      </c>
      <c r="B6590" t="s">
        <v>3320</v>
      </c>
      <c r="C6590" t="s">
        <v>3321</v>
      </c>
      <c r="D6590" t="s">
        <v>19</v>
      </c>
      <c r="E6590" t="s">
        <v>20</v>
      </c>
      <c r="F6590" t="str">
        <f>"43623-3963"</f>
        <v>43623-3963</v>
      </c>
      <c r="G6590" t="str">
        <f t="shared" ref="G6590:G6598" si="232">"753658"</f>
        <v>753658</v>
      </c>
      <c r="H6590" s="2">
        <f>80</f>
        <v>80</v>
      </c>
      <c r="I6590" t="s">
        <v>27</v>
      </c>
      <c r="J6590" t="s">
        <v>39</v>
      </c>
      <c r="K6590" t="str">
        <f>"127673"</f>
        <v>127673</v>
      </c>
    </row>
    <row r="6591" spans="1:11" x14ac:dyDescent="0.25">
      <c r="A6591">
        <v>2025</v>
      </c>
      <c r="B6591" t="s">
        <v>3322</v>
      </c>
      <c r="C6591" t="s">
        <v>3323</v>
      </c>
      <c r="D6591" t="s">
        <v>64</v>
      </c>
      <c r="E6591" t="s">
        <v>20</v>
      </c>
      <c r="F6591" t="str">
        <f>"43566-1448"</f>
        <v>43566-1448</v>
      </c>
      <c r="G6591" t="str">
        <f t="shared" si="232"/>
        <v>753658</v>
      </c>
      <c r="H6591" s="2">
        <f>10</f>
        <v>10</v>
      </c>
      <c r="I6591" t="s">
        <v>27</v>
      </c>
      <c r="J6591" t="s">
        <v>39</v>
      </c>
      <c r="K6591" t="str">
        <f>"130929"</f>
        <v>130929</v>
      </c>
    </row>
    <row r="6592" spans="1:11" x14ac:dyDescent="0.25">
      <c r="A6592">
        <v>2025</v>
      </c>
      <c r="B6592" t="s">
        <v>3324</v>
      </c>
      <c r="C6592" t="s">
        <v>3325</v>
      </c>
      <c r="D6592" t="s">
        <v>1230</v>
      </c>
      <c r="E6592" t="s">
        <v>20</v>
      </c>
      <c r="F6592" t="str">
        <f>"43547"</f>
        <v>43547</v>
      </c>
      <c r="G6592" t="str">
        <f t="shared" si="232"/>
        <v>753658</v>
      </c>
      <c r="H6592" s="2">
        <f>20</f>
        <v>20</v>
      </c>
      <c r="I6592" t="s">
        <v>27</v>
      </c>
      <c r="J6592" t="s">
        <v>39</v>
      </c>
      <c r="K6592" t="str">
        <f>"127177"</f>
        <v>127177</v>
      </c>
    </row>
    <row r="6593" spans="1:11" x14ac:dyDescent="0.25">
      <c r="A6593">
        <v>2025</v>
      </c>
      <c r="B6593" t="s">
        <v>3326</v>
      </c>
      <c r="C6593" t="s">
        <v>3327</v>
      </c>
      <c r="D6593" t="s">
        <v>19</v>
      </c>
      <c r="E6593" t="s">
        <v>20</v>
      </c>
      <c r="F6593" t="str">
        <f>"43623-3239"</f>
        <v>43623-3239</v>
      </c>
      <c r="G6593" t="str">
        <f t="shared" si="232"/>
        <v>753658</v>
      </c>
      <c r="H6593" s="2">
        <f>30</f>
        <v>30</v>
      </c>
      <c r="I6593" t="s">
        <v>27</v>
      </c>
      <c r="J6593" t="s">
        <v>39</v>
      </c>
      <c r="K6593" t="str">
        <f>"125799"</f>
        <v>125799</v>
      </c>
    </row>
    <row r="6594" spans="1:11" x14ac:dyDescent="0.25">
      <c r="A6594">
        <v>2025</v>
      </c>
      <c r="B6594" t="s">
        <v>3332</v>
      </c>
      <c r="C6594" t="s">
        <v>3333</v>
      </c>
      <c r="D6594" t="s">
        <v>19</v>
      </c>
      <c r="E6594" t="s">
        <v>20</v>
      </c>
      <c r="F6594" t="str">
        <f>"43613-4202"</f>
        <v>43613-4202</v>
      </c>
      <c r="G6594" t="str">
        <f t="shared" si="232"/>
        <v>753658</v>
      </c>
      <c r="H6594" s="2">
        <f>20</f>
        <v>20</v>
      </c>
      <c r="I6594" t="s">
        <v>27</v>
      </c>
      <c r="J6594" t="s">
        <v>39</v>
      </c>
      <c r="K6594" t="str">
        <f>"125437"</f>
        <v>125437</v>
      </c>
    </row>
    <row r="6595" spans="1:11" x14ac:dyDescent="0.25">
      <c r="A6595">
        <v>2025</v>
      </c>
      <c r="B6595" t="s">
        <v>3334</v>
      </c>
      <c r="C6595" t="s">
        <v>3335</v>
      </c>
      <c r="D6595" t="s">
        <v>19</v>
      </c>
      <c r="E6595" t="s">
        <v>20</v>
      </c>
      <c r="F6595" t="str">
        <f>"43615-8244"</f>
        <v>43615-8244</v>
      </c>
      <c r="G6595" t="str">
        <f t="shared" si="232"/>
        <v>753658</v>
      </c>
      <c r="H6595" s="2">
        <f>10</f>
        <v>10</v>
      </c>
      <c r="I6595" t="s">
        <v>27</v>
      </c>
      <c r="J6595" t="s">
        <v>39</v>
      </c>
      <c r="K6595" t="str">
        <f>"127012"</f>
        <v>127012</v>
      </c>
    </row>
    <row r="6596" spans="1:11" x14ac:dyDescent="0.25">
      <c r="A6596">
        <v>2025</v>
      </c>
      <c r="B6596" t="s">
        <v>3342</v>
      </c>
      <c r="C6596" t="s">
        <v>3343</v>
      </c>
      <c r="D6596" t="s">
        <v>19</v>
      </c>
      <c r="E6596" t="s">
        <v>20</v>
      </c>
      <c r="F6596" t="str">
        <f>"43611-1914"</f>
        <v>43611-1914</v>
      </c>
      <c r="G6596" t="str">
        <f t="shared" si="232"/>
        <v>753658</v>
      </c>
      <c r="H6596" s="2">
        <f>40</f>
        <v>40</v>
      </c>
      <c r="I6596" t="s">
        <v>27</v>
      </c>
      <c r="J6596" t="s">
        <v>39</v>
      </c>
      <c r="K6596" t="str">
        <f>"127330"</f>
        <v>127330</v>
      </c>
    </row>
    <row r="6597" spans="1:11" x14ac:dyDescent="0.25">
      <c r="A6597">
        <v>2025</v>
      </c>
      <c r="B6597" t="s">
        <v>3346</v>
      </c>
      <c r="C6597" t="s">
        <v>3347</v>
      </c>
      <c r="D6597" t="s">
        <v>19</v>
      </c>
      <c r="E6597" t="s">
        <v>20</v>
      </c>
      <c r="F6597" t="str">
        <f>"43613-2715"</f>
        <v>43613-2715</v>
      </c>
      <c r="G6597" t="str">
        <f t="shared" si="232"/>
        <v>753658</v>
      </c>
      <c r="H6597" s="2">
        <f>10</f>
        <v>10</v>
      </c>
      <c r="I6597" t="s">
        <v>27</v>
      </c>
      <c r="J6597" t="s">
        <v>39</v>
      </c>
      <c r="K6597" t="str">
        <f>"126149"</f>
        <v>126149</v>
      </c>
    </row>
    <row r="6598" spans="1:11" x14ac:dyDescent="0.25">
      <c r="A6598">
        <v>2025</v>
      </c>
      <c r="B6598" t="s">
        <v>3356</v>
      </c>
      <c r="C6598" t="s">
        <v>3357</v>
      </c>
      <c r="D6598" t="s">
        <v>19</v>
      </c>
      <c r="E6598" t="s">
        <v>20</v>
      </c>
      <c r="F6598" t="str">
        <f>"43613-3735"</f>
        <v>43613-3735</v>
      </c>
      <c r="G6598" t="str">
        <f t="shared" si="232"/>
        <v>753658</v>
      </c>
      <c r="H6598" s="2">
        <f>40</f>
        <v>40</v>
      </c>
      <c r="I6598" t="s">
        <v>27</v>
      </c>
      <c r="J6598" t="s">
        <v>39</v>
      </c>
      <c r="K6598" t="str">
        <f>"127579"</f>
        <v>127579</v>
      </c>
    </row>
    <row r="6599" spans="1:11" x14ac:dyDescent="0.25">
      <c r="A6599">
        <v>2025</v>
      </c>
      <c r="B6599" t="s">
        <v>3360</v>
      </c>
      <c r="C6599" t="s">
        <v>3361</v>
      </c>
      <c r="D6599" t="s">
        <v>164</v>
      </c>
      <c r="E6599" t="s">
        <v>20</v>
      </c>
      <c r="F6599" t="str">
        <f>"43558"</f>
        <v>43558</v>
      </c>
      <c r="G6599" t="str">
        <f>"751641"</f>
        <v>751641</v>
      </c>
      <c r="H6599" s="2">
        <f>2.25</f>
        <v>2.25</v>
      </c>
      <c r="I6599" t="s">
        <v>27</v>
      </c>
      <c r="J6599" t="s">
        <v>219</v>
      </c>
      <c r="K6599" t="str">
        <f>"22027697"</f>
        <v>22027697</v>
      </c>
    </row>
    <row r="6600" spans="1:11" x14ac:dyDescent="0.25">
      <c r="A6600">
        <v>2025</v>
      </c>
      <c r="B6600" t="s">
        <v>3372</v>
      </c>
      <c r="C6600" t="s">
        <v>3373</v>
      </c>
      <c r="D6600" t="s">
        <v>164</v>
      </c>
      <c r="E6600" t="s">
        <v>20</v>
      </c>
      <c r="F6600" t="str">
        <f>"43558-9445"</f>
        <v>43558-9445</v>
      </c>
      <c r="G6600" t="str">
        <f>"753658"</f>
        <v>753658</v>
      </c>
      <c r="H6600" s="2">
        <f>20</f>
        <v>20</v>
      </c>
      <c r="I6600" t="s">
        <v>27</v>
      </c>
      <c r="J6600" t="s">
        <v>39</v>
      </c>
      <c r="K6600" t="str">
        <f>"128589"</f>
        <v>128589</v>
      </c>
    </row>
    <row r="6601" spans="1:11" x14ac:dyDescent="0.25">
      <c r="A6601">
        <v>2025</v>
      </c>
      <c r="B6601" t="s">
        <v>3378</v>
      </c>
      <c r="C6601" t="s">
        <v>3379</v>
      </c>
      <c r="D6601" t="s">
        <v>19</v>
      </c>
      <c r="E6601" t="s">
        <v>20</v>
      </c>
      <c r="F6601" t="str">
        <f>"43615-5950"</f>
        <v>43615-5950</v>
      </c>
      <c r="G6601" t="str">
        <f>"753658"</f>
        <v>753658</v>
      </c>
      <c r="H6601" s="2">
        <f>17.5</f>
        <v>17.5</v>
      </c>
      <c r="I6601" t="s">
        <v>27</v>
      </c>
      <c r="J6601" t="s">
        <v>39</v>
      </c>
      <c r="K6601" t="str">
        <f>"128406"</f>
        <v>128406</v>
      </c>
    </row>
    <row r="6602" spans="1:11" x14ac:dyDescent="0.25">
      <c r="A6602">
        <v>2025</v>
      </c>
      <c r="B6602" t="s">
        <v>3380</v>
      </c>
      <c r="C6602" t="s">
        <v>3381</v>
      </c>
      <c r="D6602" t="s">
        <v>19</v>
      </c>
      <c r="E6602" t="s">
        <v>20</v>
      </c>
      <c r="F6602" t="str">
        <f>"43606-2701"</f>
        <v>43606-2701</v>
      </c>
      <c r="G6602" t="str">
        <f>"753658"</f>
        <v>753658</v>
      </c>
      <c r="H6602" s="2">
        <f>20</f>
        <v>20</v>
      </c>
      <c r="I6602" t="s">
        <v>27</v>
      </c>
      <c r="J6602" t="s">
        <v>39</v>
      </c>
      <c r="K6602" t="str">
        <f>"128404"</f>
        <v>128404</v>
      </c>
    </row>
    <row r="6603" spans="1:11" x14ac:dyDescent="0.25">
      <c r="A6603">
        <v>2025</v>
      </c>
      <c r="B6603" t="s">
        <v>3410</v>
      </c>
      <c r="C6603" t="s">
        <v>1004</v>
      </c>
      <c r="D6603" t="s">
        <v>1005</v>
      </c>
      <c r="E6603" t="s">
        <v>20</v>
      </c>
      <c r="F6603" t="str">
        <f>"44139"</f>
        <v>44139</v>
      </c>
      <c r="G6603" t="str">
        <f>"759796"</f>
        <v>759796</v>
      </c>
      <c r="H6603" s="2">
        <f>185</f>
        <v>185</v>
      </c>
      <c r="I6603" t="s">
        <v>27</v>
      </c>
      <c r="J6603" t="s">
        <v>188</v>
      </c>
      <c r="K6603" t="str">
        <f>"45512"</f>
        <v>45512</v>
      </c>
    </row>
    <row r="6604" spans="1:11" x14ac:dyDescent="0.25">
      <c r="A6604">
        <v>2025</v>
      </c>
      <c r="B6604" t="s">
        <v>3410</v>
      </c>
      <c r="C6604" t="s">
        <v>1004</v>
      </c>
      <c r="D6604" t="s">
        <v>1005</v>
      </c>
      <c r="E6604" t="s">
        <v>20</v>
      </c>
      <c r="F6604" t="str">
        <f>"44139"</f>
        <v>44139</v>
      </c>
      <c r="G6604" t="str">
        <f>"759796"</f>
        <v>759796</v>
      </c>
      <c r="H6604" s="2">
        <f>86.37</f>
        <v>86.37</v>
      </c>
      <c r="I6604" t="s">
        <v>27</v>
      </c>
      <c r="J6604" t="s">
        <v>188</v>
      </c>
      <c r="K6604" t="str">
        <f>"45501"</f>
        <v>45501</v>
      </c>
    </row>
    <row r="6605" spans="1:11" x14ac:dyDescent="0.25">
      <c r="A6605">
        <v>2025</v>
      </c>
      <c r="B6605" t="s">
        <v>3410</v>
      </c>
      <c r="C6605" t="s">
        <v>1162</v>
      </c>
      <c r="D6605" t="s">
        <v>1163</v>
      </c>
      <c r="E6605" t="s">
        <v>20</v>
      </c>
      <c r="F6605" t="str">
        <f>"45201"</f>
        <v>45201</v>
      </c>
      <c r="G6605" t="str">
        <f>"759796"</f>
        <v>759796</v>
      </c>
      <c r="H6605" s="2">
        <f>165.36</f>
        <v>165.36</v>
      </c>
      <c r="I6605" t="s">
        <v>27</v>
      </c>
      <c r="J6605" t="s">
        <v>188</v>
      </c>
      <c r="K6605" t="str">
        <f>"45502"</f>
        <v>45502</v>
      </c>
    </row>
    <row r="6606" spans="1:11" x14ac:dyDescent="0.25">
      <c r="A6606">
        <v>2025</v>
      </c>
      <c r="B6606" t="s">
        <v>3411</v>
      </c>
      <c r="C6606" t="s">
        <v>3412</v>
      </c>
      <c r="D6606" t="s">
        <v>125</v>
      </c>
      <c r="E6606" t="s">
        <v>20</v>
      </c>
      <c r="F6606" t="str">
        <f>"43537"</f>
        <v>43537</v>
      </c>
      <c r="G6606" t="str">
        <f>"759796"</f>
        <v>759796</v>
      </c>
      <c r="H6606" s="2">
        <f>7.27</f>
        <v>7.27</v>
      </c>
      <c r="I6606" t="s">
        <v>27</v>
      </c>
      <c r="J6606" t="s">
        <v>188</v>
      </c>
      <c r="K6606" t="str">
        <f>"46432"</f>
        <v>46432</v>
      </c>
    </row>
    <row r="6607" spans="1:11" x14ac:dyDescent="0.25">
      <c r="A6607">
        <v>2025</v>
      </c>
      <c r="B6607" t="s">
        <v>3432</v>
      </c>
      <c r="C6607" t="s">
        <v>3433</v>
      </c>
      <c r="D6607" t="s">
        <v>19</v>
      </c>
      <c r="E6607" t="s">
        <v>20</v>
      </c>
      <c r="F6607" t="str">
        <f>"43617-2238"</f>
        <v>43617-2238</v>
      </c>
      <c r="G6607" t="str">
        <f t="shared" ref="G6607:G6613" si="233">"753658"</f>
        <v>753658</v>
      </c>
      <c r="H6607" s="2">
        <f>20</f>
        <v>20</v>
      </c>
      <c r="I6607" t="s">
        <v>27</v>
      </c>
      <c r="J6607" t="s">
        <v>39</v>
      </c>
      <c r="K6607" t="str">
        <f>"125333"</f>
        <v>125333</v>
      </c>
    </row>
    <row r="6608" spans="1:11" x14ac:dyDescent="0.25">
      <c r="A6608">
        <v>2025</v>
      </c>
      <c r="B6608" t="s">
        <v>3438</v>
      </c>
      <c r="C6608" t="s">
        <v>3439</v>
      </c>
      <c r="D6608" t="s">
        <v>19</v>
      </c>
      <c r="E6608" t="s">
        <v>20</v>
      </c>
      <c r="F6608" t="str">
        <f>"43612-1026"</f>
        <v>43612-1026</v>
      </c>
      <c r="G6608" t="str">
        <f t="shared" si="233"/>
        <v>753658</v>
      </c>
      <c r="H6608" s="2">
        <f>40</f>
        <v>40</v>
      </c>
      <c r="I6608" t="s">
        <v>27</v>
      </c>
      <c r="J6608" t="s">
        <v>39</v>
      </c>
      <c r="K6608" t="str">
        <f>"131547"</f>
        <v>131547</v>
      </c>
    </row>
    <row r="6609" spans="1:11" x14ac:dyDescent="0.25">
      <c r="A6609">
        <v>2025</v>
      </c>
      <c r="B6609" t="s">
        <v>3438</v>
      </c>
      <c r="C6609" t="s">
        <v>3439</v>
      </c>
      <c r="D6609" t="s">
        <v>19</v>
      </c>
      <c r="E6609" t="s">
        <v>20</v>
      </c>
      <c r="F6609" t="str">
        <f>"43612-1026"</f>
        <v>43612-1026</v>
      </c>
      <c r="G6609" t="str">
        <f t="shared" si="233"/>
        <v>753658</v>
      </c>
      <c r="H6609" s="2">
        <f>40</f>
        <v>40</v>
      </c>
      <c r="I6609" t="s">
        <v>27</v>
      </c>
      <c r="J6609" t="s">
        <v>39</v>
      </c>
      <c r="K6609" t="str">
        <f>"131346"</f>
        <v>131346</v>
      </c>
    </row>
    <row r="6610" spans="1:11" x14ac:dyDescent="0.25">
      <c r="A6610">
        <v>2025</v>
      </c>
      <c r="B6610" t="s">
        <v>3440</v>
      </c>
      <c r="C6610" t="s">
        <v>3441</v>
      </c>
      <c r="D6610" t="s">
        <v>19</v>
      </c>
      <c r="E6610" t="s">
        <v>20</v>
      </c>
      <c r="F6610" t="str">
        <f>"43607-2220"</f>
        <v>43607-2220</v>
      </c>
      <c r="G6610" t="str">
        <f t="shared" si="233"/>
        <v>753658</v>
      </c>
      <c r="H6610" s="2">
        <f>10</f>
        <v>10</v>
      </c>
      <c r="I6610" t="s">
        <v>27</v>
      </c>
      <c r="J6610" t="s">
        <v>39</v>
      </c>
      <c r="K6610" t="str">
        <f>"126794"</f>
        <v>126794</v>
      </c>
    </row>
    <row r="6611" spans="1:11" x14ac:dyDescent="0.25">
      <c r="A6611">
        <v>2025</v>
      </c>
      <c r="B6611" t="s">
        <v>3444</v>
      </c>
      <c r="C6611" t="s">
        <v>3445</v>
      </c>
      <c r="D6611" t="s">
        <v>19</v>
      </c>
      <c r="E6611" t="s">
        <v>20</v>
      </c>
      <c r="F6611" t="str">
        <f>"43623"</f>
        <v>43623</v>
      </c>
      <c r="G6611" t="str">
        <f t="shared" si="233"/>
        <v>753658</v>
      </c>
      <c r="H6611" s="2">
        <f>20</f>
        <v>20</v>
      </c>
      <c r="I6611" t="s">
        <v>27</v>
      </c>
      <c r="J6611" t="s">
        <v>39</v>
      </c>
      <c r="K6611" t="str">
        <f>"125990"</f>
        <v>125990</v>
      </c>
    </row>
    <row r="6612" spans="1:11" x14ac:dyDescent="0.25">
      <c r="A6612">
        <v>2025</v>
      </c>
      <c r="B6612" t="s">
        <v>3446</v>
      </c>
      <c r="C6612" t="s">
        <v>3447</v>
      </c>
      <c r="D6612" t="s">
        <v>58</v>
      </c>
      <c r="E6612" t="s">
        <v>20</v>
      </c>
      <c r="F6612" t="str">
        <f>"43616-4027"</f>
        <v>43616-4027</v>
      </c>
      <c r="G6612" t="str">
        <f t="shared" si="233"/>
        <v>753658</v>
      </c>
      <c r="H6612" s="2">
        <f>10</f>
        <v>10</v>
      </c>
      <c r="I6612" t="s">
        <v>27</v>
      </c>
      <c r="J6612" t="s">
        <v>39</v>
      </c>
      <c r="K6612" t="str">
        <f>"126620"</f>
        <v>126620</v>
      </c>
    </row>
    <row r="6613" spans="1:11" x14ac:dyDescent="0.25">
      <c r="A6613">
        <v>2025</v>
      </c>
      <c r="B6613" t="s">
        <v>3454</v>
      </c>
      <c r="C6613" t="s">
        <v>3455</v>
      </c>
      <c r="D6613" t="s">
        <v>19</v>
      </c>
      <c r="E6613" t="s">
        <v>20</v>
      </c>
      <c r="F6613" t="str">
        <f>"43617-2234"</f>
        <v>43617-2234</v>
      </c>
      <c r="G6613" t="str">
        <f t="shared" si="233"/>
        <v>753658</v>
      </c>
      <c r="H6613" s="2">
        <f>20</f>
        <v>20</v>
      </c>
      <c r="I6613" t="s">
        <v>27</v>
      </c>
      <c r="J6613" t="s">
        <v>39</v>
      </c>
      <c r="K6613" t="str">
        <f>"127618"</f>
        <v>127618</v>
      </c>
    </row>
    <row r="6614" spans="1:11" x14ac:dyDescent="0.25">
      <c r="A6614">
        <v>2025</v>
      </c>
      <c r="B6614" t="s">
        <v>3456</v>
      </c>
      <c r="C6614" t="s">
        <v>3457</v>
      </c>
      <c r="D6614" t="s">
        <v>19</v>
      </c>
      <c r="E6614" t="s">
        <v>20</v>
      </c>
      <c r="F6614" t="str">
        <f>"43613"</f>
        <v>43613</v>
      </c>
      <c r="G6614" t="str">
        <f>"759796"</f>
        <v>759796</v>
      </c>
      <c r="H6614" s="2">
        <f>50</f>
        <v>50</v>
      </c>
      <c r="I6614" t="s">
        <v>27</v>
      </c>
      <c r="J6614" t="s">
        <v>188</v>
      </c>
      <c r="K6614" t="str">
        <f>"44961"</f>
        <v>44961</v>
      </c>
    </row>
    <row r="6615" spans="1:11" x14ac:dyDescent="0.25">
      <c r="A6615">
        <v>2025</v>
      </c>
      <c r="B6615" t="s">
        <v>3475</v>
      </c>
      <c r="C6615" t="s">
        <v>3476</v>
      </c>
      <c r="D6615" t="s">
        <v>1163</v>
      </c>
      <c r="E6615" t="s">
        <v>20</v>
      </c>
      <c r="F6615" t="str">
        <f>"45208"</f>
        <v>45208</v>
      </c>
      <c r="G6615" t="str">
        <f>"759796"</f>
        <v>759796</v>
      </c>
      <c r="H6615" s="2">
        <f>201.8</f>
        <v>201.8</v>
      </c>
      <c r="I6615" t="s">
        <v>27</v>
      </c>
      <c r="J6615" t="s">
        <v>188</v>
      </c>
      <c r="K6615" t="str">
        <f>"44744"</f>
        <v>44744</v>
      </c>
    </row>
    <row r="6616" spans="1:11" x14ac:dyDescent="0.25">
      <c r="A6616">
        <v>2025</v>
      </c>
      <c r="B6616" t="s">
        <v>3483</v>
      </c>
      <c r="C6616" t="s">
        <v>3484</v>
      </c>
      <c r="D6616" t="s">
        <v>19</v>
      </c>
      <c r="E6616" t="s">
        <v>20</v>
      </c>
      <c r="F6616" t="str">
        <f>"43612"</f>
        <v>43612</v>
      </c>
      <c r="G6616" t="str">
        <f>"772209"</f>
        <v>772209</v>
      </c>
      <c r="H6616" s="2">
        <f>2214.53</f>
        <v>2214.5300000000002</v>
      </c>
      <c r="I6616" t="s">
        <v>27</v>
      </c>
      <c r="J6616" t="s">
        <v>691</v>
      </c>
      <c r="K6616" t="str">
        <f>"N/A"</f>
        <v>N/A</v>
      </c>
    </row>
    <row r="6617" spans="1:11" x14ac:dyDescent="0.25">
      <c r="A6617">
        <v>2025</v>
      </c>
      <c r="B6617" t="s">
        <v>3487</v>
      </c>
      <c r="C6617" t="s">
        <v>3488</v>
      </c>
      <c r="D6617" t="s">
        <v>19</v>
      </c>
      <c r="E6617" t="s">
        <v>20</v>
      </c>
      <c r="F6617" t="str">
        <f>"43606"</f>
        <v>43606</v>
      </c>
      <c r="G6617" t="str">
        <f t="shared" ref="G6617:G6622" si="234">"753658"</f>
        <v>753658</v>
      </c>
      <c r="H6617" s="2">
        <f>20</f>
        <v>20</v>
      </c>
      <c r="I6617" t="s">
        <v>27</v>
      </c>
      <c r="J6617" t="s">
        <v>39</v>
      </c>
      <c r="K6617" t="str">
        <f>"127524"</f>
        <v>127524</v>
      </c>
    </row>
    <row r="6618" spans="1:11" x14ac:dyDescent="0.25">
      <c r="A6618">
        <v>2025</v>
      </c>
      <c r="B6618" t="s">
        <v>3498</v>
      </c>
      <c r="C6618" t="s">
        <v>3499</v>
      </c>
      <c r="D6618" t="s">
        <v>19</v>
      </c>
      <c r="E6618" t="s">
        <v>20</v>
      </c>
      <c r="F6618" t="str">
        <f>"43615-5431"</f>
        <v>43615-5431</v>
      </c>
      <c r="G6618" t="str">
        <f t="shared" si="234"/>
        <v>753658</v>
      </c>
      <c r="H6618" s="2">
        <f>20</f>
        <v>20</v>
      </c>
      <c r="I6618" t="s">
        <v>27</v>
      </c>
      <c r="J6618" t="s">
        <v>39</v>
      </c>
      <c r="K6618" t="str">
        <f>"131024"</f>
        <v>131024</v>
      </c>
    </row>
    <row r="6619" spans="1:11" x14ac:dyDescent="0.25">
      <c r="A6619">
        <v>2025</v>
      </c>
      <c r="B6619" t="s">
        <v>3500</v>
      </c>
      <c r="C6619" t="s">
        <v>3501</v>
      </c>
      <c r="D6619" t="s">
        <v>19</v>
      </c>
      <c r="E6619" t="s">
        <v>20</v>
      </c>
      <c r="F6619" t="str">
        <f>"43614-3239"</f>
        <v>43614-3239</v>
      </c>
      <c r="G6619" t="str">
        <f t="shared" si="234"/>
        <v>753658</v>
      </c>
      <c r="H6619" s="2">
        <f>10</f>
        <v>10</v>
      </c>
      <c r="I6619" t="s">
        <v>27</v>
      </c>
      <c r="J6619" t="s">
        <v>39</v>
      </c>
      <c r="K6619" t="str">
        <f>"129938"</f>
        <v>129938</v>
      </c>
    </row>
    <row r="6620" spans="1:11" x14ac:dyDescent="0.25">
      <c r="A6620">
        <v>2025</v>
      </c>
      <c r="B6620" t="s">
        <v>3514</v>
      </c>
      <c r="C6620" t="s">
        <v>3515</v>
      </c>
      <c r="D6620" t="s">
        <v>19</v>
      </c>
      <c r="E6620" t="s">
        <v>20</v>
      </c>
      <c r="F6620" t="str">
        <f>"43608-1030"</f>
        <v>43608-1030</v>
      </c>
      <c r="G6620" t="str">
        <f t="shared" si="234"/>
        <v>753658</v>
      </c>
      <c r="H6620" s="2">
        <f>40</f>
        <v>40</v>
      </c>
      <c r="I6620" t="s">
        <v>27</v>
      </c>
      <c r="J6620" t="s">
        <v>39</v>
      </c>
      <c r="K6620" t="str">
        <f>"125924"</f>
        <v>125924</v>
      </c>
    </row>
    <row r="6621" spans="1:11" x14ac:dyDescent="0.25">
      <c r="A6621">
        <v>2025</v>
      </c>
      <c r="B6621" t="s">
        <v>3516</v>
      </c>
      <c r="C6621" t="s">
        <v>3517</v>
      </c>
      <c r="D6621" t="s">
        <v>19</v>
      </c>
      <c r="E6621" t="s">
        <v>20</v>
      </c>
      <c r="F6621" t="str">
        <f>"43606-4311"</f>
        <v>43606-4311</v>
      </c>
      <c r="G6621" t="str">
        <f t="shared" si="234"/>
        <v>753658</v>
      </c>
      <c r="H6621" s="2">
        <f>10</f>
        <v>10</v>
      </c>
      <c r="I6621" t="s">
        <v>27</v>
      </c>
      <c r="J6621" t="s">
        <v>39</v>
      </c>
      <c r="K6621" t="str">
        <f>"130955"</f>
        <v>130955</v>
      </c>
    </row>
    <row r="6622" spans="1:11" x14ac:dyDescent="0.25">
      <c r="A6622">
        <v>2025</v>
      </c>
      <c r="B6622" t="s">
        <v>3525</v>
      </c>
      <c r="C6622" t="s">
        <v>3526</v>
      </c>
      <c r="D6622" t="s">
        <v>19</v>
      </c>
      <c r="E6622" t="s">
        <v>20</v>
      </c>
      <c r="F6622" t="str">
        <f>"43614-3749"</f>
        <v>43614-3749</v>
      </c>
      <c r="G6622" t="str">
        <f t="shared" si="234"/>
        <v>753658</v>
      </c>
      <c r="H6622" s="2">
        <f>10</f>
        <v>10</v>
      </c>
      <c r="I6622" t="s">
        <v>27</v>
      </c>
      <c r="J6622" t="s">
        <v>39</v>
      </c>
      <c r="K6622" t="str">
        <f>"126344"</f>
        <v>126344</v>
      </c>
    </row>
    <row r="6623" spans="1:11" x14ac:dyDescent="0.25">
      <c r="A6623">
        <v>2025</v>
      </c>
      <c r="B6623" t="s">
        <v>3529</v>
      </c>
      <c r="C6623" t="s">
        <v>3530</v>
      </c>
      <c r="D6623" t="s">
        <v>19</v>
      </c>
      <c r="E6623" t="s">
        <v>20</v>
      </c>
      <c r="F6623" t="str">
        <f>"43609"</f>
        <v>43609</v>
      </c>
      <c r="G6623" t="str">
        <f>"Je04082025"</f>
        <v>Je04082025</v>
      </c>
      <c r="H6623" s="2">
        <f>50.4</f>
        <v>50.4</v>
      </c>
      <c r="I6623" t="s">
        <v>15</v>
      </c>
      <c r="J6623" t="s">
        <v>24</v>
      </c>
      <c r="K6623" t="str">
        <f>"60145429"</f>
        <v>60145429</v>
      </c>
    </row>
    <row r="6624" spans="1:11" x14ac:dyDescent="0.25">
      <c r="A6624">
        <v>2025</v>
      </c>
      <c r="B6624" t="s">
        <v>3537</v>
      </c>
      <c r="C6624" t="s">
        <v>3538</v>
      </c>
      <c r="D6624" t="s">
        <v>1005</v>
      </c>
      <c r="E6624" t="s">
        <v>20</v>
      </c>
      <c r="F6624" t="str">
        <f>"44139"</f>
        <v>44139</v>
      </c>
      <c r="G6624" t="str">
        <f>"759796"</f>
        <v>759796</v>
      </c>
      <c r="H6624" s="2">
        <f>548.55</f>
        <v>548.54999999999995</v>
      </c>
      <c r="I6624" t="s">
        <v>27</v>
      </c>
      <c r="J6624" t="s">
        <v>188</v>
      </c>
      <c r="K6624" t="str">
        <f>"44396"</f>
        <v>44396</v>
      </c>
    </row>
    <row r="6625" spans="1:11" x14ac:dyDescent="0.25">
      <c r="A6625">
        <v>2025</v>
      </c>
      <c r="B6625" t="s">
        <v>3541</v>
      </c>
      <c r="C6625" t="s">
        <v>3542</v>
      </c>
      <c r="D6625" t="s">
        <v>19</v>
      </c>
      <c r="E6625" t="s">
        <v>20</v>
      </c>
      <c r="F6625" t="str">
        <f>"43612-3113"</f>
        <v>43612-3113</v>
      </c>
      <c r="G6625" t="str">
        <f>"753658"</f>
        <v>753658</v>
      </c>
      <c r="H6625" s="2">
        <f>20</f>
        <v>20</v>
      </c>
      <c r="I6625" t="s">
        <v>27</v>
      </c>
      <c r="J6625" t="s">
        <v>39</v>
      </c>
      <c r="K6625" t="str">
        <f>"130981"</f>
        <v>130981</v>
      </c>
    </row>
    <row r="6626" spans="1:11" x14ac:dyDescent="0.25">
      <c r="A6626">
        <v>2025</v>
      </c>
      <c r="B6626" t="s">
        <v>3554</v>
      </c>
      <c r="C6626" t="s">
        <v>3555</v>
      </c>
      <c r="D6626" t="s">
        <v>50</v>
      </c>
      <c r="E6626" t="s">
        <v>20</v>
      </c>
      <c r="F6626" t="str">
        <f>"43560-4305"</f>
        <v>43560-4305</v>
      </c>
      <c r="G6626" t="str">
        <f>"753658"</f>
        <v>753658</v>
      </c>
      <c r="H6626" s="2">
        <f>10</f>
        <v>10</v>
      </c>
      <c r="I6626" t="s">
        <v>27</v>
      </c>
      <c r="J6626" t="s">
        <v>39</v>
      </c>
      <c r="K6626" t="str">
        <f>"127992"</f>
        <v>127992</v>
      </c>
    </row>
    <row r="6627" spans="1:11" x14ac:dyDescent="0.25">
      <c r="A6627">
        <v>2025</v>
      </c>
      <c r="B6627" t="s">
        <v>3562</v>
      </c>
      <c r="C6627" t="s">
        <v>3563</v>
      </c>
      <c r="D6627" t="s">
        <v>19</v>
      </c>
      <c r="E6627" t="s">
        <v>20</v>
      </c>
      <c r="F6627" t="str">
        <f>"43614-3922"</f>
        <v>43614-3922</v>
      </c>
      <c r="G6627" t="str">
        <f>"753658"</f>
        <v>753658</v>
      </c>
      <c r="H6627" s="2">
        <f>10</f>
        <v>10</v>
      </c>
      <c r="I6627" t="s">
        <v>27</v>
      </c>
      <c r="J6627" t="s">
        <v>39</v>
      </c>
      <c r="K6627" t="str">
        <f>"129325"</f>
        <v>129325</v>
      </c>
    </row>
    <row r="6628" spans="1:11" x14ac:dyDescent="0.25">
      <c r="A6628">
        <v>2025</v>
      </c>
      <c r="B6628" t="s">
        <v>3564</v>
      </c>
      <c r="C6628" t="s">
        <v>3565</v>
      </c>
      <c r="D6628" t="s">
        <v>19</v>
      </c>
      <c r="E6628" t="s">
        <v>20</v>
      </c>
      <c r="F6628" t="str">
        <f>"43604"</f>
        <v>43604</v>
      </c>
      <c r="G6628" t="str">
        <f>"759796"</f>
        <v>759796</v>
      </c>
      <c r="H6628" s="2">
        <f>4.51</f>
        <v>4.51</v>
      </c>
      <c r="I6628" t="s">
        <v>27</v>
      </c>
      <c r="J6628" t="s">
        <v>188</v>
      </c>
      <c r="K6628" t="str">
        <f>"45575"</f>
        <v>45575</v>
      </c>
    </row>
    <row r="6629" spans="1:11" x14ac:dyDescent="0.25">
      <c r="A6629">
        <v>2025</v>
      </c>
      <c r="B6629" t="s">
        <v>3576</v>
      </c>
      <c r="C6629" t="s">
        <v>3577</v>
      </c>
      <c r="D6629" t="s">
        <v>19</v>
      </c>
      <c r="E6629" t="s">
        <v>20</v>
      </c>
      <c r="F6629" t="str">
        <f>"43606-1765"</f>
        <v>43606-1765</v>
      </c>
      <c r="G6629" t="str">
        <f>"753658"</f>
        <v>753658</v>
      </c>
      <c r="H6629" s="2">
        <f>30</f>
        <v>30</v>
      </c>
      <c r="I6629" t="s">
        <v>27</v>
      </c>
      <c r="J6629" t="s">
        <v>39</v>
      </c>
      <c r="K6629" t="str">
        <f>"127317"</f>
        <v>127317</v>
      </c>
    </row>
    <row r="6630" spans="1:11" x14ac:dyDescent="0.25">
      <c r="A6630">
        <v>2025</v>
      </c>
      <c r="B6630" t="s">
        <v>3578</v>
      </c>
      <c r="C6630" t="s">
        <v>3579</v>
      </c>
      <c r="D6630" t="s">
        <v>50</v>
      </c>
      <c r="E6630" t="s">
        <v>20</v>
      </c>
      <c r="F6630" t="str">
        <f>"43560-1441"</f>
        <v>43560-1441</v>
      </c>
      <c r="G6630" t="str">
        <f>"753658"</f>
        <v>753658</v>
      </c>
      <c r="H6630" s="2">
        <f>10</f>
        <v>10</v>
      </c>
      <c r="I6630" t="s">
        <v>27</v>
      </c>
      <c r="J6630" t="s">
        <v>39</v>
      </c>
      <c r="K6630" t="str">
        <f>"128939"</f>
        <v>128939</v>
      </c>
    </row>
    <row r="6631" spans="1:11" x14ac:dyDescent="0.25">
      <c r="A6631">
        <v>2025</v>
      </c>
      <c r="B6631" t="s">
        <v>3583</v>
      </c>
      <c r="C6631" t="s">
        <v>3584</v>
      </c>
      <c r="D6631" t="s">
        <v>19</v>
      </c>
      <c r="E6631" t="s">
        <v>20</v>
      </c>
      <c r="F6631" t="str">
        <f>"43608"</f>
        <v>43608</v>
      </c>
      <c r="G6631" t="str">
        <f>"759796"</f>
        <v>759796</v>
      </c>
      <c r="H6631" s="2">
        <f>42.5</f>
        <v>42.5</v>
      </c>
      <c r="I6631" t="s">
        <v>27</v>
      </c>
      <c r="J6631" t="s">
        <v>188</v>
      </c>
      <c r="K6631" t="str">
        <f>"45824"</f>
        <v>45824</v>
      </c>
    </row>
    <row r="6632" spans="1:11" x14ac:dyDescent="0.25">
      <c r="A6632">
        <v>2025</v>
      </c>
      <c r="B6632" t="s">
        <v>3605</v>
      </c>
      <c r="C6632" t="s">
        <v>3606</v>
      </c>
      <c r="D6632" t="s">
        <v>19</v>
      </c>
      <c r="E6632" t="s">
        <v>20</v>
      </c>
      <c r="F6632" t="str">
        <f>"43623-1525"</f>
        <v>43623-1525</v>
      </c>
      <c r="G6632" t="str">
        <f>"753658"</f>
        <v>753658</v>
      </c>
      <c r="H6632" s="2">
        <f>20</f>
        <v>20</v>
      </c>
      <c r="I6632" t="s">
        <v>27</v>
      </c>
      <c r="J6632" t="s">
        <v>39</v>
      </c>
      <c r="K6632" t="str">
        <f>"127156"</f>
        <v>127156</v>
      </c>
    </row>
    <row r="6633" spans="1:11" x14ac:dyDescent="0.25">
      <c r="A6633">
        <v>2025</v>
      </c>
      <c r="B6633" t="s">
        <v>3612</v>
      </c>
      <c r="C6633" t="s">
        <v>3613</v>
      </c>
      <c r="D6633" t="s">
        <v>19</v>
      </c>
      <c r="E6633" t="s">
        <v>20</v>
      </c>
      <c r="F6633" t="str">
        <f>"43604-5493"</f>
        <v>43604-5493</v>
      </c>
      <c r="G6633" t="str">
        <f>"753658"</f>
        <v>753658</v>
      </c>
      <c r="H6633" s="2">
        <f>10</f>
        <v>10</v>
      </c>
      <c r="I6633" t="s">
        <v>27</v>
      </c>
      <c r="J6633" t="s">
        <v>39</v>
      </c>
      <c r="K6633" t="str">
        <f>"130016"</f>
        <v>130016</v>
      </c>
    </row>
    <row r="6634" spans="1:11" x14ac:dyDescent="0.25">
      <c r="A6634">
        <v>2025</v>
      </c>
      <c r="B6634" t="s">
        <v>3620</v>
      </c>
      <c r="C6634" t="s">
        <v>3621</v>
      </c>
      <c r="D6634" t="s">
        <v>19</v>
      </c>
      <c r="E6634" t="s">
        <v>20</v>
      </c>
      <c r="F6634" t="str">
        <f>"43617-3002"</f>
        <v>43617-3002</v>
      </c>
      <c r="G6634" t="str">
        <f>"753658"</f>
        <v>753658</v>
      </c>
      <c r="H6634" s="2">
        <f>40</f>
        <v>40</v>
      </c>
      <c r="I6634" t="s">
        <v>27</v>
      </c>
      <c r="J6634" t="s">
        <v>39</v>
      </c>
      <c r="K6634" t="str">
        <f>"127960"</f>
        <v>127960</v>
      </c>
    </row>
    <row r="6635" spans="1:11" x14ac:dyDescent="0.25">
      <c r="A6635">
        <v>2025</v>
      </c>
      <c r="B6635" t="s">
        <v>3639</v>
      </c>
      <c r="C6635" t="s">
        <v>3640</v>
      </c>
      <c r="D6635" t="s">
        <v>19</v>
      </c>
      <c r="E6635" t="s">
        <v>20</v>
      </c>
      <c r="F6635" t="str">
        <f>"43623"</f>
        <v>43623</v>
      </c>
      <c r="G6635" t="str">
        <f>"772209"</f>
        <v>772209</v>
      </c>
      <c r="H6635" s="2">
        <f>499.58</f>
        <v>499.58</v>
      </c>
      <c r="I6635" t="s">
        <v>27</v>
      </c>
      <c r="J6635" t="s">
        <v>691</v>
      </c>
      <c r="K6635" t="str">
        <f>"N/A"</f>
        <v>N/A</v>
      </c>
    </row>
    <row r="6636" spans="1:11" x14ac:dyDescent="0.25">
      <c r="A6636">
        <v>2025</v>
      </c>
      <c r="B6636" t="s">
        <v>3641</v>
      </c>
      <c r="C6636" t="s">
        <v>3642</v>
      </c>
      <c r="D6636" t="s">
        <v>50</v>
      </c>
      <c r="E6636" t="s">
        <v>20</v>
      </c>
      <c r="F6636" t="str">
        <f>"43560-1650"</f>
        <v>43560-1650</v>
      </c>
      <c r="G6636" t="str">
        <f>"753658"</f>
        <v>753658</v>
      </c>
      <c r="H6636" s="2">
        <f>10</f>
        <v>10</v>
      </c>
      <c r="I6636" t="s">
        <v>27</v>
      </c>
      <c r="J6636" t="s">
        <v>39</v>
      </c>
      <c r="K6636" t="str">
        <f>"126310"</f>
        <v>126310</v>
      </c>
    </row>
    <row r="6637" spans="1:11" x14ac:dyDescent="0.25">
      <c r="A6637">
        <v>2025</v>
      </c>
      <c r="B6637" t="s">
        <v>3648</v>
      </c>
      <c r="C6637" t="s">
        <v>3649</v>
      </c>
      <c r="D6637" t="s">
        <v>50</v>
      </c>
      <c r="E6637" t="s">
        <v>20</v>
      </c>
      <c r="F6637" t="str">
        <f>"43560-2050"</f>
        <v>43560-2050</v>
      </c>
      <c r="G6637" t="str">
        <f>"753658"</f>
        <v>753658</v>
      </c>
      <c r="H6637" s="2">
        <f>10</f>
        <v>10</v>
      </c>
      <c r="I6637" t="s">
        <v>27</v>
      </c>
      <c r="J6637" t="s">
        <v>39</v>
      </c>
      <c r="K6637" t="str">
        <f>"126803"</f>
        <v>126803</v>
      </c>
    </row>
    <row r="6638" spans="1:11" x14ac:dyDescent="0.25">
      <c r="A6638">
        <v>2025</v>
      </c>
      <c r="B6638" t="s">
        <v>3659</v>
      </c>
      <c r="C6638" t="s">
        <v>3660</v>
      </c>
      <c r="D6638" t="s">
        <v>19</v>
      </c>
      <c r="E6638" t="s">
        <v>20</v>
      </c>
      <c r="F6638" t="str">
        <f>"43608"</f>
        <v>43608</v>
      </c>
      <c r="G6638" t="str">
        <f>"Je12092025"</f>
        <v>Je12092025</v>
      </c>
      <c r="H6638" s="2">
        <f>16.6</f>
        <v>16.600000000000001</v>
      </c>
      <c r="I6638" t="s">
        <v>15</v>
      </c>
      <c r="J6638" t="s">
        <v>909</v>
      </c>
      <c r="K6638" t="str">
        <f>"60166962"</f>
        <v>60166962</v>
      </c>
    </row>
    <row r="6639" spans="1:11" x14ac:dyDescent="0.25">
      <c r="A6639">
        <v>2025</v>
      </c>
      <c r="B6639" t="s">
        <v>3673</v>
      </c>
      <c r="C6639" t="s">
        <v>3674</v>
      </c>
      <c r="D6639" t="s">
        <v>19</v>
      </c>
      <c r="E6639" t="s">
        <v>20</v>
      </c>
      <c r="F6639" t="str">
        <f>"43611-2139"</f>
        <v>43611-2139</v>
      </c>
      <c r="G6639" t="str">
        <f>"753658"</f>
        <v>753658</v>
      </c>
      <c r="H6639" s="2">
        <f>10</f>
        <v>10</v>
      </c>
      <c r="I6639" t="s">
        <v>27</v>
      </c>
      <c r="J6639" t="s">
        <v>39</v>
      </c>
      <c r="K6639" t="str">
        <f>"130041"</f>
        <v>130041</v>
      </c>
    </row>
    <row r="6640" spans="1:11" x14ac:dyDescent="0.25">
      <c r="A6640">
        <v>2025</v>
      </c>
      <c r="B6640" t="s">
        <v>3682</v>
      </c>
      <c r="C6640" t="s">
        <v>3683</v>
      </c>
      <c r="D6640" t="s">
        <v>50</v>
      </c>
      <c r="E6640" t="s">
        <v>20</v>
      </c>
      <c r="F6640" t="str">
        <f>"43560"</f>
        <v>43560</v>
      </c>
      <c r="G6640" t="str">
        <f>"759797"</f>
        <v>759797</v>
      </c>
      <c r="H6640" s="2">
        <f>577.83</f>
        <v>577.83000000000004</v>
      </c>
      <c r="I6640" t="s">
        <v>27</v>
      </c>
      <c r="J6640" t="s">
        <v>239</v>
      </c>
      <c r="K6640" t="str">
        <f>"N/A"</f>
        <v>N/A</v>
      </c>
    </row>
    <row r="6641" spans="1:11" x14ac:dyDescent="0.25">
      <c r="A6641">
        <v>2025</v>
      </c>
      <c r="B6641" t="s">
        <v>3698</v>
      </c>
      <c r="C6641" t="s">
        <v>3699</v>
      </c>
      <c r="D6641" t="s">
        <v>19</v>
      </c>
      <c r="E6641" t="s">
        <v>20</v>
      </c>
      <c r="F6641" t="str">
        <f>"43609-1728"</f>
        <v>43609-1728</v>
      </c>
      <c r="G6641" t="str">
        <f>"753658"</f>
        <v>753658</v>
      </c>
      <c r="H6641" s="2">
        <f>10</f>
        <v>10</v>
      </c>
      <c r="I6641" t="s">
        <v>27</v>
      </c>
      <c r="J6641" t="s">
        <v>39</v>
      </c>
      <c r="K6641" t="str">
        <f>"127319"</f>
        <v>127319</v>
      </c>
    </row>
    <row r="6642" spans="1:11" x14ac:dyDescent="0.25">
      <c r="A6642">
        <v>2025</v>
      </c>
      <c r="B6642" t="s">
        <v>3712</v>
      </c>
      <c r="C6642" t="s">
        <v>3713</v>
      </c>
      <c r="D6642" t="s">
        <v>323</v>
      </c>
      <c r="E6642" t="s">
        <v>20</v>
      </c>
      <c r="F6642" t="str">
        <f>"43571"</f>
        <v>43571</v>
      </c>
      <c r="G6642" t="str">
        <f>"759797"</f>
        <v>759797</v>
      </c>
      <c r="H6642" s="2">
        <f>4550</f>
        <v>4550</v>
      </c>
      <c r="I6642" t="s">
        <v>27</v>
      </c>
      <c r="J6642" t="s">
        <v>239</v>
      </c>
      <c r="K6642" t="str">
        <f>"N/A"</f>
        <v>N/A</v>
      </c>
    </row>
    <row r="6643" spans="1:11" x14ac:dyDescent="0.25">
      <c r="A6643">
        <v>2025</v>
      </c>
      <c r="B6643" t="s">
        <v>3718</v>
      </c>
      <c r="C6643" t="s">
        <v>3719</v>
      </c>
      <c r="D6643" t="s">
        <v>19</v>
      </c>
      <c r="E6643" t="s">
        <v>20</v>
      </c>
      <c r="F6643" t="str">
        <f>"43606-2450"</f>
        <v>43606-2450</v>
      </c>
      <c r="G6643" t="str">
        <f>"753658"</f>
        <v>753658</v>
      </c>
      <c r="H6643" s="2">
        <f>20</f>
        <v>20</v>
      </c>
      <c r="I6643" t="s">
        <v>27</v>
      </c>
      <c r="J6643" t="s">
        <v>39</v>
      </c>
      <c r="K6643" t="str">
        <f>"126963"</f>
        <v>126963</v>
      </c>
    </row>
    <row r="6644" spans="1:11" x14ac:dyDescent="0.25">
      <c r="A6644">
        <v>2025</v>
      </c>
      <c r="B6644" t="s">
        <v>3726</v>
      </c>
      <c r="C6644" t="s">
        <v>3727</v>
      </c>
      <c r="D6644" t="s">
        <v>19</v>
      </c>
      <c r="E6644" t="s">
        <v>20</v>
      </c>
      <c r="F6644" t="str">
        <f>"43613-4726"</f>
        <v>43613-4726</v>
      </c>
      <c r="G6644" t="str">
        <f>"753658"</f>
        <v>753658</v>
      </c>
      <c r="H6644" s="2">
        <f>40</f>
        <v>40</v>
      </c>
      <c r="I6644" t="s">
        <v>27</v>
      </c>
      <c r="J6644" t="s">
        <v>39</v>
      </c>
      <c r="K6644" t="str">
        <f>"126027"</f>
        <v>126027</v>
      </c>
    </row>
    <row r="6645" spans="1:11" x14ac:dyDescent="0.25">
      <c r="A6645">
        <v>2025</v>
      </c>
      <c r="B6645" t="s">
        <v>3730</v>
      </c>
      <c r="C6645" t="s">
        <v>3731</v>
      </c>
      <c r="D6645" t="s">
        <v>19</v>
      </c>
      <c r="E6645" t="s">
        <v>20</v>
      </c>
      <c r="F6645" t="str">
        <f>"43560"</f>
        <v>43560</v>
      </c>
      <c r="G6645" t="str">
        <f>"753658"</f>
        <v>753658</v>
      </c>
      <c r="H6645" s="2">
        <f>20</f>
        <v>20</v>
      </c>
      <c r="I6645" t="s">
        <v>27</v>
      </c>
      <c r="J6645" t="s">
        <v>39</v>
      </c>
      <c r="K6645" t="str">
        <f>"129465"</f>
        <v>129465</v>
      </c>
    </row>
    <row r="6646" spans="1:11" x14ac:dyDescent="0.25">
      <c r="A6646">
        <v>2025</v>
      </c>
      <c r="B6646" t="s">
        <v>3738</v>
      </c>
      <c r="C6646" t="s">
        <v>3739</v>
      </c>
      <c r="D6646" t="s">
        <v>125</v>
      </c>
      <c r="E6646" t="s">
        <v>20</v>
      </c>
      <c r="F6646" t="str">
        <f>"43537-2815"</f>
        <v>43537-2815</v>
      </c>
      <c r="G6646" t="str">
        <f>"753658"</f>
        <v>753658</v>
      </c>
      <c r="H6646" s="2">
        <f>20</f>
        <v>20</v>
      </c>
      <c r="I6646" t="s">
        <v>27</v>
      </c>
      <c r="J6646" t="s">
        <v>39</v>
      </c>
      <c r="K6646" t="str">
        <f>"129392"</f>
        <v>129392</v>
      </c>
    </row>
    <row r="6647" spans="1:11" x14ac:dyDescent="0.25">
      <c r="A6647">
        <v>2025</v>
      </c>
      <c r="B6647" t="s">
        <v>3740</v>
      </c>
      <c r="C6647" t="s">
        <v>3741</v>
      </c>
      <c r="D6647" t="s">
        <v>19</v>
      </c>
      <c r="E6647" t="s">
        <v>20</v>
      </c>
      <c r="F6647" t="str">
        <f>"43606"</f>
        <v>43606</v>
      </c>
      <c r="G6647" t="str">
        <f>"759796"</f>
        <v>759796</v>
      </c>
      <c r="H6647" s="2">
        <f>2.14</f>
        <v>2.14</v>
      </c>
      <c r="I6647" t="s">
        <v>27</v>
      </c>
      <c r="J6647" t="s">
        <v>188</v>
      </c>
      <c r="K6647" t="str">
        <f>"44764"</f>
        <v>44764</v>
      </c>
    </row>
    <row r="6648" spans="1:11" x14ac:dyDescent="0.25">
      <c r="A6648">
        <v>2025</v>
      </c>
      <c r="B6648" t="s">
        <v>3752</v>
      </c>
      <c r="C6648" t="s">
        <v>3753</v>
      </c>
      <c r="D6648" t="s">
        <v>19</v>
      </c>
      <c r="E6648" t="s">
        <v>20</v>
      </c>
      <c r="F6648" t="str">
        <f>"43605-3721"</f>
        <v>43605-3721</v>
      </c>
      <c r="G6648" t="str">
        <f t="shared" ref="G6648:G6658" si="235">"753658"</f>
        <v>753658</v>
      </c>
      <c r="H6648" s="2">
        <f>20</f>
        <v>20</v>
      </c>
      <c r="I6648" t="s">
        <v>27</v>
      </c>
      <c r="J6648" t="s">
        <v>39</v>
      </c>
      <c r="K6648" t="str">
        <f>"127270"</f>
        <v>127270</v>
      </c>
    </row>
    <row r="6649" spans="1:11" x14ac:dyDescent="0.25">
      <c r="A6649">
        <v>2025</v>
      </c>
      <c r="B6649" t="s">
        <v>3765</v>
      </c>
      <c r="C6649" t="s">
        <v>3766</v>
      </c>
      <c r="D6649" t="s">
        <v>19</v>
      </c>
      <c r="E6649" t="s">
        <v>20</v>
      </c>
      <c r="F6649" t="str">
        <f>"43613"</f>
        <v>43613</v>
      </c>
      <c r="G6649" t="str">
        <f t="shared" si="235"/>
        <v>753658</v>
      </c>
      <c r="H6649" s="2">
        <f>10</f>
        <v>10</v>
      </c>
      <c r="I6649" t="s">
        <v>27</v>
      </c>
      <c r="J6649" t="s">
        <v>39</v>
      </c>
      <c r="K6649" t="str">
        <f>"125726"</f>
        <v>125726</v>
      </c>
    </row>
    <row r="6650" spans="1:11" x14ac:dyDescent="0.25">
      <c r="A6650">
        <v>2025</v>
      </c>
      <c r="B6650" t="s">
        <v>3769</v>
      </c>
      <c r="C6650" t="s">
        <v>3770</v>
      </c>
      <c r="D6650" t="s">
        <v>19</v>
      </c>
      <c r="E6650" t="s">
        <v>20</v>
      </c>
      <c r="F6650" t="str">
        <f>"43609-1130"</f>
        <v>43609-1130</v>
      </c>
      <c r="G6650" t="str">
        <f t="shared" si="235"/>
        <v>753658</v>
      </c>
      <c r="H6650" s="2">
        <f>10</f>
        <v>10</v>
      </c>
      <c r="I6650" t="s">
        <v>27</v>
      </c>
      <c r="J6650" t="s">
        <v>39</v>
      </c>
      <c r="K6650" t="str">
        <f>"126364"</f>
        <v>126364</v>
      </c>
    </row>
    <row r="6651" spans="1:11" x14ac:dyDescent="0.25">
      <c r="A6651">
        <v>2025</v>
      </c>
      <c r="B6651" t="s">
        <v>3773</v>
      </c>
      <c r="C6651" t="s">
        <v>3774</v>
      </c>
      <c r="D6651" t="s">
        <v>19</v>
      </c>
      <c r="E6651" t="s">
        <v>20</v>
      </c>
      <c r="F6651" t="str">
        <f>"43614"</f>
        <v>43614</v>
      </c>
      <c r="G6651" t="str">
        <f t="shared" si="235"/>
        <v>753658</v>
      </c>
      <c r="H6651" s="2">
        <f>20</f>
        <v>20</v>
      </c>
      <c r="I6651" t="s">
        <v>27</v>
      </c>
      <c r="J6651" t="s">
        <v>39</v>
      </c>
      <c r="K6651" t="str">
        <f>"128808"</f>
        <v>128808</v>
      </c>
    </row>
    <row r="6652" spans="1:11" x14ac:dyDescent="0.25">
      <c r="A6652">
        <v>2025</v>
      </c>
      <c r="B6652" t="s">
        <v>3790</v>
      </c>
      <c r="C6652" t="s">
        <v>3791</v>
      </c>
      <c r="D6652" t="s">
        <v>19</v>
      </c>
      <c r="E6652" t="s">
        <v>20</v>
      </c>
      <c r="F6652" t="str">
        <f>"43612-4386"</f>
        <v>43612-4386</v>
      </c>
      <c r="G6652" t="str">
        <f t="shared" si="235"/>
        <v>753658</v>
      </c>
      <c r="H6652" s="2">
        <f>20</f>
        <v>20</v>
      </c>
      <c r="I6652" t="s">
        <v>27</v>
      </c>
      <c r="J6652" t="s">
        <v>39</v>
      </c>
      <c r="K6652" t="str">
        <f>"128165"</f>
        <v>128165</v>
      </c>
    </row>
    <row r="6653" spans="1:11" x14ac:dyDescent="0.25">
      <c r="A6653">
        <v>2025</v>
      </c>
      <c r="B6653" t="s">
        <v>3792</v>
      </c>
      <c r="C6653" t="s">
        <v>3793</v>
      </c>
      <c r="D6653" t="s">
        <v>19</v>
      </c>
      <c r="E6653" t="s">
        <v>20</v>
      </c>
      <c r="F6653" t="str">
        <f>"43614-3252"</f>
        <v>43614-3252</v>
      </c>
      <c r="G6653" t="str">
        <f t="shared" si="235"/>
        <v>753658</v>
      </c>
      <c r="H6653" s="2">
        <f>10</f>
        <v>10</v>
      </c>
      <c r="I6653" t="s">
        <v>27</v>
      </c>
      <c r="J6653" t="s">
        <v>39</v>
      </c>
      <c r="K6653" t="str">
        <f>"126836"</f>
        <v>126836</v>
      </c>
    </row>
    <row r="6654" spans="1:11" x14ac:dyDescent="0.25">
      <c r="A6654">
        <v>2025</v>
      </c>
      <c r="B6654" t="s">
        <v>3796</v>
      </c>
      <c r="C6654" t="s">
        <v>3797</v>
      </c>
      <c r="D6654" t="s">
        <v>323</v>
      </c>
      <c r="E6654" t="s">
        <v>20</v>
      </c>
      <c r="F6654" t="str">
        <f>"43571-9018"</f>
        <v>43571-9018</v>
      </c>
      <c r="G6654" t="str">
        <f t="shared" si="235"/>
        <v>753658</v>
      </c>
      <c r="H6654" s="2">
        <f>20</f>
        <v>20</v>
      </c>
      <c r="I6654" t="s">
        <v>27</v>
      </c>
      <c r="J6654" t="s">
        <v>39</v>
      </c>
      <c r="K6654" t="str">
        <f>"125522"</f>
        <v>125522</v>
      </c>
    </row>
    <row r="6655" spans="1:11" x14ac:dyDescent="0.25">
      <c r="A6655">
        <v>2025</v>
      </c>
      <c r="B6655" t="s">
        <v>3798</v>
      </c>
      <c r="C6655" t="s">
        <v>3799</v>
      </c>
      <c r="D6655" t="s">
        <v>125</v>
      </c>
      <c r="E6655" t="s">
        <v>20</v>
      </c>
      <c r="F6655" t="str">
        <f>"43537-3126"</f>
        <v>43537-3126</v>
      </c>
      <c r="G6655" t="str">
        <f t="shared" si="235"/>
        <v>753658</v>
      </c>
      <c r="H6655" s="2">
        <f>30</f>
        <v>30</v>
      </c>
      <c r="I6655" t="s">
        <v>27</v>
      </c>
      <c r="J6655" t="s">
        <v>39</v>
      </c>
      <c r="K6655" t="str">
        <f>"127311"</f>
        <v>127311</v>
      </c>
    </row>
    <row r="6656" spans="1:11" x14ac:dyDescent="0.25">
      <c r="A6656">
        <v>2025</v>
      </c>
      <c r="B6656" t="s">
        <v>3800</v>
      </c>
      <c r="C6656" t="s">
        <v>3801</v>
      </c>
      <c r="D6656" t="s">
        <v>1299</v>
      </c>
      <c r="E6656" t="s">
        <v>20</v>
      </c>
      <c r="F6656" t="str">
        <f>"43504-9742"</f>
        <v>43504-9742</v>
      </c>
      <c r="G6656" t="str">
        <f t="shared" si="235"/>
        <v>753658</v>
      </c>
      <c r="H6656" s="2">
        <f>20</f>
        <v>20</v>
      </c>
      <c r="I6656" t="s">
        <v>27</v>
      </c>
      <c r="J6656" t="s">
        <v>39</v>
      </c>
      <c r="K6656" t="str">
        <f>"129388"</f>
        <v>129388</v>
      </c>
    </row>
    <row r="6657" spans="1:11" x14ac:dyDescent="0.25">
      <c r="A6657">
        <v>2025</v>
      </c>
      <c r="B6657" t="s">
        <v>3807</v>
      </c>
      <c r="C6657" t="s">
        <v>3808</v>
      </c>
      <c r="D6657" t="s">
        <v>19</v>
      </c>
      <c r="E6657" t="s">
        <v>20</v>
      </c>
      <c r="F6657" t="str">
        <f>"43614-2911"</f>
        <v>43614-2911</v>
      </c>
      <c r="G6657" t="str">
        <f t="shared" si="235"/>
        <v>753658</v>
      </c>
      <c r="H6657" s="2">
        <f>40</f>
        <v>40</v>
      </c>
      <c r="I6657" t="s">
        <v>27</v>
      </c>
      <c r="J6657" t="s">
        <v>39</v>
      </c>
      <c r="K6657" t="str">
        <f>"131199"</f>
        <v>131199</v>
      </c>
    </row>
    <row r="6658" spans="1:11" x14ac:dyDescent="0.25">
      <c r="A6658">
        <v>2025</v>
      </c>
      <c r="B6658" t="s">
        <v>3809</v>
      </c>
      <c r="C6658" t="s">
        <v>3810</v>
      </c>
      <c r="D6658" t="s">
        <v>19</v>
      </c>
      <c r="E6658" t="s">
        <v>20</v>
      </c>
      <c r="F6658" t="str">
        <f>"43609-2214"</f>
        <v>43609-2214</v>
      </c>
      <c r="G6658" t="str">
        <f t="shared" si="235"/>
        <v>753658</v>
      </c>
      <c r="H6658" s="2">
        <f>20</f>
        <v>20</v>
      </c>
      <c r="I6658" t="s">
        <v>27</v>
      </c>
      <c r="J6658" t="s">
        <v>39</v>
      </c>
      <c r="K6658" t="str">
        <f>"131193"</f>
        <v>131193</v>
      </c>
    </row>
    <row r="6659" spans="1:11" x14ac:dyDescent="0.25">
      <c r="A6659">
        <v>2025</v>
      </c>
      <c r="B6659" t="s">
        <v>3834</v>
      </c>
      <c r="C6659" t="s">
        <v>1004</v>
      </c>
      <c r="D6659" t="s">
        <v>1005</v>
      </c>
      <c r="E6659" t="s">
        <v>20</v>
      </c>
      <c r="F6659" t="str">
        <f>"44139"</f>
        <v>44139</v>
      </c>
      <c r="G6659" t="str">
        <f>"759796"</f>
        <v>759796</v>
      </c>
      <c r="H6659" s="2">
        <f>548.55</f>
        <v>548.54999999999995</v>
      </c>
      <c r="I6659" t="s">
        <v>27</v>
      </c>
      <c r="J6659" t="s">
        <v>188</v>
      </c>
      <c r="K6659" t="str">
        <f>"45001"</f>
        <v>45001</v>
      </c>
    </row>
    <row r="6660" spans="1:11" x14ac:dyDescent="0.25">
      <c r="A6660">
        <v>2025</v>
      </c>
      <c r="B6660" t="s">
        <v>3834</v>
      </c>
      <c r="C6660" t="s">
        <v>1004</v>
      </c>
      <c r="D6660" t="s">
        <v>1005</v>
      </c>
      <c r="E6660" t="s">
        <v>20</v>
      </c>
      <c r="F6660" t="str">
        <f>"44139"</f>
        <v>44139</v>
      </c>
      <c r="G6660" t="str">
        <f>"759796"</f>
        <v>759796</v>
      </c>
      <c r="H6660" s="2">
        <f>203</f>
        <v>203</v>
      </c>
      <c r="I6660" t="s">
        <v>27</v>
      </c>
      <c r="J6660" t="s">
        <v>188</v>
      </c>
      <c r="K6660" t="str">
        <f>"44878"</f>
        <v>44878</v>
      </c>
    </row>
    <row r="6661" spans="1:11" x14ac:dyDescent="0.25">
      <c r="A6661">
        <v>2025</v>
      </c>
      <c r="B6661" t="s">
        <v>3834</v>
      </c>
      <c r="C6661" t="s">
        <v>1004</v>
      </c>
      <c r="D6661" t="s">
        <v>1005</v>
      </c>
      <c r="E6661" t="s">
        <v>20</v>
      </c>
      <c r="F6661" t="str">
        <f>"44139"</f>
        <v>44139</v>
      </c>
      <c r="G6661" t="str">
        <f>"759796"</f>
        <v>759796</v>
      </c>
      <c r="H6661" s="2">
        <f>31.83</f>
        <v>31.83</v>
      </c>
      <c r="I6661" t="s">
        <v>27</v>
      </c>
      <c r="J6661" t="s">
        <v>188</v>
      </c>
      <c r="K6661" t="str">
        <f>"45493"</f>
        <v>45493</v>
      </c>
    </row>
    <row r="6662" spans="1:11" x14ac:dyDescent="0.25">
      <c r="A6662">
        <v>2025</v>
      </c>
      <c r="B6662" t="s">
        <v>3834</v>
      </c>
      <c r="C6662" t="s">
        <v>1004</v>
      </c>
      <c r="D6662" t="s">
        <v>1005</v>
      </c>
      <c r="E6662" t="s">
        <v>20</v>
      </c>
      <c r="F6662" t="str">
        <f>"44139"</f>
        <v>44139</v>
      </c>
      <c r="G6662" t="str">
        <f>"759796"</f>
        <v>759796</v>
      </c>
      <c r="H6662" s="2">
        <f>186.83</f>
        <v>186.83</v>
      </c>
      <c r="I6662" t="s">
        <v>27</v>
      </c>
      <c r="J6662" t="s">
        <v>188</v>
      </c>
      <c r="K6662" t="str">
        <f>"45797"</f>
        <v>45797</v>
      </c>
    </row>
    <row r="6663" spans="1:11" x14ac:dyDescent="0.25">
      <c r="A6663">
        <v>2025</v>
      </c>
      <c r="B6663" t="s">
        <v>3835</v>
      </c>
      <c r="C6663" t="s">
        <v>3836</v>
      </c>
      <c r="D6663" t="s">
        <v>45</v>
      </c>
      <c r="E6663" t="s">
        <v>20</v>
      </c>
      <c r="F6663" t="str">
        <f>"43542"</f>
        <v>43542</v>
      </c>
      <c r="G6663" t="str">
        <f>"Je07082025"</f>
        <v>Je07082025</v>
      </c>
      <c r="H6663" s="2">
        <f>41.72</f>
        <v>41.72</v>
      </c>
      <c r="I6663" t="s">
        <v>15</v>
      </c>
      <c r="J6663" t="s">
        <v>185</v>
      </c>
      <c r="K6663" t="str">
        <f>"60152437"</f>
        <v>60152437</v>
      </c>
    </row>
    <row r="6664" spans="1:11" x14ac:dyDescent="0.25">
      <c r="A6664">
        <v>2025</v>
      </c>
      <c r="B6664" t="s">
        <v>3835</v>
      </c>
      <c r="C6664" t="s">
        <v>3837</v>
      </c>
      <c r="D6664" t="s">
        <v>45</v>
      </c>
      <c r="E6664" t="s">
        <v>20</v>
      </c>
      <c r="F6664" t="str">
        <f>"43542"</f>
        <v>43542</v>
      </c>
      <c r="G6664" t="str">
        <f>"Je07082025"</f>
        <v>Je07082025</v>
      </c>
      <c r="H6664" s="2">
        <f>73.66</f>
        <v>73.66</v>
      </c>
      <c r="I6664" t="s">
        <v>15</v>
      </c>
      <c r="J6664" t="s">
        <v>185</v>
      </c>
      <c r="K6664" t="str">
        <f>"60152434"</f>
        <v>60152434</v>
      </c>
    </row>
    <row r="6665" spans="1:11" x14ac:dyDescent="0.25">
      <c r="A6665">
        <v>2025</v>
      </c>
      <c r="B6665" t="s">
        <v>3835</v>
      </c>
      <c r="C6665" t="s">
        <v>3836</v>
      </c>
      <c r="D6665" t="s">
        <v>45</v>
      </c>
      <c r="E6665" t="s">
        <v>20</v>
      </c>
      <c r="F6665" t="str">
        <f>"43542"</f>
        <v>43542</v>
      </c>
      <c r="G6665" t="str">
        <f>"Je07082025"</f>
        <v>Je07082025</v>
      </c>
      <c r="H6665" s="2">
        <f>196.54</f>
        <v>196.54</v>
      </c>
      <c r="I6665" t="s">
        <v>15</v>
      </c>
      <c r="J6665" t="s">
        <v>185</v>
      </c>
      <c r="K6665" t="str">
        <f>"60152435"</f>
        <v>60152435</v>
      </c>
    </row>
    <row r="6666" spans="1:11" x14ac:dyDescent="0.25">
      <c r="A6666">
        <v>2025</v>
      </c>
      <c r="B6666" t="s">
        <v>3835</v>
      </c>
      <c r="C6666" t="s">
        <v>3838</v>
      </c>
      <c r="D6666" t="s">
        <v>19</v>
      </c>
      <c r="E6666" t="s">
        <v>20</v>
      </c>
      <c r="F6666" t="str">
        <f>"43612"</f>
        <v>43612</v>
      </c>
      <c r="G6666" t="str">
        <f>"Je07082025"</f>
        <v>Je07082025</v>
      </c>
      <c r="H6666" s="2">
        <f>408.14</f>
        <v>408.14</v>
      </c>
      <c r="I6666" t="s">
        <v>15</v>
      </c>
      <c r="J6666" t="s">
        <v>185</v>
      </c>
      <c r="K6666" t="str">
        <f>"60152436"</f>
        <v>60152436</v>
      </c>
    </row>
    <row r="6667" spans="1:11" x14ac:dyDescent="0.25">
      <c r="A6667">
        <v>2025</v>
      </c>
      <c r="B6667" t="s">
        <v>3839</v>
      </c>
      <c r="C6667" t="s">
        <v>3840</v>
      </c>
      <c r="D6667" t="s">
        <v>45</v>
      </c>
      <c r="E6667" t="s">
        <v>20</v>
      </c>
      <c r="F6667" t="str">
        <f>"43542"</f>
        <v>43542</v>
      </c>
      <c r="G6667" t="str">
        <f>"Je07082025"</f>
        <v>Je07082025</v>
      </c>
      <c r="H6667" s="2">
        <f>309.85</f>
        <v>309.85000000000002</v>
      </c>
      <c r="I6667" t="s">
        <v>15</v>
      </c>
      <c r="J6667" t="s">
        <v>185</v>
      </c>
      <c r="K6667" t="str">
        <f>"60152438"</f>
        <v>60152438</v>
      </c>
    </row>
    <row r="6668" spans="1:11" x14ac:dyDescent="0.25">
      <c r="A6668">
        <v>2025</v>
      </c>
      <c r="B6668" t="s">
        <v>3854</v>
      </c>
      <c r="C6668" t="s">
        <v>3855</v>
      </c>
      <c r="D6668" t="s">
        <v>111</v>
      </c>
      <c r="E6668" t="s">
        <v>20</v>
      </c>
      <c r="F6668" t="str">
        <f>"43236"</f>
        <v>43236</v>
      </c>
      <c r="G6668" t="str">
        <f>"740128"</f>
        <v>740128</v>
      </c>
      <c r="H6668" s="2">
        <f>36</f>
        <v>36</v>
      </c>
      <c r="I6668" t="s">
        <v>148</v>
      </c>
      <c r="J6668" t="s">
        <v>3856</v>
      </c>
      <c r="K6668" t="str">
        <f>"27417"</f>
        <v>27417</v>
      </c>
    </row>
    <row r="6669" spans="1:11" x14ac:dyDescent="0.25">
      <c r="A6669">
        <v>2025</v>
      </c>
      <c r="B6669" t="s">
        <v>3854</v>
      </c>
      <c r="C6669" t="s">
        <v>3855</v>
      </c>
      <c r="D6669" t="s">
        <v>111</v>
      </c>
      <c r="E6669" t="s">
        <v>20</v>
      </c>
      <c r="F6669" t="str">
        <f>"43236"</f>
        <v>43236</v>
      </c>
      <c r="G6669" t="str">
        <f>"740128"</f>
        <v>740128</v>
      </c>
      <c r="H6669" s="2">
        <f>21.9</f>
        <v>21.9</v>
      </c>
      <c r="I6669" t="s">
        <v>148</v>
      </c>
      <c r="J6669" t="s">
        <v>3857</v>
      </c>
      <c r="K6669" t="str">
        <f>"27417"</f>
        <v>27417</v>
      </c>
    </row>
    <row r="6670" spans="1:11" x14ac:dyDescent="0.25">
      <c r="A6670">
        <v>2025</v>
      </c>
      <c r="B6670" t="s">
        <v>3862</v>
      </c>
      <c r="C6670" t="s">
        <v>3863</v>
      </c>
      <c r="D6670" t="s">
        <v>19</v>
      </c>
      <c r="E6670" t="s">
        <v>20</v>
      </c>
      <c r="F6670" t="str">
        <f>"43615-2043"</f>
        <v>43615-2043</v>
      </c>
      <c r="G6670" t="str">
        <f t="shared" ref="G6670:G6686" si="236">"753658"</f>
        <v>753658</v>
      </c>
      <c r="H6670" s="2">
        <f>10</f>
        <v>10</v>
      </c>
      <c r="I6670" t="s">
        <v>27</v>
      </c>
      <c r="J6670" t="s">
        <v>39</v>
      </c>
      <c r="K6670" t="str">
        <f>"130075"</f>
        <v>130075</v>
      </c>
    </row>
    <row r="6671" spans="1:11" x14ac:dyDescent="0.25">
      <c r="A6671">
        <v>2025</v>
      </c>
      <c r="B6671" t="s">
        <v>3864</v>
      </c>
      <c r="C6671" t="s">
        <v>3865</v>
      </c>
      <c r="D6671" t="s">
        <v>45</v>
      </c>
      <c r="E6671" t="s">
        <v>20</v>
      </c>
      <c r="F6671" t="str">
        <f>"43542-9675"</f>
        <v>43542-9675</v>
      </c>
      <c r="G6671" t="str">
        <f t="shared" si="236"/>
        <v>753658</v>
      </c>
      <c r="H6671" s="2">
        <f>20</f>
        <v>20</v>
      </c>
      <c r="I6671" t="s">
        <v>27</v>
      </c>
      <c r="J6671" t="s">
        <v>39</v>
      </c>
      <c r="K6671" t="str">
        <f>"126432"</f>
        <v>126432</v>
      </c>
    </row>
    <row r="6672" spans="1:11" x14ac:dyDescent="0.25">
      <c r="A6672">
        <v>2025</v>
      </c>
      <c r="B6672" t="s">
        <v>3866</v>
      </c>
      <c r="C6672" t="s">
        <v>3867</v>
      </c>
      <c r="D6672" t="s">
        <v>58</v>
      </c>
      <c r="E6672" t="s">
        <v>20</v>
      </c>
      <c r="F6672" t="str">
        <f>"43616-4420"</f>
        <v>43616-4420</v>
      </c>
      <c r="G6672" t="str">
        <f t="shared" si="236"/>
        <v>753658</v>
      </c>
      <c r="H6672" s="2">
        <f>20</f>
        <v>20</v>
      </c>
      <c r="I6672" t="s">
        <v>27</v>
      </c>
      <c r="J6672" t="s">
        <v>39</v>
      </c>
      <c r="K6672" t="str">
        <f>"125641"</f>
        <v>125641</v>
      </c>
    </row>
    <row r="6673" spans="1:11" x14ac:dyDescent="0.25">
      <c r="A6673">
        <v>2025</v>
      </c>
      <c r="B6673" t="s">
        <v>3868</v>
      </c>
      <c r="C6673" t="s">
        <v>3869</v>
      </c>
      <c r="D6673" t="s">
        <v>19</v>
      </c>
      <c r="E6673" t="s">
        <v>20</v>
      </c>
      <c r="F6673" t="str">
        <f>"43611-2229"</f>
        <v>43611-2229</v>
      </c>
      <c r="G6673" t="str">
        <f t="shared" si="236"/>
        <v>753658</v>
      </c>
      <c r="H6673" s="2">
        <f>10</f>
        <v>10</v>
      </c>
      <c r="I6673" t="s">
        <v>27</v>
      </c>
      <c r="J6673" t="s">
        <v>39</v>
      </c>
      <c r="K6673" t="str">
        <f>"128273"</f>
        <v>128273</v>
      </c>
    </row>
    <row r="6674" spans="1:11" x14ac:dyDescent="0.25">
      <c r="A6674">
        <v>2025</v>
      </c>
      <c r="B6674" t="s">
        <v>3872</v>
      </c>
      <c r="C6674" t="s">
        <v>3873</v>
      </c>
      <c r="D6674" t="s">
        <v>58</v>
      </c>
      <c r="E6674" t="s">
        <v>20</v>
      </c>
      <c r="F6674" t="str">
        <f>"43616-2917"</f>
        <v>43616-2917</v>
      </c>
      <c r="G6674" t="str">
        <f t="shared" si="236"/>
        <v>753658</v>
      </c>
      <c r="H6674" s="2">
        <f>7.5</f>
        <v>7.5</v>
      </c>
      <c r="I6674" t="s">
        <v>27</v>
      </c>
      <c r="J6674" t="s">
        <v>39</v>
      </c>
      <c r="K6674" t="str">
        <f>"129497"</f>
        <v>129497</v>
      </c>
    </row>
    <row r="6675" spans="1:11" x14ac:dyDescent="0.25">
      <c r="A6675">
        <v>2025</v>
      </c>
      <c r="B6675" t="s">
        <v>3882</v>
      </c>
      <c r="C6675" t="s">
        <v>3883</v>
      </c>
      <c r="D6675" t="s">
        <v>19</v>
      </c>
      <c r="E6675" t="s">
        <v>20</v>
      </c>
      <c r="F6675" t="str">
        <f>"43613-4427"</f>
        <v>43613-4427</v>
      </c>
      <c r="G6675" t="str">
        <f t="shared" si="236"/>
        <v>753658</v>
      </c>
      <c r="H6675" s="2">
        <f>10</f>
        <v>10</v>
      </c>
      <c r="I6675" t="s">
        <v>27</v>
      </c>
      <c r="J6675" t="s">
        <v>39</v>
      </c>
      <c r="K6675" t="str">
        <f>"125220"</f>
        <v>125220</v>
      </c>
    </row>
    <row r="6676" spans="1:11" x14ac:dyDescent="0.25">
      <c r="A6676">
        <v>2025</v>
      </c>
      <c r="B6676" t="s">
        <v>3901</v>
      </c>
      <c r="C6676" t="s">
        <v>3902</v>
      </c>
      <c r="D6676" t="s">
        <v>50</v>
      </c>
      <c r="E6676" t="s">
        <v>20</v>
      </c>
      <c r="F6676" t="str">
        <f>"43560-1261"</f>
        <v>43560-1261</v>
      </c>
      <c r="G6676" t="str">
        <f t="shared" si="236"/>
        <v>753658</v>
      </c>
      <c r="H6676" s="2">
        <f>10</f>
        <v>10</v>
      </c>
      <c r="I6676" t="s">
        <v>27</v>
      </c>
      <c r="J6676" t="s">
        <v>39</v>
      </c>
      <c r="K6676" t="str">
        <f>"126745"</f>
        <v>126745</v>
      </c>
    </row>
    <row r="6677" spans="1:11" x14ac:dyDescent="0.25">
      <c r="A6677">
        <v>2025</v>
      </c>
      <c r="B6677" t="s">
        <v>3903</v>
      </c>
      <c r="C6677" t="s">
        <v>3904</v>
      </c>
      <c r="D6677" t="s">
        <v>50</v>
      </c>
      <c r="E6677" t="s">
        <v>20</v>
      </c>
      <c r="F6677" t="str">
        <f>"43560-2945"</f>
        <v>43560-2945</v>
      </c>
      <c r="G6677" t="str">
        <f t="shared" si="236"/>
        <v>753658</v>
      </c>
      <c r="H6677" s="2">
        <f>40</f>
        <v>40</v>
      </c>
      <c r="I6677" t="s">
        <v>27</v>
      </c>
      <c r="J6677" t="s">
        <v>39</v>
      </c>
      <c r="K6677" t="str">
        <f>"125885"</f>
        <v>125885</v>
      </c>
    </row>
    <row r="6678" spans="1:11" x14ac:dyDescent="0.25">
      <c r="A6678">
        <v>2025</v>
      </c>
      <c r="B6678" t="s">
        <v>3925</v>
      </c>
      <c r="C6678" t="s">
        <v>3926</v>
      </c>
      <c r="D6678" t="s">
        <v>19</v>
      </c>
      <c r="E6678" t="s">
        <v>20</v>
      </c>
      <c r="F6678" t="str">
        <f>"43613-2902"</f>
        <v>43613-2902</v>
      </c>
      <c r="G6678" t="str">
        <f t="shared" si="236"/>
        <v>753658</v>
      </c>
      <c r="H6678" s="2">
        <f>10</f>
        <v>10</v>
      </c>
      <c r="I6678" t="s">
        <v>27</v>
      </c>
      <c r="J6678" t="s">
        <v>39</v>
      </c>
      <c r="K6678" t="str">
        <f>"128024"</f>
        <v>128024</v>
      </c>
    </row>
    <row r="6679" spans="1:11" x14ac:dyDescent="0.25">
      <c r="A6679">
        <v>2025</v>
      </c>
      <c r="B6679" t="s">
        <v>3931</v>
      </c>
      <c r="C6679" t="s">
        <v>3932</v>
      </c>
      <c r="D6679" t="s">
        <v>19</v>
      </c>
      <c r="E6679" t="s">
        <v>20</v>
      </c>
      <c r="F6679" t="str">
        <f>"43623"</f>
        <v>43623</v>
      </c>
      <c r="G6679" t="str">
        <f t="shared" si="236"/>
        <v>753658</v>
      </c>
      <c r="H6679" s="2">
        <f>20</f>
        <v>20</v>
      </c>
      <c r="I6679" t="s">
        <v>27</v>
      </c>
      <c r="J6679" t="s">
        <v>39</v>
      </c>
      <c r="K6679" t="str">
        <f>"127898"</f>
        <v>127898</v>
      </c>
    </row>
    <row r="6680" spans="1:11" x14ac:dyDescent="0.25">
      <c r="A6680">
        <v>2025</v>
      </c>
      <c r="B6680" t="s">
        <v>3933</v>
      </c>
      <c r="C6680" t="s">
        <v>3934</v>
      </c>
      <c r="D6680" t="s">
        <v>50</v>
      </c>
      <c r="E6680" t="s">
        <v>20</v>
      </c>
      <c r="F6680" t="str">
        <f>"43560-9032"</f>
        <v>43560-9032</v>
      </c>
      <c r="G6680" t="str">
        <f t="shared" si="236"/>
        <v>753658</v>
      </c>
      <c r="H6680" s="2">
        <f>30</f>
        <v>30</v>
      </c>
      <c r="I6680" t="s">
        <v>27</v>
      </c>
      <c r="J6680" t="s">
        <v>39</v>
      </c>
      <c r="K6680" t="str">
        <f>"126936"</f>
        <v>126936</v>
      </c>
    </row>
    <row r="6681" spans="1:11" x14ac:dyDescent="0.25">
      <c r="A6681">
        <v>2025</v>
      </c>
      <c r="B6681" t="s">
        <v>3935</v>
      </c>
      <c r="C6681" t="s">
        <v>3936</v>
      </c>
      <c r="D6681" t="s">
        <v>64</v>
      </c>
      <c r="E6681" t="s">
        <v>20</v>
      </c>
      <c r="F6681" t="str">
        <f>"43566-1232"</f>
        <v>43566-1232</v>
      </c>
      <c r="G6681" t="str">
        <f t="shared" si="236"/>
        <v>753658</v>
      </c>
      <c r="H6681" s="2">
        <f>20</f>
        <v>20</v>
      </c>
      <c r="I6681" t="s">
        <v>27</v>
      </c>
      <c r="J6681" t="s">
        <v>39</v>
      </c>
      <c r="K6681" t="str">
        <f>"128446"</f>
        <v>128446</v>
      </c>
    </row>
    <row r="6682" spans="1:11" x14ac:dyDescent="0.25">
      <c r="A6682">
        <v>2025</v>
      </c>
      <c r="B6682" t="s">
        <v>3935</v>
      </c>
      <c r="C6682" t="s">
        <v>3936</v>
      </c>
      <c r="D6682" t="s">
        <v>64</v>
      </c>
      <c r="E6682" t="s">
        <v>20</v>
      </c>
      <c r="F6682" t="str">
        <f>"43566-1232"</f>
        <v>43566-1232</v>
      </c>
      <c r="G6682" t="str">
        <f t="shared" si="236"/>
        <v>753658</v>
      </c>
      <c r="H6682" s="2">
        <f>20</f>
        <v>20</v>
      </c>
      <c r="I6682" t="s">
        <v>27</v>
      </c>
      <c r="J6682" t="s">
        <v>39</v>
      </c>
      <c r="K6682" t="str">
        <f>"128568"</f>
        <v>128568</v>
      </c>
    </row>
    <row r="6683" spans="1:11" x14ac:dyDescent="0.25">
      <c r="A6683">
        <v>2025</v>
      </c>
      <c r="B6683" t="s">
        <v>3939</v>
      </c>
      <c r="C6683" t="s">
        <v>3940</v>
      </c>
      <c r="D6683" t="s">
        <v>19</v>
      </c>
      <c r="E6683" t="s">
        <v>20</v>
      </c>
      <c r="F6683" t="str">
        <f>"43615-1447"</f>
        <v>43615-1447</v>
      </c>
      <c r="G6683" t="str">
        <f t="shared" si="236"/>
        <v>753658</v>
      </c>
      <c r="H6683" s="2">
        <f>10</f>
        <v>10</v>
      </c>
      <c r="I6683" t="s">
        <v>27</v>
      </c>
      <c r="J6683" t="s">
        <v>39</v>
      </c>
      <c r="K6683" t="str">
        <f>"127653"</f>
        <v>127653</v>
      </c>
    </row>
    <row r="6684" spans="1:11" x14ac:dyDescent="0.25">
      <c r="A6684">
        <v>2025</v>
      </c>
      <c r="B6684" t="s">
        <v>3943</v>
      </c>
      <c r="C6684" t="s">
        <v>3944</v>
      </c>
      <c r="D6684" t="s">
        <v>19</v>
      </c>
      <c r="E6684" t="s">
        <v>20</v>
      </c>
      <c r="F6684" t="str">
        <f>"43607-4427"</f>
        <v>43607-4427</v>
      </c>
      <c r="G6684" t="str">
        <f t="shared" si="236"/>
        <v>753658</v>
      </c>
      <c r="H6684" s="2">
        <f>10</f>
        <v>10</v>
      </c>
      <c r="I6684" t="s">
        <v>27</v>
      </c>
      <c r="J6684" t="s">
        <v>39</v>
      </c>
      <c r="K6684" t="str">
        <f>"126306"</f>
        <v>126306</v>
      </c>
    </row>
    <row r="6685" spans="1:11" x14ac:dyDescent="0.25">
      <c r="A6685">
        <v>2025</v>
      </c>
      <c r="B6685" t="s">
        <v>3945</v>
      </c>
      <c r="C6685" t="s">
        <v>3946</v>
      </c>
      <c r="D6685" t="s">
        <v>19</v>
      </c>
      <c r="E6685" t="s">
        <v>20</v>
      </c>
      <c r="F6685" t="str">
        <f>"43609"</f>
        <v>43609</v>
      </c>
      <c r="G6685" t="str">
        <f t="shared" si="236"/>
        <v>753658</v>
      </c>
      <c r="H6685" s="2">
        <f>10</f>
        <v>10</v>
      </c>
      <c r="I6685" t="s">
        <v>27</v>
      </c>
      <c r="J6685" t="s">
        <v>39</v>
      </c>
      <c r="K6685" t="str">
        <f>"126709"</f>
        <v>126709</v>
      </c>
    </row>
    <row r="6686" spans="1:11" x14ac:dyDescent="0.25">
      <c r="A6686">
        <v>2025</v>
      </c>
      <c r="B6686" t="s">
        <v>3949</v>
      </c>
      <c r="C6686" t="s">
        <v>3950</v>
      </c>
      <c r="D6686" t="s">
        <v>19</v>
      </c>
      <c r="E6686" t="s">
        <v>20</v>
      </c>
      <c r="F6686" t="str">
        <f>"43605-3307"</f>
        <v>43605-3307</v>
      </c>
      <c r="G6686" t="str">
        <f t="shared" si="236"/>
        <v>753658</v>
      </c>
      <c r="H6686" s="2">
        <f>10</f>
        <v>10</v>
      </c>
      <c r="I6686" t="s">
        <v>27</v>
      </c>
      <c r="J6686" t="s">
        <v>39</v>
      </c>
      <c r="K6686" t="str">
        <f>"125570"</f>
        <v>125570</v>
      </c>
    </row>
    <row r="6687" spans="1:11" x14ac:dyDescent="0.25">
      <c r="A6687">
        <v>2025</v>
      </c>
      <c r="B6687" t="s">
        <v>3955</v>
      </c>
      <c r="C6687" t="s">
        <v>3956</v>
      </c>
      <c r="D6687" t="s">
        <v>19</v>
      </c>
      <c r="E6687" t="s">
        <v>20</v>
      </c>
      <c r="F6687" t="str">
        <f>"43605"</f>
        <v>43605</v>
      </c>
      <c r="G6687" t="str">
        <f>"751641"</f>
        <v>751641</v>
      </c>
      <c r="H6687" s="2">
        <f>30</f>
        <v>30</v>
      </c>
      <c r="I6687" t="s">
        <v>27</v>
      </c>
      <c r="J6687" t="s">
        <v>219</v>
      </c>
      <c r="K6687" t="str">
        <f>"22027976"</f>
        <v>22027976</v>
      </c>
    </row>
    <row r="6688" spans="1:11" x14ac:dyDescent="0.25">
      <c r="A6688">
        <v>2025</v>
      </c>
      <c r="B6688" t="s">
        <v>3975</v>
      </c>
      <c r="C6688" t="s">
        <v>3976</v>
      </c>
      <c r="D6688" t="s">
        <v>19</v>
      </c>
      <c r="E6688" t="s">
        <v>20</v>
      </c>
      <c r="F6688" t="str">
        <f>"43607-2686"</f>
        <v>43607-2686</v>
      </c>
      <c r="G6688" t="str">
        <f t="shared" ref="G6688:G6694" si="237">"753658"</f>
        <v>753658</v>
      </c>
      <c r="H6688" s="2">
        <f>20</f>
        <v>20</v>
      </c>
      <c r="I6688" t="s">
        <v>27</v>
      </c>
      <c r="J6688" t="s">
        <v>39</v>
      </c>
      <c r="K6688" t="str">
        <f>"129899"</f>
        <v>129899</v>
      </c>
    </row>
    <row r="6689" spans="1:11" x14ac:dyDescent="0.25">
      <c r="A6689">
        <v>2025</v>
      </c>
      <c r="B6689" t="s">
        <v>3984</v>
      </c>
      <c r="C6689" t="s">
        <v>3985</v>
      </c>
      <c r="D6689" t="s">
        <v>19</v>
      </c>
      <c r="E6689" t="s">
        <v>20</v>
      </c>
      <c r="F6689" t="str">
        <f>"43612-2301"</f>
        <v>43612-2301</v>
      </c>
      <c r="G6689" t="str">
        <f t="shared" si="237"/>
        <v>753658</v>
      </c>
      <c r="H6689" s="2">
        <f>10</f>
        <v>10</v>
      </c>
      <c r="I6689" t="s">
        <v>27</v>
      </c>
      <c r="J6689" t="s">
        <v>39</v>
      </c>
      <c r="K6689" t="str">
        <f>"126037"</f>
        <v>126037</v>
      </c>
    </row>
    <row r="6690" spans="1:11" x14ac:dyDescent="0.25">
      <c r="A6690">
        <v>2025</v>
      </c>
      <c r="B6690" t="s">
        <v>3988</v>
      </c>
      <c r="C6690" t="s">
        <v>3989</v>
      </c>
      <c r="D6690" t="s">
        <v>19</v>
      </c>
      <c r="E6690" t="s">
        <v>20</v>
      </c>
      <c r="F6690" t="str">
        <f>"43613-3714"</f>
        <v>43613-3714</v>
      </c>
      <c r="G6690" t="str">
        <f t="shared" si="237"/>
        <v>753658</v>
      </c>
      <c r="H6690" s="2">
        <f>30</f>
        <v>30</v>
      </c>
      <c r="I6690" t="s">
        <v>27</v>
      </c>
      <c r="J6690" t="s">
        <v>39</v>
      </c>
      <c r="K6690" t="str">
        <f>"131235"</f>
        <v>131235</v>
      </c>
    </row>
    <row r="6691" spans="1:11" x14ac:dyDescent="0.25">
      <c r="A6691">
        <v>2025</v>
      </c>
      <c r="B6691" t="s">
        <v>3990</v>
      </c>
      <c r="C6691" t="s">
        <v>3991</v>
      </c>
      <c r="D6691" t="s">
        <v>19</v>
      </c>
      <c r="E6691" t="s">
        <v>20</v>
      </c>
      <c r="F6691" t="str">
        <f>"43615-1867"</f>
        <v>43615-1867</v>
      </c>
      <c r="G6691" t="str">
        <f t="shared" si="237"/>
        <v>753658</v>
      </c>
      <c r="H6691" s="2">
        <f>30</f>
        <v>30</v>
      </c>
      <c r="I6691" t="s">
        <v>27</v>
      </c>
      <c r="J6691" t="s">
        <v>39</v>
      </c>
      <c r="K6691" t="str">
        <f>"129480"</f>
        <v>129480</v>
      </c>
    </row>
    <row r="6692" spans="1:11" x14ac:dyDescent="0.25">
      <c r="A6692">
        <v>2025</v>
      </c>
      <c r="B6692" t="s">
        <v>3992</v>
      </c>
      <c r="C6692" t="s">
        <v>3993</v>
      </c>
      <c r="D6692" t="s">
        <v>105</v>
      </c>
      <c r="E6692" t="s">
        <v>20</v>
      </c>
      <c r="F6692" t="str">
        <f>"43528-8089"</f>
        <v>43528-8089</v>
      </c>
      <c r="G6692" t="str">
        <f t="shared" si="237"/>
        <v>753658</v>
      </c>
      <c r="H6692" s="2">
        <f>100</f>
        <v>100</v>
      </c>
      <c r="I6692" t="s">
        <v>27</v>
      </c>
      <c r="J6692" t="s">
        <v>39</v>
      </c>
      <c r="K6692" t="str">
        <f>"131319"</f>
        <v>131319</v>
      </c>
    </row>
    <row r="6693" spans="1:11" x14ac:dyDescent="0.25">
      <c r="A6693">
        <v>2025</v>
      </c>
      <c r="B6693" t="s">
        <v>3996</v>
      </c>
      <c r="C6693" t="s">
        <v>3997</v>
      </c>
      <c r="D6693" t="s">
        <v>105</v>
      </c>
      <c r="E6693" t="s">
        <v>20</v>
      </c>
      <c r="F6693" t="str">
        <f>"43528-8883"</f>
        <v>43528-8883</v>
      </c>
      <c r="G6693" t="str">
        <f t="shared" si="237"/>
        <v>753658</v>
      </c>
      <c r="H6693" s="2">
        <f>20</f>
        <v>20</v>
      </c>
      <c r="I6693" t="s">
        <v>27</v>
      </c>
      <c r="J6693" t="s">
        <v>39</v>
      </c>
      <c r="K6693" t="str">
        <f>"125416"</f>
        <v>125416</v>
      </c>
    </row>
    <row r="6694" spans="1:11" x14ac:dyDescent="0.25">
      <c r="A6694">
        <v>2025</v>
      </c>
      <c r="B6694" t="s">
        <v>4002</v>
      </c>
      <c r="C6694" t="s">
        <v>4003</v>
      </c>
      <c r="D6694" t="s">
        <v>19</v>
      </c>
      <c r="E6694" t="s">
        <v>20</v>
      </c>
      <c r="F6694" t="str">
        <f>"43612-2050"</f>
        <v>43612-2050</v>
      </c>
      <c r="G6694" t="str">
        <f t="shared" si="237"/>
        <v>753658</v>
      </c>
      <c r="H6694" s="2">
        <f>10</f>
        <v>10</v>
      </c>
      <c r="I6694" t="s">
        <v>27</v>
      </c>
      <c r="J6694" t="s">
        <v>39</v>
      </c>
      <c r="K6694" t="str">
        <f>"129626"</f>
        <v>129626</v>
      </c>
    </row>
    <row r="6695" spans="1:11" x14ac:dyDescent="0.25">
      <c r="A6695">
        <v>2025</v>
      </c>
      <c r="B6695" t="s">
        <v>4006</v>
      </c>
      <c r="C6695" t="s">
        <v>3538</v>
      </c>
      <c r="D6695" t="s">
        <v>1005</v>
      </c>
      <c r="E6695" t="s">
        <v>20</v>
      </c>
      <c r="F6695" t="str">
        <f>"44139"</f>
        <v>44139</v>
      </c>
      <c r="G6695" t="str">
        <f>"759796"</f>
        <v>759796</v>
      </c>
      <c r="H6695" s="2">
        <f>539.55</f>
        <v>539.54999999999995</v>
      </c>
      <c r="I6695" t="s">
        <v>27</v>
      </c>
      <c r="J6695" t="s">
        <v>188</v>
      </c>
      <c r="K6695" t="str">
        <f>"44398"</f>
        <v>44398</v>
      </c>
    </row>
    <row r="6696" spans="1:11" x14ac:dyDescent="0.25">
      <c r="A6696">
        <v>2025</v>
      </c>
      <c r="B6696" t="s">
        <v>4023</v>
      </c>
      <c r="C6696" t="s">
        <v>4024</v>
      </c>
      <c r="D6696" t="s">
        <v>19</v>
      </c>
      <c r="E6696" t="s">
        <v>20</v>
      </c>
      <c r="F6696" t="str">
        <f>"43620"</f>
        <v>43620</v>
      </c>
      <c r="G6696" t="str">
        <f>"751641"</f>
        <v>751641</v>
      </c>
      <c r="H6696" s="2">
        <f>4</f>
        <v>4</v>
      </c>
      <c r="I6696" t="s">
        <v>27</v>
      </c>
      <c r="J6696" t="s">
        <v>219</v>
      </c>
      <c r="K6696" t="str">
        <f>"11004806"</f>
        <v>11004806</v>
      </c>
    </row>
    <row r="6697" spans="1:11" x14ac:dyDescent="0.25">
      <c r="A6697">
        <v>2025</v>
      </c>
      <c r="B6697" t="s">
        <v>4045</v>
      </c>
      <c r="C6697" t="s">
        <v>4046</v>
      </c>
      <c r="D6697" t="s">
        <v>422</v>
      </c>
      <c r="E6697" t="s">
        <v>20</v>
      </c>
      <c r="F6697" t="str">
        <f>"44113"</f>
        <v>44113</v>
      </c>
      <c r="G6697" t="str">
        <f>"759796"</f>
        <v>759796</v>
      </c>
      <c r="H6697" s="2">
        <f>17</f>
        <v>17</v>
      </c>
      <c r="I6697" t="s">
        <v>27</v>
      </c>
      <c r="J6697" t="s">
        <v>188</v>
      </c>
      <c r="K6697" t="str">
        <f>"44765"</f>
        <v>44765</v>
      </c>
    </row>
    <row r="6698" spans="1:11" x14ac:dyDescent="0.25">
      <c r="A6698">
        <v>2025</v>
      </c>
      <c r="B6698" t="s">
        <v>4049</v>
      </c>
      <c r="C6698" t="s">
        <v>1004</v>
      </c>
      <c r="D6698" t="s">
        <v>1005</v>
      </c>
      <c r="E6698" t="s">
        <v>20</v>
      </c>
      <c r="F6698" t="str">
        <f>"44139"</f>
        <v>44139</v>
      </c>
      <c r="G6698" t="str">
        <f>"759796"</f>
        <v>759796</v>
      </c>
      <c r="H6698" s="2">
        <f>168.6</f>
        <v>168.6</v>
      </c>
      <c r="I6698" t="s">
        <v>27</v>
      </c>
      <c r="J6698" t="s">
        <v>188</v>
      </c>
      <c r="K6698" t="str">
        <f>"45510"</f>
        <v>45510</v>
      </c>
    </row>
    <row r="6699" spans="1:11" x14ac:dyDescent="0.25">
      <c r="A6699">
        <v>2025</v>
      </c>
      <c r="B6699" t="s">
        <v>4060</v>
      </c>
      <c r="C6699" t="s">
        <v>4061</v>
      </c>
      <c r="D6699" t="s">
        <v>19</v>
      </c>
      <c r="E6699" t="s">
        <v>20</v>
      </c>
      <c r="F6699" t="str">
        <f>"43613"</f>
        <v>43613</v>
      </c>
      <c r="G6699" t="str">
        <f>"753658"</f>
        <v>753658</v>
      </c>
      <c r="H6699" s="2">
        <f>10</f>
        <v>10</v>
      </c>
      <c r="I6699" t="s">
        <v>27</v>
      </c>
      <c r="J6699" t="s">
        <v>39</v>
      </c>
      <c r="K6699" t="str">
        <f>"127970"</f>
        <v>127970</v>
      </c>
    </row>
    <row r="6700" spans="1:11" x14ac:dyDescent="0.25">
      <c r="A6700">
        <v>2025</v>
      </c>
      <c r="B6700" t="s">
        <v>4064</v>
      </c>
      <c r="C6700" t="s">
        <v>4065</v>
      </c>
      <c r="D6700" t="s">
        <v>50</v>
      </c>
      <c r="E6700" t="s">
        <v>20</v>
      </c>
      <c r="F6700" t="str">
        <f>"43560"</f>
        <v>43560</v>
      </c>
      <c r="G6700" t="str">
        <f>"Je07082025"</f>
        <v>Je07082025</v>
      </c>
      <c r="H6700" s="2">
        <f>172.44</f>
        <v>172.44</v>
      </c>
      <c r="I6700" t="s">
        <v>15</v>
      </c>
      <c r="J6700" t="s">
        <v>185</v>
      </c>
      <c r="K6700" t="str">
        <f>"60154285"</f>
        <v>60154285</v>
      </c>
    </row>
    <row r="6701" spans="1:11" x14ac:dyDescent="0.25">
      <c r="A6701">
        <v>2025</v>
      </c>
      <c r="B6701" t="s">
        <v>4080</v>
      </c>
      <c r="C6701" t="s">
        <v>1162</v>
      </c>
      <c r="D6701" t="s">
        <v>1163</v>
      </c>
      <c r="E6701" t="s">
        <v>20</v>
      </c>
      <c r="F6701" t="str">
        <f>"45202"</f>
        <v>45202</v>
      </c>
      <c r="G6701" t="str">
        <f t="shared" ref="G6701:G6712" si="238">"759796"</f>
        <v>759796</v>
      </c>
      <c r="H6701" s="2">
        <f>550</f>
        <v>550</v>
      </c>
      <c r="I6701" t="s">
        <v>27</v>
      </c>
      <c r="J6701" t="s">
        <v>188</v>
      </c>
      <c r="K6701" t="str">
        <f>"43953"</f>
        <v>43953</v>
      </c>
    </row>
    <row r="6702" spans="1:11" x14ac:dyDescent="0.25">
      <c r="A6702">
        <v>2025</v>
      </c>
      <c r="B6702" t="s">
        <v>4080</v>
      </c>
      <c r="C6702" t="s">
        <v>1162</v>
      </c>
      <c r="D6702" t="s">
        <v>1163</v>
      </c>
      <c r="E6702" t="s">
        <v>20</v>
      </c>
      <c r="F6702" t="str">
        <f>"45202"</f>
        <v>45202</v>
      </c>
      <c r="G6702" t="str">
        <f t="shared" si="238"/>
        <v>759796</v>
      </c>
      <c r="H6702" s="2">
        <f>187.95</f>
        <v>187.95</v>
      </c>
      <c r="I6702" t="s">
        <v>27</v>
      </c>
      <c r="J6702" t="s">
        <v>188</v>
      </c>
      <c r="K6702" t="str">
        <f>"45711"</f>
        <v>45711</v>
      </c>
    </row>
    <row r="6703" spans="1:11" x14ac:dyDescent="0.25">
      <c r="A6703">
        <v>2025</v>
      </c>
      <c r="B6703" t="s">
        <v>4080</v>
      </c>
      <c r="C6703" t="s">
        <v>1933</v>
      </c>
      <c r="D6703" t="s">
        <v>1163</v>
      </c>
      <c r="E6703" t="s">
        <v>20</v>
      </c>
      <c r="F6703" t="str">
        <f>"45243"</f>
        <v>45243</v>
      </c>
      <c r="G6703" t="str">
        <f t="shared" si="238"/>
        <v>759796</v>
      </c>
      <c r="H6703" s="2">
        <f>142.8</f>
        <v>142.80000000000001</v>
      </c>
      <c r="I6703" t="s">
        <v>27</v>
      </c>
      <c r="J6703" t="s">
        <v>188</v>
      </c>
      <c r="K6703" t="str">
        <f>"45287"</f>
        <v>45287</v>
      </c>
    </row>
    <row r="6704" spans="1:11" x14ac:dyDescent="0.25">
      <c r="A6704">
        <v>2025</v>
      </c>
      <c r="B6704" t="s">
        <v>4080</v>
      </c>
      <c r="C6704" t="s">
        <v>2390</v>
      </c>
      <c r="D6704" t="s">
        <v>2391</v>
      </c>
      <c r="E6704" t="s">
        <v>462</v>
      </c>
      <c r="F6704" t="str">
        <f>"33309"</f>
        <v>33309</v>
      </c>
      <c r="G6704" t="str">
        <f t="shared" si="238"/>
        <v>759796</v>
      </c>
      <c r="H6704" s="2">
        <f>101.33</f>
        <v>101.33</v>
      </c>
      <c r="I6704" t="s">
        <v>27</v>
      </c>
      <c r="J6704" t="s">
        <v>188</v>
      </c>
      <c r="K6704" t="str">
        <f>"45290"</f>
        <v>45290</v>
      </c>
    </row>
    <row r="6705" spans="1:11" x14ac:dyDescent="0.25">
      <c r="A6705">
        <v>2025</v>
      </c>
      <c r="B6705" t="s">
        <v>4080</v>
      </c>
      <c r="C6705" t="s">
        <v>4081</v>
      </c>
      <c r="D6705" t="s">
        <v>997</v>
      </c>
      <c r="E6705" t="s">
        <v>418</v>
      </c>
      <c r="F6705" t="str">
        <f>"60602"</f>
        <v>60602</v>
      </c>
      <c r="G6705" t="str">
        <f t="shared" si="238"/>
        <v>759796</v>
      </c>
      <c r="H6705" s="2">
        <f>153.23</f>
        <v>153.22999999999999</v>
      </c>
      <c r="I6705" t="s">
        <v>27</v>
      </c>
      <c r="J6705" t="s">
        <v>188</v>
      </c>
      <c r="K6705" t="str">
        <f>"45277"</f>
        <v>45277</v>
      </c>
    </row>
    <row r="6706" spans="1:11" x14ac:dyDescent="0.25">
      <c r="A6706">
        <v>2025</v>
      </c>
      <c r="B6706" t="s">
        <v>4080</v>
      </c>
      <c r="C6706" t="s">
        <v>1933</v>
      </c>
      <c r="D6706" t="s">
        <v>1163</v>
      </c>
      <c r="E6706" t="s">
        <v>20</v>
      </c>
      <c r="F6706" t="str">
        <f>"45243"</f>
        <v>45243</v>
      </c>
      <c r="G6706" t="str">
        <f t="shared" si="238"/>
        <v>759796</v>
      </c>
      <c r="H6706" s="2">
        <f>165.61</f>
        <v>165.61</v>
      </c>
      <c r="I6706" t="s">
        <v>27</v>
      </c>
      <c r="J6706" t="s">
        <v>188</v>
      </c>
      <c r="K6706" t="str">
        <f>"45283"</f>
        <v>45283</v>
      </c>
    </row>
    <row r="6707" spans="1:11" x14ac:dyDescent="0.25">
      <c r="A6707">
        <v>2025</v>
      </c>
      <c r="B6707" t="s">
        <v>4082</v>
      </c>
      <c r="C6707" t="s">
        <v>1933</v>
      </c>
      <c r="D6707" t="s">
        <v>1163</v>
      </c>
      <c r="E6707" t="s">
        <v>20</v>
      </c>
      <c r="F6707" t="str">
        <f>"45243"</f>
        <v>45243</v>
      </c>
      <c r="G6707" t="str">
        <f t="shared" si="238"/>
        <v>759796</v>
      </c>
      <c r="H6707" s="2">
        <f>145.6</f>
        <v>145.6</v>
      </c>
      <c r="I6707" t="s">
        <v>27</v>
      </c>
      <c r="J6707" t="s">
        <v>188</v>
      </c>
      <c r="K6707" t="str">
        <f>"45110"</f>
        <v>45110</v>
      </c>
    </row>
    <row r="6708" spans="1:11" x14ac:dyDescent="0.25">
      <c r="A6708">
        <v>2025</v>
      </c>
      <c r="B6708" t="s">
        <v>4082</v>
      </c>
      <c r="C6708" t="s">
        <v>1933</v>
      </c>
      <c r="D6708" t="s">
        <v>1163</v>
      </c>
      <c r="E6708" t="s">
        <v>20</v>
      </c>
      <c r="F6708" t="str">
        <f>"45243"</f>
        <v>45243</v>
      </c>
      <c r="G6708" t="str">
        <f t="shared" si="238"/>
        <v>759796</v>
      </c>
      <c r="H6708" s="2">
        <f>550</f>
        <v>550</v>
      </c>
      <c r="I6708" t="s">
        <v>27</v>
      </c>
      <c r="J6708" t="s">
        <v>188</v>
      </c>
      <c r="K6708" t="str">
        <f>"44955"</f>
        <v>44955</v>
      </c>
    </row>
    <row r="6709" spans="1:11" x14ac:dyDescent="0.25">
      <c r="A6709">
        <v>2025</v>
      </c>
      <c r="B6709" t="s">
        <v>4082</v>
      </c>
      <c r="C6709" t="s">
        <v>1933</v>
      </c>
      <c r="D6709" t="s">
        <v>1163</v>
      </c>
      <c r="E6709" t="s">
        <v>20</v>
      </c>
      <c r="F6709" t="str">
        <f>"45243"</f>
        <v>45243</v>
      </c>
      <c r="G6709" t="str">
        <f t="shared" si="238"/>
        <v>759796</v>
      </c>
      <c r="H6709" s="2">
        <f>131.02</f>
        <v>131.02000000000001</v>
      </c>
      <c r="I6709" t="s">
        <v>27</v>
      </c>
      <c r="J6709" t="s">
        <v>188</v>
      </c>
      <c r="K6709" t="str">
        <f>"44877"</f>
        <v>44877</v>
      </c>
    </row>
    <row r="6710" spans="1:11" x14ac:dyDescent="0.25">
      <c r="A6710">
        <v>2025</v>
      </c>
      <c r="B6710" t="s">
        <v>4082</v>
      </c>
      <c r="C6710" t="s">
        <v>1933</v>
      </c>
      <c r="D6710" t="s">
        <v>1163</v>
      </c>
      <c r="E6710" t="s">
        <v>20</v>
      </c>
      <c r="F6710" t="str">
        <f>"45243"</f>
        <v>45243</v>
      </c>
      <c r="G6710" t="str">
        <f t="shared" si="238"/>
        <v>759796</v>
      </c>
      <c r="H6710" s="2">
        <f>144.75</f>
        <v>144.75</v>
      </c>
      <c r="I6710" t="s">
        <v>27</v>
      </c>
      <c r="J6710" t="s">
        <v>188</v>
      </c>
      <c r="K6710" t="str">
        <f>"44429"</f>
        <v>44429</v>
      </c>
    </row>
    <row r="6711" spans="1:11" x14ac:dyDescent="0.25">
      <c r="A6711">
        <v>2025</v>
      </c>
      <c r="B6711" t="s">
        <v>4083</v>
      </c>
      <c r="C6711" t="s">
        <v>2390</v>
      </c>
      <c r="D6711" t="s">
        <v>2391</v>
      </c>
      <c r="E6711" t="s">
        <v>462</v>
      </c>
      <c r="F6711" t="str">
        <f>"33309"</f>
        <v>33309</v>
      </c>
      <c r="G6711" t="str">
        <f t="shared" si="238"/>
        <v>759796</v>
      </c>
      <c r="H6711" s="2">
        <f>184.67</f>
        <v>184.67</v>
      </c>
      <c r="I6711" t="s">
        <v>27</v>
      </c>
      <c r="J6711" t="s">
        <v>188</v>
      </c>
      <c r="K6711" t="str">
        <f>"45595"</f>
        <v>45595</v>
      </c>
    </row>
    <row r="6712" spans="1:11" x14ac:dyDescent="0.25">
      <c r="A6712">
        <v>2025</v>
      </c>
      <c r="B6712" t="s">
        <v>4084</v>
      </c>
      <c r="C6712" t="s">
        <v>1162</v>
      </c>
      <c r="D6712" t="s">
        <v>1163</v>
      </c>
      <c r="E6712" t="s">
        <v>20</v>
      </c>
      <c r="F6712" t="str">
        <f>"45201"</f>
        <v>45201</v>
      </c>
      <c r="G6712" t="str">
        <f t="shared" si="238"/>
        <v>759796</v>
      </c>
      <c r="H6712" s="2">
        <f>220</f>
        <v>220</v>
      </c>
      <c r="I6712" t="s">
        <v>27</v>
      </c>
      <c r="J6712" t="s">
        <v>188</v>
      </c>
      <c r="K6712" t="str">
        <f>"44995"</f>
        <v>44995</v>
      </c>
    </row>
    <row r="6713" spans="1:11" x14ac:dyDescent="0.25">
      <c r="A6713">
        <v>2025</v>
      </c>
      <c r="B6713" t="s">
        <v>4087</v>
      </c>
      <c r="C6713" t="s">
        <v>4088</v>
      </c>
      <c r="D6713" t="s">
        <v>19</v>
      </c>
      <c r="E6713" t="s">
        <v>20</v>
      </c>
      <c r="F6713" t="str">
        <f>"43615-6112"</f>
        <v>43615-6112</v>
      </c>
      <c r="G6713" t="str">
        <f>"753658"</f>
        <v>753658</v>
      </c>
      <c r="H6713" s="2">
        <f>20</f>
        <v>20</v>
      </c>
      <c r="I6713" t="s">
        <v>27</v>
      </c>
      <c r="J6713" t="s">
        <v>39</v>
      </c>
      <c r="K6713" t="str">
        <f>"129845"</f>
        <v>129845</v>
      </c>
    </row>
    <row r="6714" spans="1:11" x14ac:dyDescent="0.25">
      <c r="A6714">
        <v>2025</v>
      </c>
      <c r="B6714" t="s">
        <v>4099</v>
      </c>
      <c r="C6714" t="s">
        <v>1004</v>
      </c>
      <c r="D6714" t="s">
        <v>1005</v>
      </c>
      <c r="E6714" t="s">
        <v>20</v>
      </c>
      <c r="F6714" t="str">
        <f>"44139"</f>
        <v>44139</v>
      </c>
      <c r="G6714" t="str">
        <f>"759796"</f>
        <v>759796</v>
      </c>
      <c r="H6714" s="2">
        <f>181.24</f>
        <v>181.24</v>
      </c>
      <c r="I6714" t="s">
        <v>27</v>
      </c>
      <c r="J6714" t="s">
        <v>188</v>
      </c>
      <c r="K6714" t="str">
        <f>"44433"</f>
        <v>44433</v>
      </c>
    </row>
    <row r="6715" spans="1:11" x14ac:dyDescent="0.25">
      <c r="A6715">
        <v>2025</v>
      </c>
      <c r="B6715" t="s">
        <v>4120</v>
      </c>
      <c r="C6715" t="s">
        <v>4121</v>
      </c>
      <c r="D6715" t="s">
        <v>58</v>
      </c>
      <c r="E6715" t="s">
        <v>20</v>
      </c>
      <c r="F6715" t="str">
        <f>"43616-2337"</f>
        <v>43616-2337</v>
      </c>
      <c r="G6715" t="str">
        <f>"753658"</f>
        <v>753658</v>
      </c>
      <c r="H6715" s="2">
        <f>10</f>
        <v>10</v>
      </c>
      <c r="I6715" t="s">
        <v>27</v>
      </c>
      <c r="J6715" t="s">
        <v>39</v>
      </c>
      <c r="K6715" t="str">
        <f>"128225"</f>
        <v>128225</v>
      </c>
    </row>
    <row r="6716" spans="1:11" x14ac:dyDescent="0.25">
      <c r="A6716">
        <v>2025</v>
      </c>
      <c r="B6716" t="s">
        <v>4124</v>
      </c>
      <c r="C6716" t="s">
        <v>4125</v>
      </c>
      <c r="D6716" t="s">
        <v>19</v>
      </c>
      <c r="E6716" t="s">
        <v>20</v>
      </c>
      <c r="F6716" t="str">
        <f>"43607"</f>
        <v>43607</v>
      </c>
      <c r="G6716" t="str">
        <f>"Je07082025"</f>
        <v>Je07082025</v>
      </c>
      <c r="H6716" s="2">
        <f>203</f>
        <v>203</v>
      </c>
      <c r="I6716" t="s">
        <v>15</v>
      </c>
      <c r="J6716" t="s">
        <v>185</v>
      </c>
      <c r="K6716" t="str">
        <f>"60149246"</f>
        <v>60149246</v>
      </c>
    </row>
    <row r="6717" spans="1:11" x14ac:dyDescent="0.25">
      <c r="A6717">
        <v>2025</v>
      </c>
      <c r="B6717" t="s">
        <v>4129</v>
      </c>
      <c r="C6717" t="s">
        <v>1004</v>
      </c>
      <c r="D6717" t="s">
        <v>1005</v>
      </c>
      <c r="E6717" t="s">
        <v>20</v>
      </c>
      <c r="F6717" t="str">
        <f>"44139"</f>
        <v>44139</v>
      </c>
      <c r="G6717" t="str">
        <f>"759796"</f>
        <v>759796</v>
      </c>
      <c r="H6717" s="2">
        <f>198.87</f>
        <v>198.87</v>
      </c>
      <c r="I6717" t="s">
        <v>27</v>
      </c>
      <c r="J6717" t="s">
        <v>188</v>
      </c>
      <c r="K6717" t="str">
        <f>"45568"</f>
        <v>45568</v>
      </c>
    </row>
    <row r="6718" spans="1:11" x14ac:dyDescent="0.25">
      <c r="A6718">
        <v>2025</v>
      </c>
      <c r="B6718" t="s">
        <v>4132</v>
      </c>
      <c r="C6718" t="s">
        <v>4133</v>
      </c>
      <c r="D6718" t="s">
        <v>3647</v>
      </c>
      <c r="E6718" t="s">
        <v>216</v>
      </c>
      <c r="F6718" t="str">
        <f>"46804"</f>
        <v>46804</v>
      </c>
      <c r="G6718" t="str">
        <f>"751641"</f>
        <v>751641</v>
      </c>
      <c r="H6718" s="2">
        <f>207.44</f>
        <v>207.44</v>
      </c>
      <c r="I6718" t="s">
        <v>27</v>
      </c>
      <c r="J6718" t="s">
        <v>219</v>
      </c>
      <c r="K6718" t="str">
        <f>"11004791"</f>
        <v>11004791</v>
      </c>
    </row>
    <row r="6719" spans="1:11" x14ac:dyDescent="0.25">
      <c r="A6719">
        <v>2025</v>
      </c>
      <c r="B6719" t="s">
        <v>4134</v>
      </c>
      <c r="C6719" t="s">
        <v>4135</v>
      </c>
      <c r="D6719" t="s">
        <v>19</v>
      </c>
      <c r="E6719" t="s">
        <v>20</v>
      </c>
      <c r="F6719" t="str">
        <f>"44720"</f>
        <v>44720</v>
      </c>
      <c r="G6719" t="str">
        <f>"759796"</f>
        <v>759796</v>
      </c>
      <c r="H6719" s="2">
        <f>12</f>
        <v>12</v>
      </c>
      <c r="I6719" t="s">
        <v>27</v>
      </c>
      <c r="J6719" t="s">
        <v>188</v>
      </c>
      <c r="K6719" t="str">
        <f>"44825"</f>
        <v>44825</v>
      </c>
    </row>
    <row r="6720" spans="1:11" x14ac:dyDescent="0.25">
      <c r="A6720">
        <v>2025</v>
      </c>
      <c r="B6720" t="s">
        <v>4140</v>
      </c>
      <c r="C6720" t="s">
        <v>4141</v>
      </c>
      <c r="D6720" t="s">
        <v>19</v>
      </c>
      <c r="E6720" t="s">
        <v>20</v>
      </c>
      <c r="F6720" t="str">
        <f>"43623"</f>
        <v>43623</v>
      </c>
      <c r="G6720" t="str">
        <f>"759796"</f>
        <v>759796</v>
      </c>
      <c r="H6720" s="2">
        <f>5</f>
        <v>5</v>
      </c>
      <c r="I6720" t="s">
        <v>27</v>
      </c>
      <c r="J6720" t="s">
        <v>188</v>
      </c>
      <c r="K6720" t="str">
        <f>"46042"</f>
        <v>46042</v>
      </c>
    </row>
    <row r="6721" spans="1:11" x14ac:dyDescent="0.25">
      <c r="A6721">
        <v>2025</v>
      </c>
      <c r="B6721" t="s">
        <v>4151</v>
      </c>
      <c r="C6721" t="s">
        <v>4152</v>
      </c>
      <c r="D6721" t="s">
        <v>105</v>
      </c>
      <c r="E6721" t="s">
        <v>20</v>
      </c>
      <c r="F6721" t="str">
        <f>"43528"</f>
        <v>43528</v>
      </c>
      <c r="G6721" t="str">
        <f>"759796"</f>
        <v>759796</v>
      </c>
      <c r="H6721" s="2">
        <f>20</f>
        <v>20</v>
      </c>
      <c r="I6721" t="s">
        <v>27</v>
      </c>
      <c r="J6721" t="s">
        <v>188</v>
      </c>
      <c r="K6721" t="str">
        <f>"46804"</f>
        <v>46804</v>
      </c>
    </row>
    <row r="6722" spans="1:11" x14ac:dyDescent="0.25">
      <c r="A6722">
        <v>2025</v>
      </c>
      <c r="B6722" t="s">
        <v>4156</v>
      </c>
      <c r="C6722" t="s">
        <v>4157</v>
      </c>
      <c r="D6722" t="s">
        <v>19</v>
      </c>
      <c r="E6722" t="s">
        <v>20</v>
      </c>
      <c r="F6722" t="str">
        <f>"43609"</f>
        <v>43609</v>
      </c>
      <c r="G6722" t="str">
        <f>"759796"</f>
        <v>759796</v>
      </c>
      <c r="H6722" s="2">
        <f>4.33</f>
        <v>4.33</v>
      </c>
      <c r="I6722" t="s">
        <v>27</v>
      </c>
      <c r="J6722" t="s">
        <v>188</v>
      </c>
      <c r="K6722" t="str">
        <f>"46296"</f>
        <v>46296</v>
      </c>
    </row>
    <row r="6723" spans="1:11" x14ac:dyDescent="0.25">
      <c r="A6723">
        <v>2025</v>
      </c>
      <c r="B6723" t="s">
        <v>4160</v>
      </c>
      <c r="C6723" t="s">
        <v>4161</v>
      </c>
      <c r="D6723" t="s">
        <v>19</v>
      </c>
      <c r="E6723" t="s">
        <v>20</v>
      </c>
      <c r="F6723" t="str">
        <f>"43611-2011"</f>
        <v>43611-2011</v>
      </c>
      <c r="G6723" t="str">
        <f>"753658"</f>
        <v>753658</v>
      </c>
      <c r="H6723" s="2">
        <f>10</f>
        <v>10</v>
      </c>
      <c r="I6723" t="s">
        <v>27</v>
      </c>
      <c r="J6723" t="s">
        <v>39</v>
      </c>
      <c r="K6723" t="str">
        <f>"131665"</f>
        <v>131665</v>
      </c>
    </row>
    <row r="6724" spans="1:11" x14ac:dyDescent="0.25">
      <c r="A6724">
        <v>2025</v>
      </c>
      <c r="B6724" t="s">
        <v>4162</v>
      </c>
      <c r="C6724" t="s">
        <v>4163</v>
      </c>
      <c r="D6724" t="s">
        <v>4164</v>
      </c>
      <c r="E6724" t="s">
        <v>600</v>
      </c>
      <c r="F6724" t="str">
        <f>"40071"</f>
        <v>40071</v>
      </c>
      <c r="G6724" t="str">
        <f>"765839"</f>
        <v>765839</v>
      </c>
      <c r="H6724" s="2">
        <f>250</f>
        <v>250</v>
      </c>
      <c r="I6724" t="s">
        <v>148</v>
      </c>
      <c r="J6724" t="s">
        <v>4165</v>
      </c>
      <c r="K6724" t="str">
        <f>"27950"</f>
        <v>27950</v>
      </c>
    </row>
    <row r="6725" spans="1:11" x14ac:dyDescent="0.25">
      <c r="A6725">
        <v>2025</v>
      </c>
      <c r="B6725" t="s">
        <v>4166</v>
      </c>
      <c r="C6725" t="s">
        <v>4167</v>
      </c>
      <c r="D6725" t="s">
        <v>64</v>
      </c>
      <c r="E6725" t="s">
        <v>20</v>
      </c>
      <c r="F6725" t="str">
        <f>"43566"</f>
        <v>43566</v>
      </c>
      <c r="G6725" t="str">
        <f>"753658"</f>
        <v>753658</v>
      </c>
      <c r="H6725" s="2">
        <f>30</f>
        <v>30</v>
      </c>
      <c r="I6725" t="s">
        <v>27</v>
      </c>
      <c r="J6725" t="s">
        <v>39</v>
      </c>
      <c r="K6725" t="str">
        <f>"127129"</f>
        <v>127129</v>
      </c>
    </row>
    <row r="6726" spans="1:11" x14ac:dyDescent="0.25">
      <c r="A6726">
        <v>2025</v>
      </c>
      <c r="B6726" t="s">
        <v>4186</v>
      </c>
      <c r="C6726" t="s">
        <v>4187</v>
      </c>
      <c r="D6726" t="s">
        <v>125</v>
      </c>
      <c r="E6726" t="s">
        <v>20</v>
      </c>
      <c r="F6726" t="str">
        <f>"43537-2214"</f>
        <v>43537-2214</v>
      </c>
      <c r="G6726" t="str">
        <f>"753658"</f>
        <v>753658</v>
      </c>
      <c r="H6726" s="2">
        <f>40</f>
        <v>40</v>
      </c>
      <c r="I6726" t="s">
        <v>27</v>
      </c>
      <c r="J6726" t="s">
        <v>39</v>
      </c>
      <c r="K6726" t="str">
        <f>"127911"</f>
        <v>127911</v>
      </c>
    </row>
    <row r="6727" spans="1:11" x14ac:dyDescent="0.25">
      <c r="A6727">
        <v>2025</v>
      </c>
      <c r="B6727" t="s">
        <v>4200</v>
      </c>
      <c r="C6727" t="s">
        <v>1004</v>
      </c>
      <c r="D6727" t="s">
        <v>1005</v>
      </c>
      <c r="E6727" t="s">
        <v>20</v>
      </c>
      <c r="F6727" t="str">
        <f>"44139"</f>
        <v>44139</v>
      </c>
      <c r="G6727" t="str">
        <f t="shared" ref="G6727:G6733" si="239">"759796"</f>
        <v>759796</v>
      </c>
      <c r="H6727" s="2">
        <f>550</f>
        <v>550</v>
      </c>
      <c r="I6727" t="s">
        <v>27</v>
      </c>
      <c r="J6727" t="s">
        <v>188</v>
      </c>
      <c r="K6727" t="str">
        <f>"46643"</f>
        <v>46643</v>
      </c>
    </row>
    <row r="6728" spans="1:11" x14ac:dyDescent="0.25">
      <c r="A6728">
        <v>2025</v>
      </c>
      <c r="B6728" t="s">
        <v>4200</v>
      </c>
      <c r="C6728" t="s">
        <v>1004</v>
      </c>
      <c r="D6728" t="s">
        <v>1005</v>
      </c>
      <c r="E6728" t="s">
        <v>20</v>
      </c>
      <c r="F6728" t="str">
        <f>"44139"</f>
        <v>44139</v>
      </c>
      <c r="G6728" t="str">
        <f t="shared" si="239"/>
        <v>759796</v>
      </c>
      <c r="H6728" s="2">
        <f>174.5</f>
        <v>174.5</v>
      </c>
      <c r="I6728" t="s">
        <v>27</v>
      </c>
      <c r="J6728" t="s">
        <v>188</v>
      </c>
      <c r="K6728" t="str">
        <f>"46670"</f>
        <v>46670</v>
      </c>
    </row>
    <row r="6729" spans="1:11" x14ac:dyDescent="0.25">
      <c r="A6729">
        <v>2025</v>
      </c>
      <c r="B6729" t="s">
        <v>4200</v>
      </c>
      <c r="C6729" t="s">
        <v>4202</v>
      </c>
      <c r="D6729" t="s">
        <v>997</v>
      </c>
      <c r="E6729" t="s">
        <v>418</v>
      </c>
      <c r="F6729" t="str">
        <f>"60602"</f>
        <v>60602</v>
      </c>
      <c r="G6729" t="str">
        <f t="shared" si="239"/>
        <v>759796</v>
      </c>
      <c r="H6729" s="2">
        <f>532</f>
        <v>532</v>
      </c>
      <c r="I6729" t="s">
        <v>27</v>
      </c>
      <c r="J6729" t="s">
        <v>188</v>
      </c>
      <c r="K6729" t="str">
        <f>"46264"</f>
        <v>46264</v>
      </c>
    </row>
    <row r="6730" spans="1:11" x14ac:dyDescent="0.25">
      <c r="A6730">
        <v>2025</v>
      </c>
      <c r="B6730" t="s">
        <v>4200</v>
      </c>
      <c r="C6730" t="s">
        <v>2390</v>
      </c>
      <c r="D6730" t="s">
        <v>2391</v>
      </c>
      <c r="E6730" t="s">
        <v>462</v>
      </c>
      <c r="F6730" t="str">
        <f>"33309"</f>
        <v>33309</v>
      </c>
      <c r="G6730" t="str">
        <f t="shared" si="239"/>
        <v>759796</v>
      </c>
      <c r="H6730" s="2">
        <f>173.27</f>
        <v>173.27</v>
      </c>
      <c r="I6730" t="s">
        <v>27</v>
      </c>
      <c r="J6730" t="s">
        <v>188</v>
      </c>
      <c r="K6730" t="str">
        <f>"44028"</f>
        <v>44028</v>
      </c>
    </row>
    <row r="6731" spans="1:11" x14ac:dyDescent="0.25">
      <c r="A6731">
        <v>2025</v>
      </c>
      <c r="B6731" t="s">
        <v>4200</v>
      </c>
      <c r="C6731" t="s">
        <v>1004</v>
      </c>
      <c r="D6731" t="s">
        <v>1005</v>
      </c>
      <c r="E6731" t="s">
        <v>20</v>
      </c>
      <c r="F6731" t="str">
        <f>"44139"</f>
        <v>44139</v>
      </c>
      <c r="G6731" t="str">
        <f t="shared" si="239"/>
        <v>759796</v>
      </c>
      <c r="H6731" s="2">
        <f>547.1</f>
        <v>547.1</v>
      </c>
      <c r="I6731" t="s">
        <v>27</v>
      </c>
      <c r="J6731" t="s">
        <v>188</v>
      </c>
      <c r="K6731" t="str">
        <f>"44958"</f>
        <v>44958</v>
      </c>
    </row>
    <row r="6732" spans="1:11" x14ac:dyDescent="0.25">
      <c r="A6732">
        <v>2025</v>
      </c>
      <c r="B6732" t="s">
        <v>4200</v>
      </c>
      <c r="C6732" t="s">
        <v>1004</v>
      </c>
      <c r="D6732" t="s">
        <v>1005</v>
      </c>
      <c r="E6732" t="s">
        <v>20</v>
      </c>
      <c r="F6732" t="str">
        <f>"44139"</f>
        <v>44139</v>
      </c>
      <c r="G6732" t="str">
        <f t="shared" si="239"/>
        <v>759796</v>
      </c>
      <c r="H6732" s="2">
        <f>176.44</f>
        <v>176.44</v>
      </c>
      <c r="I6732" t="s">
        <v>27</v>
      </c>
      <c r="J6732" t="s">
        <v>188</v>
      </c>
      <c r="K6732" t="str">
        <f>"45103"</f>
        <v>45103</v>
      </c>
    </row>
    <row r="6733" spans="1:11" x14ac:dyDescent="0.25">
      <c r="A6733">
        <v>2025</v>
      </c>
      <c r="B6733" t="s">
        <v>4200</v>
      </c>
      <c r="C6733" t="s">
        <v>1004</v>
      </c>
      <c r="D6733" t="s">
        <v>1005</v>
      </c>
      <c r="E6733" t="s">
        <v>20</v>
      </c>
      <c r="F6733" t="str">
        <f>"44139"</f>
        <v>44139</v>
      </c>
      <c r="G6733" t="str">
        <f t="shared" si="239"/>
        <v>759796</v>
      </c>
      <c r="H6733" s="2">
        <f>183.9</f>
        <v>183.9</v>
      </c>
      <c r="I6733" t="s">
        <v>27</v>
      </c>
      <c r="J6733" t="s">
        <v>188</v>
      </c>
      <c r="K6733" t="str">
        <f>"45108"</f>
        <v>45108</v>
      </c>
    </row>
    <row r="6734" spans="1:11" x14ac:dyDescent="0.25">
      <c r="A6734">
        <v>2025</v>
      </c>
      <c r="B6734" t="s">
        <v>4232</v>
      </c>
      <c r="C6734" t="s">
        <v>4233</v>
      </c>
      <c r="D6734" t="s">
        <v>19</v>
      </c>
      <c r="E6734" t="s">
        <v>20</v>
      </c>
      <c r="F6734" t="str">
        <f>"43615"</f>
        <v>43615</v>
      </c>
      <c r="G6734" t="str">
        <f>"753658"</f>
        <v>753658</v>
      </c>
      <c r="H6734" s="2">
        <f>10</f>
        <v>10</v>
      </c>
      <c r="I6734" t="s">
        <v>27</v>
      </c>
      <c r="J6734" t="s">
        <v>39</v>
      </c>
      <c r="K6734" t="str">
        <f>"131901"</f>
        <v>131901</v>
      </c>
    </row>
    <row r="6735" spans="1:11" x14ac:dyDescent="0.25">
      <c r="A6735">
        <v>2025</v>
      </c>
      <c r="B6735" t="s">
        <v>4242</v>
      </c>
      <c r="C6735" t="s">
        <v>4243</v>
      </c>
      <c r="D6735" t="s">
        <v>19</v>
      </c>
      <c r="E6735" t="s">
        <v>20</v>
      </c>
      <c r="F6735" t="str">
        <f>"43605-3329"</f>
        <v>43605-3329</v>
      </c>
      <c r="G6735" t="str">
        <f>"753658"</f>
        <v>753658</v>
      </c>
      <c r="H6735" s="2">
        <f>20</f>
        <v>20</v>
      </c>
      <c r="I6735" t="s">
        <v>27</v>
      </c>
      <c r="J6735" t="s">
        <v>39</v>
      </c>
      <c r="K6735" t="str">
        <f>"131246"</f>
        <v>131246</v>
      </c>
    </row>
    <row r="6736" spans="1:11" x14ac:dyDescent="0.25">
      <c r="A6736">
        <v>2025</v>
      </c>
      <c r="B6736" t="s">
        <v>4253</v>
      </c>
      <c r="C6736" t="s">
        <v>4254</v>
      </c>
      <c r="D6736" t="s">
        <v>45</v>
      </c>
      <c r="E6736" t="s">
        <v>20</v>
      </c>
      <c r="F6736" t="str">
        <f>"43542"</f>
        <v>43542</v>
      </c>
      <c r="G6736" t="str">
        <f>"759796"</f>
        <v>759796</v>
      </c>
      <c r="H6736" s="2">
        <f>5</f>
        <v>5</v>
      </c>
      <c r="I6736" t="s">
        <v>27</v>
      </c>
      <c r="J6736" t="s">
        <v>188</v>
      </c>
      <c r="K6736" t="str">
        <f>"45318"</f>
        <v>45318</v>
      </c>
    </row>
    <row r="6737" spans="1:11" x14ac:dyDescent="0.25">
      <c r="A6737">
        <v>2025</v>
      </c>
      <c r="B6737" t="s">
        <v>4287</v>
      </c>
      <c r="C6737" t="s">
        <v>4288</v>
      </c>
      <c r="D6737" t="s">
        <v>19</v>
      </c>
      <c r="E6737" t="s">
        <v>20</v>
      </c>
      <c r="F6737" t="str">
        <f>"43615-4440"</f>
        <v>43615-4440</v>
      </c>
      <c r="G6737" t="str">
        <f>"753658"</f>
        <v>753658</v>
      </c>
      <c r="H6737" s="2">
        <f>10</f>
        <v>10</v>
      </c>
      <c r="I6737" t="s">
        <v>27</v>
      </c>
      <c r="J6737" t="s">
        <v>39</v>
      </c>
      <c r="K6737" t="str">
        <f>"127035"</f>
        <v>127035</v>
      </c>
    </row>
    <row r="6738" spans="1:11" x14ac:dyDescent="0.25">
      <c r="A6738">
        <v>2025</v>
      </c>
      <c r="B6738" t="s">
        <v>4299</v>
      </c>
      <c r="C6738" t="s">
        <v>4300</v>
      </c>
      <c r="D6738" t="s">
        <v>4301</v>
      </c>
      <c r="E6738" t="s">
        <v>20</v>
      </c>
      <c r="F6738" t="str">
        <f>"43611"</f>
        <v>43611</v>
      </c>
      <c r="G6738" t="str">
        <f>"759797"</f>
        <v>759797</v>
      </c>
      <c r="H6738" s="2">
        <f>112.17</f>
        <v>112.17</v>
      </c>
      <c r="I6738" t="s">
        <v>27</v>
      </c>
      <c r="J6738" t="s">
        <v>239</v>
      </c>
      <c r="K6738" t="str">
        <f>"N/A"</f>
        <v>N/A</v>
      </c>
    </row>
    <row r="6739" spans="1:11" x14ac:dyDescent="0.25">
      <c r="A6739">
        <v>2025</v>
      </c>
      <c r="B6739" t="s">
        <v>4313</v>
      </c>
      <c r="C6739" t="s">
        <v>4314</v>
      </c>
      <c r="D6739" t="s">
        <v>19</v>
      </c>
      <c r="E6739" t="s">
        <v>20</v>
      </c>
      <c r="F6739" t="str">
        <f>"43612"</f>
        <v>43612</v>
      </c>
      <c r="G6739" t="str">
        <f>"Je09192025"</f>
        <v>Je09192025</v>
      </c>
      <c r="H6739" s="2">
        <f>30</f>
        <v>30</v>
      </c>
      <c r="I6739" t="s">
        <v>15</v>
      </c>
      <c r="J6739" t="s">
        <v>563</v>
      </c>
      <c r="K6739" t="str">
        <f>"60163956"</f>
        <v>60163956</v>
      </c>
    </row>
    <row r="6740" spans="1:11" x14ac:dyDescent="0.25">
      <c r="A6740">
        <v>2025</v>
      </c>
      <c r="B6740" t="s">
        <v>4321</v>
      </c>
      <c r="C6740" t="s">
        <v>4322</v>
      </c>
      <c r="D6740" t="s">
        <v>4323</v>
      </c>
      <c r="E6740" t="s">
        <v>14</v>
      </c>
      <c r="F6740" t="str">
        <f>"48080"</f>
        <v>48080</v>
      </c>
      <c r="G6740" t="str">
        <f>"759796"</f>
        <v>759796</v>
      </c>
      <c r="H6740" s="2">
        <f>12</f>
        <v>12</v>
      </c>
      <c r="I6740" t="s">
        <v>27</v>
      </c>
      <c r="J6740" t="s">
        <v>188</v>
      </c>
      <c r="K6740" t="str">
        <f>"44199"</f>
        <v>44199</v>
      </c>
    </row>
    <row r="6741" spans="1:11" x14ac:dyDescent="0.25">
      <c r="A6741">
        <v>2025</v>
      </c>
      <c r="B6741" t="s">
        <v>4324</v>
      </c>
      <c r="C6741" t="s">
        <v>4325</v>
      </c>
      <c r="D6741" t="s">
        <v>4326</v>
      </c>
      <c r="E6741" t="s">
        <v>20</v>
      </c>
      <c r="F6741" t="str">
        <f>"44131"</f>
        <v>44131</v>
      </c>
      <c r="G6741" t="str">
        <f>"759796"</f>
        <v>759796</v>
      </c>
      <c r="H6741" s="2">
        <f>12</f>
        <v>12</v>
      </c>
      <c r="I6741" t="s">
        <v>27</v>
      </c>
      <c r="J6741" t="s">
        <v>188</v>
      </c>
      <c r="K6741" t="str">
        <f>"46668"</f>
        <v>46668</v>
      </c>
    </row>
    <row r="6742" spans="1:11" x14ac:dyDescent="0.25">
      <c r="A6742">
        <v>2025</v>
      </c>
      <c r="B6742" t="s">
        <v>4327</v>
      </c>
      <c r="C6742" t="s">
        <v>4322</v>
      </c>
      <c r="D6742" t="s">
        <v>4323</v>
      </c>
      <c r="E6742" t="s">
        <v>14</v>
      </c>
      <c r="F6742" t="str">
        <f>"48080"</f>
        <v>48080</v>
      </c>
      <c r="G6742" t="str">
        <f>"759796"</f>
        <v>759796</v>
      </c>
      <c r="H6742" s="2">
        <f>12</f>
        <v>12</v>
      </c>
      <c r="I6742" t="s">
        <v>27</v>
      </c>
      <c r="J6742" t="s">
        <v>188</v>
      </c>
      <c r="K6742" t="str">
        <f>"45440"</f>
        <v>45440</v>
      </c>
    </row>
    <row r="6743" spans="1:11" x14ac:dyDescent="0.25">
      <c r="A6743">
        <v>2025</v>
      </c>
      <c r="B6743" t="s">
        <v>4328</v>
      </c>
      <c r="C6743" t="s">
        <v>4325</v>
      </c>
      <c r="D6743" t="s">
        <v>4326</v>
      </c>
      <c r="E6743" t="s">
        <v>20</v>
      </c>
      <c r="F6743" t="str">
        <f>"44131"</f>
        <v>44131</v>
      </c>
      <c r="G6743" t="str">
        <f>"759796"</f>
        <v>759796</v>
      </c>
      <c r="H6743" s="2">
        <f>12</f>
        <v>12</v>
      </c>
      <c r="I6743" t="s">
        <v>27</v>
      </c>
      <c r="J6743" t="s">
        <v>188</v>
      </c>
      <c r="K6743" t="str">
        <f>"44195"</f>
        <v>44195</v>
      </c>
    </row>
    <row r="6744" spans="1:11" x14ac:dyDescent="0.25">
      <c r="A6744">
        <v>2025</v>
      </c>
      <c r="B6744" t="s">
        <v>4339</v>
      </c>
      <c r="C6744" t="s">
        <v>4340</v>
      </c>
      <c r="D6744" t="s">
        <v>19</v>
      </c>
      <c r="E6744" t="s">
        <v>20</v>
      </c>
      <c r="F6744" t="str">
        <f>"43617"</f>
        <v>43617</v>
      </c>
      <c r="G6744" t="str">
        <f>"Je12092025"</f>
        <v>Je12092025</v>
      </c>
      <c r="H6744" s="2">
        <f>213</f>
        <v>213</v>
      </c>
      <c r="I6744" t="s">
        <v>15</v>
      </c>
      <c r="J6744" t="s">
        <v>909</v>
      </c>
      <c r="K6744" t="str">
        <f>"60170086"</f>
        <v>60170086</v>
      </c>
    </row>
    <row r="6745" spans="1:11" x14ac:dyDescent="0.25">
      <c r="A6745">
        <v>2025</v>
      </c>
      <c r="B6745" t="s">
        <v>4344</v>
      </c>
      <c r="C6745" t="s">
        <v>4345</v>
      </c>
      <c r="D6745" t="s">
        <v>19</v>
      </c>
      <c r="E6745" t="s">
        <v>20</v>
      </c>
      <c r="F6745" t="str">
        <f>"43607"</f>
        <v>43607</v>
      </c>
      <c r="G6745" t="str">
        <f>"759797"</f>
        <v>759797</v>
      </c>
      <c r="H6745" s="2">
        <f>3169.85</f>
        <v>3169.85</v>
      </c>
      <c r="I6745" t="s">
        <v>27</v>
      </c>
      <c r="J6745" t="s">
        <v>239</v>
      </c>
      <c r="K6745" t="str">
        <f>"N/A"</f>
        <v>N/A</v>
      </c>
    </row>
    <row r="6746" spans="1:11" x14ac:dyDescent="0.25">
      <c r="A6746">
        <v>2025</v>
      </c>
      <c r="B6746" t="s">
        <v>4346</v>
      </c>
      <c r="C6746" t="s">
        <v>4347</v>
      </c>
      <c r="D6746" t="s">
        <v>19</v>
      </c>
      <c r="E6746" t="s">
        <v>20</v>
      </c>
      <c r="F6746" t="str">
        <f>"43614-4029"</f>
        <v>43614-4029</v>
      </c>
      <c r="G6746" t="str">
        <f>"753658"</f>
        <v>753658</v>
      </c>
      <c r="H6746" s="2">
        <f>20</f>
        <v>20</v>
      </c>
      <c r="I6746" t="s">
        <v>27</v>
      </c>
      <c r="J6746" t="s">
        <v>39</v>
      </c>
      <c r="K6746" t="str">
        <f>"128292"</f>
        <v>128292</v>
      </c>
    </row>
    <row r="6747" spans="1:11" x14ac:dyDescent="0.25">
      <c r="A6747">
        <v>2025</v>
      </c>
      <c r="B6747" t="s">
        <v>4350</v>
      </c>
      <c r="C6747" t="s">
        <v>4351</v>
      </c>
      <c r="D6747" t="s">
        <v>19</v>
      </c>
      <c r="E6747" t="s">
        <v>20</v>
      </c>
      <c r="F6747" t="str">
        <f>"43605-2637"</f>
        <v>43605-2637</v>
      </c>
      <c r="G6747" t="str">
        <f>"753658"</f>
        <v>753658</v>
      </c>
      <c r="H6747" s="2">
        <f>10</f>
        <v>10</v>
      </c>
      <c r="I6747" t="s">
        <v>27</v>
      </c>
      <c r="J6747" t="s">
        <v>39</v>
      </c>
      <c r="K6747" t="str">
        <f>"128594"</f>
        <v>128594</v>
      </c>
    </row>
    <row r="6748" spans="1:11" x14ac:dyDescent="0.25">
      <c r="A6748">
        <v>2025</v>
      </c>
      <c r="B6748" t="s">
        <v>4356</v>
      </c>
      <c r="C6748" t="s">
        <v>4357</v>
      </c>
      <c r="D6748" t="s">
        <v>19</v>
      </c>
      <c r="E6748" t="s">
        <v>20</v>
      </c>
      <c r="F6748" t="str">
        <f>"43612"</f>
        <v>43612</v>
      </c>
      <c r="G6748" t="str">
        <f>"Je12092025"</f>
        <v>Je12092025</v>
      </c>
      <c r="H6748" s="2">
        <f>20</f>
        <v>20</v>
      </c>
      <c r="I6748" t="s">
        <v>15</v>
      </c>
      <c r="J6748" t="s">
        <v>909</v>
      </c>
      <c r="K6748" t="str">
        <f>"60170087"</f>
        <v>60170087</v>
      </c>
    </row>
    <row r="6749" spans="1:11" x14ac:dyDescent="0.25">
      <c r="A6749">
        <v>2025</v>
      </c>
      <c r="B6749" t="s">
        <v>4362</v>
      </c>
      <c r="C6749" t="s">
        <v>4363</v>
      </c>
      <c r="D6749" t="s">
        <v>19</v>
      </c>
      <c r="E6749" t="s">
        <v>20</v>
      </c>
      <c r="F6749" t="str">
        <f>"43604-8627"</f>
        <v>43604-8627</v>
      </c>
      <c r="G6749" t="str">
        <f>"753658"</f>
        <v>753658</v>
      </c>
      <c r="H6749" s="2">
        <f>20</f>
        <v>20</v>
      </c>
      <c r="I6749" t="s">
        <v>27</v>
      </c>
      <c r="J6749" t="s">
        <v>39</v>
      </c>
      <c r="K6749" t="str">
        <f>"128399"</f>
        <v>128399</v>
      </c>
    </row>
    <row r="6750" spans="1:11" x14ac:dyDescent="0.25">
      <c r="A6750">
        <v>2025</v>
      </c>
      <c r="B6750" t="s">
        <v>4378</v>
      </c>
      <c r="C6750" t="s">
        <v>4379</v>
      </c>
      <c r="D6750" t="s">
        <v>19</v>
      </c>
      <c r="E6750" t="s">
        <v>20</v>
      </c>
      <c r="F6750" t="str">
        <f>"43606-1818"</f>
        <v>43606-1818</v>
      </c>
      <c r="G6750" t="str">
        <f>"753658"</f>
        <v>753658</v>
      </c>
      <c r="H6750" s="2">
        <f>20</f>
        <v>20</v>
      </c>
      <c r="I6750" t="s">
        <v>27</v>
      </c>
      <c r="J6750" t="s">
        <v>39</v>
      </c>
      <c r="K6750" t="str">
        <f>"126707"</f>
        <v>126707</v>
      </c>
    </row>
    <row r="6751" spans="1:11" x14ac:dyDescent="0.25">
      <c r="A6751">
        <v>2025</v>
      </c>
      <c r="B6751" t="s">
        <v>4382</v>
      </c>
      <c r="C6751" t="s">
        <v>4383</v>
      </c>
      <c r="D6751" t="s">
        <v>19</v>
      </c>
      <c r="E6751" t="s">
        <v>20</v>
      </c>
      <c r="F6751" t="str">
        <f>"43612"</f>
        <v>43612</v>
      </c>
      <c r="G6751" t="str">
        <f>"759797"</f>
        <v>759797</v>
      </c>
      <c r="H6751" s="2">
        <f>724.04</f>
        <v>724.04</v>
      </c>
      <c r="I6751" t="s">
        <v>27</v>
      </c>
      <c r="J6751" t="s">
        <v>239</v>
      </c>
      <c r="K6751" t="str">
        <f>"N/A"</f>
        <v>N/A</v>
      </c>
    </row>
    <row r="6752" spans="1:11" x14ac:dyDescent="0.25">
      <c r="A6752">
        <v>2025</v>
      </c>
      <c r="B6752" t="s">
        <v>4384</v>
      </c>
      <c r="C6752" t="s">
        <v>4385</v>
      </c>
      <c r="D6752" t="s">
        <v>19</v>
      </c>
      <c r="E6752" t="s">
        <v>20</v>
      </c>
      <c r="F6752" t="str">
        <f>"43623-1655"</f>
        <v>43623-1655</v>
      </c>
      <c r="G6752" t="str">
        <f>"753658"</f>
        <v>753658</v>
      </c>
      <c r="H6752" s="2">
        <f>10</f>
        <v>10</v>
      </c>
      <c r="I6752" t="s">
        <v>27</v>
      </c>
      <c r="J6752" t="s">
        <v>39</v>
      </c>
      <c r="K6752" t="str">
        <f>"131534"</f>
        <v>131534</v>
      </c>
    </row>
    <row r="6753" spans="1:11" x14ac:dyDescent="0.25">
      <c r="A6753">
        <v>2025</v>
      </c>
      <c r="B6753" t="s">
        <v>4398</v>
      </c>
      <c r="C6753" t="s">
        <v>4400</v>
      </c>
      <c r="D6753" t="s">
        <v>536</v>
      </c>
      <c r="E6753" t="s">
        <v>14</v>
      </c>
      <c r="F6753" t="str">
        <f>"48161"</f>
        <v>48161</v>
      </c>
      <c r="G6753" t="str">
        <f>"751641"</f>
        <v>751641</v>
      </c>
      <c r="H6753" s="2">
        <f>22.15</f>
        <v>22.15</v>
      </c>
      <c r="I6753" t="s">
        <v>27</v>
      </c>
      <c r="J6753" t="s">
        <v>219</v>
      </c>
      <c r="K6753" t="str">
        <f>"11004817"</f>
        <v>11004817</v>
      </c>
    </row>
    <row r="6754" spans="1:11" x14ac:dyDescent="0.25">
      <c r="A6754">
        <v>2025</v>
      </c>
      <c r="B6754" t="s">
        <v>4419</v>
      </c>
      <c r="C6754" t="s">
        <v>4420</v>
      </c>
      <c r="D6754" t="s">
        <v>19</v>
      </c>
      <c r="E6754" t="s">
        <v>20</v>
      </c>
      <c r="F6754" t="str">
        <f>"43614-5506"</f>
        <v>43614-5506</v>
      </c>
      <c r="G6754" t="str">
        <f>"753658"</f>
        <v>753658</v>
      </c>
      <c r="H6754" s="2">
        <f>10</f>
        <v>10</v>
      </c>
      <c r="I6754" t="s">
        <v>27</v>
      </c>
      <c r="J6754" t="s">
        <v>39</v>
      </c>
      <c r="K6754" t="str">
        <f>"128282"</f>
        <v>128282</v>
      </c>
    </row>
    <row r="6755" spans="1:11" x14ac:dyDescent="0.25">
      <c r="A6755">
        <v>2025</v>
      </c>
      <c r="B6755" t="s">
        <v>4421</v>
      </c>
      <c r="C6755" t="s">
        <v>4422</v>
      </c>
      <c r="D6755" t="s">
        <v>19</v>
      </c>
      <c r="E6755" t="s">
        <v>20</v>
      </c>
      <c r="F6755" t="str">
        <f>"43613-3171"</f>
        <v>43613-3171</v>
      </c>
      <c r="G6755" t="str">
        <f>"753658"</f>
        <v>753658</v>
      </c>
      <c r="H6755" s="2">
        <f>30</f>
        <v>30</v>
      </c>
      <c r="I6755" t="s">
        <v>27</v>
      </c>
      <c r="J6755" t="s">
        <v>39</v>
      </c>
      <c r="K6755" t="str">
        <f>"126457"</f>
        <v>126457</v>
      </c>
    </row>
    <row r="6756" spans="1:11" x14ac:dyDescent="0.25">
      <c r="A6756">
        <v>2025</v>
      </c>
      <c r="B6756" t="s">
        <v>4423</v>
      </c>
      <c r="C6756" t="s">
        <v>4424</v>
      </c>
      <c r="D6756" t="s">
        <v>50</v>
      </c>
      <c r="E6756" t="s">
        <v>20</v>
      </c>
      <c r="F6756" t="str">
        <f>"43560-1804"</f>
        <v>43560-1804</v>
      </c>
      <c r="G6756" t="str">
        <f>"753658"</f>
        <v>753658</v>
      </c>
      <c r="H6756" s="2">
        <f>10</f>
        <v>10</v>
      </c>
      <c r="I6756" t="s">
        <v>27</v>
      </c>
      <c r="J6756" t="s">
        <v>39</v>
      </c>
      <c r="K6756" t="str">
        <f>"127593"</f>
        <v>127593</v>
      </c>
    </row>
    <row r="6757" spans="1:11" x14ac:dyDescent="0.25">
      <c r="A6757">
        <v>2025</v>
      </c>
      <c r="B6757" t="s">
        <v>4436</v>
      </c>
      <c r="C6757" t="s">
        <v>4437</v>
      </c>
      <c r="D6757" t="s">
        <v>19</v>
      </c>
      <c r="E6757" t="s">
        <v>20</v>
      </c>
      <c r="F6757" t="str">
        <f>"43615"</f>
        <v>43615</v>
      </c>
      <c r="G6757" t="str">
        <f>"Je07082025"</f>
        <v>Je07082025</v>
      </c>
      <c r="H6757" s="2">
        <f>20</f>
        <v>20</v>
      </c>
      <c r="I6757" t="s">
        <v>15</v>
      </c>
      <c r="J6757" t="s">
        <v>185</v>
      </c>
      <c r="K6757" t="str">
        <f>"60149279"</f>
        <v>60149279</v>
      </c>
    </row>
    <row r="6758" spans="1:11" x14ac:dyDescent="0.25">
      <c r="A6758">
        <v>2025</v>
      </c>
      <c r="B6758" t="s">
        <v>4453</v>
      </c>
      <c r="C6758" t="s">
        <v>4454</v>
      </c>
      <c r="D6758" t="s">
        <v>19</v>
      </c>
      <c r="E6758" t="s">
        <v>20</v>
      </c>
      <c r="F6758" t="str">
        <f>"43607-3454"</f>
        <v>43607-3454</v>
      </c>
      <c r="G6758" t="str">
        <f>"753658"</f>
        <v>753658</v>
      </c>
      <c r="H6758" s="2">
        <f>10</f>
        <v>10</v>
      </c>
      <c r="I6758" t="s">
        <v>27</v>
      </c>
      <c r="J6758" t="s">
        <v>39</v>
      </c>
      <c r="K6758" t="str">
        <f>"128934"</f>
        <v>128934</v>
      </c>
    </row>
    <row r="6759" spans="1:11" x14ac:dyDescent="0.25">
      <c r="A6759">
        <v>2025</v>
      </c>
      <c r="B6759" t="s">
        <v>4457</v>
      </c>
      <c r="C6759" t="s">
        <v>4458</v>
      </c>
      <c r="D6759" t="s">
        <v>4459</v>
      </c>
      <c r="E6759" t="s">
        <v>20</v>
      </c>
      <c r="F6759" t="str">
        <f>"45071"</f>
        <v>45071</v>
      </c>
      <c r="G6759" t="str">
        <f>"759796"</f>
        <v>759796</v>
      </c>
      <c r="H6759" s="2">
        <f>3.1</f>
        <v>3.1</v>
      </c>
      <c r="I6759" t="s">
        <v>27</v>
      </c>
      <c r="J6759" t="s">
        <v>188</v>
      </c>
      <c r="K6759" t="str">
        <f>"44813"</f>
        <v>44813</v>
      </c>
    </row>
    <row r="6760" spans="1:11" x14ac:dyDescent="0.25">
      <c r="A6760">
        <v>2025</v>
      </c>
      <c r="B6760" t="s">
        <v>4465</v>
      </c>
      <c r="C6760" t="s">
        <v>4466</v>
      </c>
      <c r="D6760" t="s">
        <v>19</v>
      </c>
      <c r="E6760" t="s">
        <v>20</v>
      </c>
      <c r="F6760" t="str">
        <f>"43609-3283"</f>
        <v>43609-3283</v>
      </c>
      <c r="G6760" t="str">
        <f>"753658"</f>
        <v>753658</v>
      </c>
      <c r="H6760" s="2">
        <f>10</f>
        <v>10</v>
      </c>
      <c r="I6760" t="s">
        <v>27</v>
      </c>
      <c r="J6760" t="s">
        <v>39</v>
      </c>
      <c r="K6760" t="str">
        <f>"130939"</f>
        <v>130939</v>
      </c>
    </row>
    <row r="6761" spans="1:11" x14ac:dyDescent="0.25">
      <c r="A6761">
        <v>2025</v>
      </c>
      <c r="B6761" t="s">
        <v>4469</v>
      </c>
      <c r="C6761" t="s">
        <v>4470</v>
      </c>
      <c r="D6761" t="s">
        <v>19</v>
      </c>
      <c r="E6761" t="s">
        <v>20</v>
      </c>
      <c r="F6761" t="str">
        <f>"43613"</f>
        <v>43613</v>
      </c>
      <c r="G6761" t="str">
        <f>"759797"</f>
        <v>759797</v>
      </c>
      <c r="H6761" s="2">
        <f>3703.87</f>
        <v>3703.87</v>
      </c>
      <c r="I6761" t="s">
        <v>27</v>
      </c>
      <c r="J6761" t="s">
        <v>239</v>
      </c>
      <c r="K6761" t="str">
        <f>"N/A"</f>
        <v>N/A</v>
      </c>
    </row>
    <row r="6762" spans="1:11" x14ac:dyDescent="0.25">
      <c r="A6762">
        <v>2025</v>
      </c>
      <c r="B6762" t="s">
        <v>4493</v>
      </c>
      <c r="C6762" t="s">
        <v>4494</v>
      </c>
      <c r="D6762" t="s">
        <v>19</v>
      </c>
      <c r="E6762" t="s">
        <v>20</v>
      </c>
      <c r="F6762" t="str">
        <f>"43615"</f>
        <v>43615</v>
      </c>
      <c r="G6762" t="str">
        <f>"759796"</f>
        <v>759796</v>
      </c>
      <c r="H6762" s="2">
        <f>33</f>
        <v>33</v>
      </c>
      <c r="I6762" t="s">
        <v>27</v>
      </c>
      <c r="J6762" t="s">
        <v>188</v>
      </c>
      <c r="K6762" t="str">
        <f>"45261"</f>
        <v>45261</v>
      </c>
    </row>
    <row r="6763" spans="1:11" x14ac:dyDescent="0.25">
      <c r="A6763">
        <v>2025</v>
      </c>
      <c r="B6763" t="s">
        <v>4520</v>
      </c>
      <c r="C6763" t="s">
        <v>4521</v>
      </c>
      <c r="D6763" t="s">
        <v>19</v>
      </c>
      <c r="E6763" t="s">
        <v>20</v>
      </c>
      <c r="F6763" t="str">
        <f>"43604"</f>
        <v>43604</v>
      </c>
      <c r="G6763" t="str">
        <f>"759796"</f>
        <v>759796</v>
      </c>
      <c r="H6763" s="2">
        <f>92</f>
        <v>92</v>
      </c>
      <c r="I6763" t="s">
        <v>27</v>
      </c>
      <c r="J6763" t="s">
        <v>188</v>
      </c>
      <c r="K6763" t="str">
        <f>"46031"</f>
        <v>46031</v>
      </c>
    </row>
    <row r="6764" spans="1:11" x14ac:dyDescent="0.25">
      <c r="A6764">
        <v>2025</v>
      </c>
      <c r="B6764" t="s">
        <v>4530</v>
      </c>
      <c r="C6764" t="s">
        <v>4531</v>
      </c>
      <c r="D6764" t="s">
        <v>19</v>
      </c>
      <c r="E6764" t="s">
        <v>20</v>
      </c>
      <c r="F6764" t="str">
        <f>"43613"</f>
        <v>43613</v>
      </c>
      <c r="G6764" t="str">
        <f>"753658"</f>
        <v>753658</v>
      </c>
      <c r="H6764" s="2">
        <f>10</f>
        <v>10</v>
      </c>
      <c r="I6764" t="s">
        <v>27</v>
      </c>
      <c r="J6764" t="s">
        <v>39</v>
      </c>
      <c r="K6764" t="str">
        <f>"126787"</f>
        <v>126787</v>
      </c>
    </row>
    <row r="6765" spans="1:11" x14ac:dyDescent="0.25">
      <c r="A6765">
        <v>2025</v>
      </c>
      <c r="B6765" t="s">
        <v>4538</v>
      </c>
      <c r="C6765" t="s">
        <v>4539</v>
      </c>
      <c r="D6765" t="s">
        <v>19</v>
      </c>
      <c r="E6765" t="s">
        <v>20</v>
      </c>
      <c r="F6765" t="str">
        <f>"43604"</f>
        <v>43604</v>
      </c>
      <c r="G6765" t="str">
        <f>"759796"</f>
        <v>759796</v>
      </c>
      <c r="H6765" s="2">
        <f>28</f>
        <v>28</v>
      </c>
      <c r="I6765" t="s">
        <v>27</v>
      </c>
      <c r="J6765" t="s">
        <v>188</v>
      </c>
      <c r="K6765" t="str">
        <f>"46566"</f>
        <v>46566</v>
      </c>
    </row>
    <row r="6766" spans="1:11" x14ac:dyDescent="0.25">
      <c r="A6766">
        <v>2025</v>
      </c>
      <c r="B6766" t="s">
        <v>4546</v>
      </c>
      <c r="C6766" t="s">
        <v>4547</v>
      </c>
      <c r="D6766" t="s">
        <v>19</v>
      </c>
      <c r="E6766" t="s">
        <v>20</v>
      </c>
      <c r="F6766" t="str">
        <f>"43612-1549"</f>
        <v>43612-1549</v>
      </c>
      <c r="G6766" t="str">
        <f>"753658"</f>
        <v>753658</v>
      </c>
      <c r="H6766" s="2">
        <f>10</f>
        <v>10</v>
      </c>
      <c r="I6766" t="s">
        <v>27</v>
      </c>
      <c r="J6766" t="s">
        <v>39</v>
      </c>
      <c r="K6766" t="str">
        <f>"127780"</f>
        <v>127780</v>
      </c>
    </row>
    <row r="6767" spans="1:11" x14ac:dyDescent="0.25">
      <c r="A6767">
        <v>2025</v>
      </c>
      <c r="B6767" t="s">
        <v>4548</v>
      </c>
      <c r="C6767" t="s">
        <v>1582</v>
      </c>
      <c r="D6767" t="s">
        <v>164</v>
      </c>
      <c r="E6767" t="s">
        <v>20</v>
      </c>
      <c r="F6767" t="str">
        <f>"43558-9471"</f>
        <v>43558-9471</v>
      </c>
      <c r="G6767" t="str">
        <f>"753658"</f>
        <v>753658</v>
      </c>
      <c r="H6767" s="2">
        <f>10</f>
        <v>10</v>
      </c>
      <c r="I6767" t="s">
        <v>27</v>
      </c>
      <c r="J6767" t="s">
        <v>39</v>
      </c>
      <c r="K6767" t="str">
        <f>"129649"</f>
        <v>129649</v>
      </c>
    </row>
    <row r="6768" spans="1:11" x14ac:dyDescent="0.25">
      <c r="A6768">
        <v>2025</v>
      </c>
      <c r="B6768" t="s">
        <v>4557</v>
      </c>
      <c r="C6768" t="s">
        <v>4558</v>
      </c>
      <c r="D6768" t="s">
        <v>19</v>
      </c>
      <c r="E6768" t="s">
        <v>20</v>
      </c>
      <c r="F6768" t="str">
        <f>"43607"</f>
        <v>43607</v>
      </c>
      <c r="G6768" t="str">
        <f>"Je12092025"</f>
        <v>Je12092025</v>
      </c>
      <c r="H6768" s="2">
        <f>40</f>
        <v>40</v>
      </c>
      <c r="I6768" t="s">
        <v>15</v>
      </c>
      <c r="J6768" t="s">
        <v>909</v>
      </c>
      <c r="K6768" t="str">
        <f>"60169219"</f>
        <v>60169219</v>
      </c>
    </row>
    <row r="6769" spans="1:11" x14ac:dyDescent="0.25">
      <c r="A6769">
        <v>2025</v>
      </c>
      <c r="B6769" t="s">
        <v>4565</v>
      </c>
      <c r="C6769" t="s">
        <v>4566</v>
      </c>
      <c r="D6769" t="s">
        <v>58</v>
      </c>
      <c r="E6769" t="s">
        <v>20</v>
      </c>
      <c r="F6769" t="str">
        <f>"43616-3982"</f>
        <v>43616-3982</v>
      </c>
      <c r="G6769" t="str">
        <f>"753658"</f>
        <v>753658</v>
      </c>
      <c r="H6769" s="2">
        <f>10</f>
        <v>10</v>
      </c>
      <c r="I6769" t="s">
        <v>27</v>
      </c>
      <c r="J6769" t="s">
        <v>39</v>
      </c>
      <c r="K6769" t="str">
        <f>"129719"</f>
        <v>129719</v>
      </c>
    </row>
    <row r="6770" spans="1:11" x14ac:dyDescent="0.25">
      <c r="A6770">
        <v>2025</v>
      </c>
      <c r="B6770" t="s">
        <v>4569</v>
      </c>
      <c r="C6770" t="s">
        <v>4570</v>
      </c>
      <c r="D6770" t="s">
        <v>19</v>
      </c>
      <c r="E6770" t="s">
        <v>20</v>
      </c>
      <c r="F6770" t="str">
        <f>"43614"</f>
        <v>43614</v>
      </c>
      <c r="G6770" t="str">
        <f>"759796"</f>
        <v>759796</v>
      </c>
      <c r="H6770" s="2">
        <f>20</f>
        <v>20</v>
      </c>
      <c r="I6770" t="s">
        <v>27</v>
      </c>
      <c r="J6770" t="s">
        <v>188</v>
      </c>
      <c r="K6770" t="str">
        <f>"46569"</f>
        <v>46569</v>
      </c>
    </row>
    <row r="6771" spans="1:11" x14ac:dyDescent="0.25">
      <c r="A6771">
        <v>2025</v>
      </c>
      <c r="B6771" t="s">
        <v>4576</v>
      </c>
      <c r="C6771" t="s">
        <v>4577</v>
      </c>
      <c r="D6771" t="s">
        <v>19</v>
      </c>
      <c r="E6771" t="s">
        <v>20</v>
      </c>
      <c r="F6771" t="str">
        <f>"43623-2987"</f>
        <v>43623-2987</v>
      </c>
      <c r="G6771" t="str">
        <f>"753658"</f>
        <v>753658</v>
      </c>
      <c r="H6771" s="2">
        <f>10</f>
        <v>10</v>
      </c>
      <c r="I6771" t="s">
        <v>27</v>
      </c>
      <c r="J6771" t="s">
        <v>39</v>
      </c>
      <c r="K6771" t="str">
        <f>"128141"</f>
        <v>128141</v>
      </c>
    </row>
    <row r="6772" spans="1:11" x14ac:dyDescent="0.25">
      <c r="A6772">
        <v>2025</v>
      </c>
      <c r="B6772" t="s">
        <v>4588</v>
      </c>
      <c r="C6772" t="s">
        <v>4589</v>
      </c>
      <c r="D6772" t="s">
        <v>19</v>
      </c>
      <c r="E6772" t="s">
        <v>20</v>
      </c>
      <c r="F6772" t="str">
        <f>"43611-2726"</f>
        <v>43611-2726</v>
      </c>
      <c r="G6772" t="str">
        <f>"753658"</f>
        <v>753658</v>
      </c>
      <c r="H6772" s="2">
        <f>10</f>
        <v>10</v>
      </c>
      <c r="I6772" t="s">
        <v>27</v>
      </c>
      <c r="J6772" t="s">
        <v>39</v>
      </c>
      <c r="K6772" t="str">
        <f>"127818"</f>
        <v>127818</v>
      </c>
    </row>
    <row r="6773" spans="1:11" x14ac:dyDescent="0.25">
      <c r="A6773">
        <v>2025</v>
      </c>
      <c r="B6773" t="s">
        <v>4590</v>
      </c>
      <c r="C6773" t="s">
        <v>4591</v>
      </c>
      <c r="D6773" t="s">
        <v>19</v>
      </c>
      <c r="E6773" t="s">
        <v>20</v>
      </c>
      <c r="F6773" t="str">
        <f>"43615-4414"</f>
        <v>43615-4414</v>
      </c>
      <c r="G6773" t="str">
        <f>"753658"</f>
        <v>753658</v>
      </c>
      <c r="H6773" s="2">
        <f>10</f>
        <v>10</v>
      </c>
      <c r="I6773" t="s">
        <v>27</v>
      </c>
      <c r="J6773" t="s">
        <v>39</v>
      </c>
      <c r="K6773" t="str">
        <f>"125526"</f>
        <v>125526</v>
      </c>
    </row>
    <row r="6774" spans="1:11" x14ac:dyDescent="0.25">
      <c r="A6774">
        <v>2025</v>
      </c>
      <c r="B6774" t="s">
        <v>4598</v>
      </c>
      <c r="C6774" t="s">
        <v>4599</v>
      </c>
      <c r="D6774" t="s">
        <v>19</v>
      </c>
      <c r="E6774" t="s">
        <v>20</v>
      </c>
      <c r="F6774" t="str">
        <f>"43606-3070"</f>
        <v>43606-3070</v>
      </c>
      <c r="G6774" t="str">
        <f>"753658"</f>
        <v>753658</v>
      </c>
      <c r="H6774" s="2">
        <f>10</f>
        <v>10</v>
      </c>
      <c r="I6774" t="s">
        <v>27</v>
      </c>
      <c r="J6774" t="s">
        <v>39</v>
      </c>
      <c r="K6774" t="str">
        <f>"131589"</f>
        <v>131589</v>
      </c>
    </row>
    <row r="6775" spans="1:11" x14ac:dyDescent="0.25">
      <c r="A6775">
        <v>2025</v>
      </c>
      <c r="B6775" t="s">
        <v>4617</v>
      </c>
      <c r="C6775" t="s">
        <v>4618</v>
      </c>
      <c r="D6775" t="s">
        <v>4326</v>
      </c>
      <c r="E6775" t="s">
        <v>20</v>
      </c>
      <c r="F6775" t="str">
        <f>"44131"</f>
        <v>44131</v>
      </c>
      <c r="G6775" t="str">
        <f>"759796"</f>
        <v>759796</v>
      </c>
      <c r="H6775" s="2">
        <f>20</f>
        <v>20</v>
      </c>
      <c r="I6775" t="s">
        <v>27</v>
      </c>
      <c r="J6775" t="s">
        <v>188</v>
      </c>
      <c r="K6775" t="str">
        <f>"44779"</f>
        <v>44779</v>
      </c>
    </row>
    <row r="6776" spans="1:11" x14ac:dyDescent="0.25">
      <c r="A6776">
        <v>2025</v>
      </c>
      <c r="B6776" t="s">
        <v>4632</v>
      </c>
      <c r="C6776" t="s">
        <v>4633</v>
      </c>
      <c r="D6776" t="s">
        <v>19</v>
      </c>
      <c r="E6776" t="s">
        <v>20</v>
      </c>
      <c r="F6776" t="str">
        <f>"43604"</f>
        <v>43604</v>
      </c>
      <c r="G6776" t="str">
        <f>"759796"</f>
        <v>759796</v>
      </c>
      <c r="H6776" s="2">
        <f>14.75</f>
        <v>14.75</v>
      </c>
      <c r="I6776" t="s">
        <v>27</v>
      </c>
      <c r="J6776" t="s">
        <v>188</v>
      </c>
      <c r="K6776" t="str">
        <f>"44662"</f>
        <v>44662</v>
      </c>
    </row>
    <row r="6777" spans="1:11" x14ac:dyDescent="0.25">
      <c r="A6777">
        <v>2025</v>
      </c>
      <c r="B6777" t="s">
        <v>4643</v>
      </c>
      <c r="C6777" t="s">
        <v>4644</v>
      </c>
      <c r="D6777" t="s">
        <v>19</v>
      </c>
      <c r="E6777" t="s">
        <v>20</v>
      </c>
      <c r="F6777" t="str">
        <f>"43612-1501"</f>
        <v>43612-1501</v>
      </c>
      <c r="G6777" t="str">
        <f t="shared" ref="G6777:G6783" si="240">"753658"</f>
        <v>753658</v>
      </c>
      <c r="H6777" s="2">
        <f>10</f>
        <v>10</v>
      </c>
      <c r="I6777" t="s">
        <v>27</v>
      </c>
      <c r="J6777" t="s">
        <v>39</v>
      </c>
      <c r="K6777" t="str">
        <f>"130935"</f>
        <v>130935</v>
      </c>
    </row>
    <row r="6778" spans="1:11" x14ac:dyDescent="0.25">
      <c r="A6778">
        <v>2025</v>
      </c>
      <c r="B6778" t="s">
        <v>4645</v>
      </c>
      <c r="C6778" t="s">
        <v>4646</v>
      </c>
      <c r="D6778" t="s">
        <v>105</v>
      </c>
      <c r="E6778" t="s">
        <v>20</v>
      </c>
      <c r="F6778" t="str">
        <f>"43528-9135"</f>
        <v>43528-9135</v>
      </c>
      <c r="G6778" t="str">
        <f t="shared" si="240"/>
        <v>753658</v>
      </c>
      <c r="H6778" s="2">
        <f>10</f>
        <v>10</v>
      </c>
      <c r="I6778" t="s">
        <v>27</v>
      </c>
      <c r="J6778" t="s">
        <v>39</v>
      </c>
      <c r="K6778" t="str">
        <f>"126575"</f>
        <v>126575</v>
      </c>
    </row>
    <row r="6779" spans="1:11" x14ac:dyDescent="0.25">
      <c r="A6779">
        <v>2025</v>
      </c>
      <c r="B6779" t="s">
        <v>4666</v>
      </c>
      <c r="C6779" t="s">
        <v>4667</v>
      </c>
      <c r="D6779" t="s">
        <v>105</v>
      </c>
      <c r="E6779" t="s">
        <v>20</v>
      </c>
      <c r="F6779" t="str">
        <f>"43528"</f>
        <v>43528</v>
      </c>
      <c r="G6779" t="str">
        <f t="shared" si="240"/>
        <v>753658</v>
      </c>
      <c r="H6779" s="2">
        <f>10</f>
        <v>10</v>
      </c>
      <c r="I6779" t="s">
        <v>27</v>
      </c>
      <c r="J6779" t="s">
        <v>39</v>
      </c>
      <c r="K6779" t="str">
        <f>"128424"</f>
        <v>128424</v>
      </c>
    </row>
    <row r="6780" spans="1:11" x14ac:dyDescent="0.25">
      <c r="A6780">
        <v>2025</v>
      </c>
      <c r="B6780" t="s">
        <v>4668</v>
      </c>
      <c r="C6780" t="s">
        <v>4669</v>
      </c>
      <c r="D6780" t="s">
        <v>19</v>
      </c>
      <c r="E6780" t="s">
        <v>20</v>
      </c>
      <c r="F6780" t="str">
        <f>"43606-3757"</f>
        <v>43606-3757</v>
      </c>
      <c r="G6780" t="str">
        <f t="shared" si="240"/>
        <v>753658</v>
      </c>
      <c r="H6780" s="2">
        <f>40</f>
        <v>40</v>
      </c>
      <c r="I6780" t="s">
        <v>27</v>
      </c>
      <c r="J6780" t="s">
        <v>39</v>
      </c>
      <c r="K6780" t="str">
        <f>"131395"</f>
        <v>131395</v>
      </c>
    </row>
    <row r="6781" spans="1:11" x14ac:dyDescent="0.25">
      <c r="A6781">
        <v>2025</v>
      </c>
      <c r="B6781" t="s">
        <v>4670</v>
      </c>
      <c r="C6781" t="s">
        <v>2496</v>
      </c>
      <c r="D6781" t="s">
        <v>19</v>
      </c>
      <c r="E6781" t="s">
        <v>20</v>
      </c>
      <c r="F6781" t="str">
        <f>"43604-5909"</f>
        <v>43604-5909</v>
      </c>
      <c r="G6781" t="str">
        <f t="shared" si="240"/>
        <v>753658</v>
      </c>
      <c r="H6781" s="2">
        <f>10</f>
        <v>10</v>
      </c>
      <c r="I6781" t="s">
        <v>27</v>
      </c>
      <c r="J6781" t="s">
        <v>39</v>
      </c>
      <c r="K6781" t="str">
        <f>"127820"</f>
        <v>127820</v>
      </c>
    </row>
    <row r="6782" spans="1:11" x14ac:dyDescent="0.25">
      <c r="A6782">
        <v>2025</v>
      </c>
      <c r="B6782" t="s">
        <v>4697</v>
      </c>
      <c r="C6782" t="s">
        <v>4698</v>
      </c>
      <c r="D6782" t="s">
        <v>19</v>
      </c>
      <c r="E6782" t="s">
        <v>20</v>
      </c>
      <c r="F6782" t="str">
        <f>"43614-5213"</f>
        <v>43614-5213</v>
      </c>
      <c r="G6782" t="str">
        <f t="shared" si="240"/>
        <v>753658</v>
      </c>
      <c r="H6782" s="2">
        <f>10</f>
        <v>10</v>
      </c>
      <c r="I6782" t="s">
        <v>27</v>
      </c>
      <c r="J6782" t="s">
        <v>39</v>
      </c>
      <c r="K6782" t="str">
        <f>"126276"</f>
        <v>126276</v>
      </c>
    </row>
    <row r="6783" spans="1:11" x14ac:dyDescent="0.25">
      <c r="A6783">
        <v>2025</v>
      </c>
      <c r="B6783" t="s">
        <v>4705</v>
      </c>
      <c r="C6783" t="s">
        <v>4706</v>
      </c>
      <c r="D6783" t="s">
        <v>125</v>
      </c>
      <c r="E6783" t="s">
        <v>20</v>
      </c>
      <c r="F6783" t="str">
        <f>"43537-9333"</f>
        <v>43537-9333</v>
      </c>
      <c r="G6783" t="str">
        <f t="shared" si="240"/>
        <v>753658</v>
      </c>
      <c r="H6783" s="2">
        <f>20</f>
        <v>20</v>
      </c>
      <c r="I6783" t="s">
        <v>27</v>
      </c>
      <c r="J6783" t="s">
        <v>39</v>
      </c>
      <c r="K6783" t="str">
        <f>"131988"</f>
        <v>131988</v>
      </c>
    </row>
    <row r="6784" spans="1:11" x14ac:dyDescent="0.25">
      <c r="A6784">
        <v>2025</v>
      </c>
      <c r="B6784" t="s">
        <v>4720</v>
      </c>
      <c r="C6784" t="s">
        <v>828</v>
      </c>
      <c r="D6784" t="s">
        <v>829</v>
      </c>
      <c r="E6784" t="s">
        <v>20</v>
      </c>
      <c r="F6784" t="str">
        <f>"44132"</f>
        <v>44132</v>
      </c>
      <c r="G6784" t="str">
        <f>"759796"</f>
        <v>759796</v>
      </c>
      <c r="H6784" s="2">
        <f>15.54</f>
        <v>15.54</v>
      </c>
      <c r="I6784" t="s">
        <v>27</v>
      </c>
      <c r="J6784" t="s">
        <v>188</v>
      </c>
      <c r="K6784" t="str">
        <f>"45911"</f>
        <v>45911</v>
      </c>
    </row>
    <row r="6785" spans="1:11" x14ac:dyDescent="0.25">
      <c r="A6785">
        <v>2025</v>
      </c>
      <c r="B6785" t="s">
        <v>4725</v>
      </c>
      <c r="C6785" t="s">
        <v>1139</v>
      </c>
      <c r="D6785" t="s">
        <v>380</v>
      </c>
      <c r="E6785" t="s">
        <v>20</v>
      </c>
      <c r="F6785" t="str">
        <f>"44406"</f>
        <v>44406</v>
      </c>
      <c r="G6785" t="str">
        <f>"759796"</f>
        <v>759796</v>
      </c>
      <c r="H6785" s="2">
        <f>20</f>
        <v>20</v>
      </c>
      <c r="I6785" t="s">
        <v>27</v>
      </c>
      <c r="J6785" t="s">
        <v>188</v>
      </c>
      <c r="K6785" t="str">
        <f>"45470"</f>
        <v>45470</v>
      </c>
    </row>
    <row r="6786" spans="1:11" x14ac:dyDescent="0.25">
      <c r="A6786">
        <v>2025</v>
      </c>
      <c r="B6786" t="s">
        <v>4740</v>
      </c>
      <c r="C6786" t="s">
        <v>4742</v>
      </c>
      <c r="D6786" t="s">
        <v>19</v>
      </c>
      <c r="E6786" t="s">
        <v>20</v>
      </c>
      <c r="F6786" t="str">
        <f>"43608"</f>
        <v>43608</v>
      </c>
      <c r="G6786" t="str">
        <f>"Je04082025"</f>
        <v>Je04082025</v>
      </c>
      <c r="H6786" s="2">
        <f>8.71</f>
        <v>8.7100000000000009</v>
      </c>
      <c r="I6786" t="s">
        <v>15</v>
      </c>
      <c r="J6786" t="s">
        <v>24</v>
      </c>
      <c r="K6786" t="str">
        <f>"60147896"</f>
        <v>60147896</v>
      </c>
    </row>
    <row r="6787" spans="1:11" x14ac:dyDescent="0.25">
      <c r="A6787">
        <v>2025</v>
      </c>
      <c r="B6787" t="s">
        <v>4749</v>
      </c>
      <c r="C6787" t="s">
        <v>4141</v>
      </c>
      <c r="D6787" t="s">
        <v>19</v>
      </c>
      <c r="E6787" t="s">
        <v>20</v>
      </c>
      <c r="F6787" t="str">
        <f>"43623"</f>
        <v>43623</v>
      </c>
      <c r="G6787" t="str">
        <f>"759796"</f>
        <v>759796</v>
      </c>
      <c r="H6787" s="2">
        <f>5.06</f>
        <v>5.0599999999999996</v>
      </c>
      <c r="I6787" t="s">
        <v>27</v>
      </c>
      <c r="J6787" t="s">
        <v>188</v>
      </c>
      <c r="K6787" t="str">
        <f>"46460"</f>
        <v>46460</v>
      </c>
    </row>
    <row r="6788" spans="1:11" x14ac:dyDescent="0.25">
      <c r="A6788">
        <v>2025</v>
      </c>
      <c r="B6788" t="s">
        <v>4765</v>
      </c>
      <c r="C6788" t="s">
        <v>4766</v>
      </c>
      <c r="D6788" t="s">
        <v>19</v>
      </c>
      <c r="E6788" t="s">
        <v>20</v>
      </c>
      <c r="F6788" t="str">
        <f>"43612-1812"</f>
        <v>43612-1812</v>
      </c>
      <c r="G6788" t="str">
        <f t="shared" ref="G6788:G6797" si="241">"753658"</f>
        <v>753658</v>
      </c>
      <c r="H6788" s="2">
        <f>20</f>
        <v>20</v>
      </c>
      <c r="I6788" t="s">
        <v>27</v>
      </c>
      <c r="J6788" t="s">
        <v>39</v>
      </c>
      <c r="K6788" t="str">
        <f>"128185"</f>
        <v>128185</v>
      </c>
    </row>
    <row r="6789" spans="1:11" x14ac:dyDescent="0.25">
      <c r="A6789">
        <v>2025</v>
      </c>
      <c r="B6789" t="s">
        <v>4789</v>
      </c>
      <c r="C6789" t="s">
        <v>4790</v>
      </c>
      <c r="D6789" t="s">
        <v>19</v>
      </c>
      <c r="E6789" t="s">
        <v>20</v>
      </c>
      <c r="F6789" t="str">
        <f>"43613-4303"</f>
        <v>43613-4303</v>
      </c>
      <c r="G6789" t="str">
        <f t="shared" si="241"/>
        <v>753658</v>
      </c>
      <c r="H6789" s="2">
        <f>20</f>
        <v>20</v>
      </c>
      <c r="I6789" t="s">
        <v>27</v>
      </c>
      <c r="J6789" t="s">
        <v>39</v>
      </c>
      <c r="K6789" t="str">
        <f>"128353"</f>
        <v>128353</v>
      </c>
    </row>
    <row r="6790" spans="1:11" x14ac:dyDescent="0.25">
      <c r="A6790">
        <v>2025</v>
      </c>
      <c r="B6790" t="s">
        <v>4791</v>
      </c>
      <c r="C6790" t="s">
        <v>4792</v>
      </c>
      <c r="D6790" t="s">
        <v>19</v>
      </c>
      <c r="E6790" t="s">
        <v>20</v>
      </c>
      <c r="F6790" t="str">
        <f>"43612-2529"</f>
        <v>43612-2529</v>
      </c>
      <c r="G6790" t="str">
        <f t="shared" si="241"/>
        <v>753658</v>
      </c>
      <c r="H6790" s="2">
        <f>10</f>
        <v>10</v>
      </c>
      <c r="I6790" t="s">
        <v>27</v>
      </c>
      <c r="J6790" t="s">
        <v>39</v>
      </c>
      <c r="K6790" t="str">
        <f>"129590"</f>
        <v>129590</v>
      </c>
    </row>
    <row r="6791" spans="1:11" x14ac:dyDescent="0.25">
      <c r="A6791">
        <v>2025</v>
      </c>
      <c r="B6791" t="s">
        <v>4812</v>
      </c>
      <c r="C6791" t="s">
        <v>4813</v>
      </c>
      <c r="D6791" t="s">
        <v>64</v>
      </c>
      <c r="E6791" t="s">
        <v>20</v>
      </c>
      <c r="F6791" t="str">
        <f>"43566-1216"</f>
        <v>43566-1216</v>
      </c>
      <c r="G6791" t="str">
        <f t="shared" si="241"/>
        <v>753658</v>
      </c>
      <c r="H6791" s="2">
        <f>80</f>
        <v>80</v>
      </c>
      <c r="I6791" t="s">
        <v>27</v>
      </c>
      <c r="J6791" t="s">
        <v>39</v>
      </c>
      <c r="K6791" t="str">
        <f>"126692"</f>
        <v>126692</v>
      </c>
    </row>
    <row r="6792" spans="1:11" x14ac:dyDescent="0.25">
      <c r="A6792">
        <v>2025</v>
      </c>
      <c r="B6792" t="s">
        <v>4814</v>
      </c>
      <c r="C6792" t="s">
        <v>4815</v>
      </c>
      <c r="D6792" t="s">
        <v>58</v>
      </c>
      <c r="E6792" t="s">
        <v>20</v>
      </c>
      <c r="F6792" t="str">
        <f>"43616-5807"</f>
        <v>43616-5807</v>
      </c>
      <c r="G6792" t="str">
        <f t="shared" si="241"/>
        <v>753658</v>
      </c>
      <c r="H6792" s="2">
        <f>10</f>
        <v>10</v>
      </c>
      <c r="I6792" t="s">
        <v>27</v>
      </c>
      <c r="J6792" t="s">
        <v>39</v>
      </c>
      <c r="K6792" t="str">
        <f>"129376"</f>
        <v>129376</v>
      </c>
    </row>
    <row r="6793" spans="1:11" x14ac:dyDescent="0.25">
      <c r="A6793">
        <v>2025</v>
      </c>
      <c r="B6793" t="s">
        <v>4820</v>
      </c>
      <c r="C6793" t="s">
        <v>4821</v>
      </c>
      <c r="D6793" t="s">
        <v>19</v>
      </c>
      <c r="E6793" t="s">
        <v>20</v>
      </c>
      <c r="F6793" t="str">
        <f>"43615-2190"</f>
        <v>43615-2190</v>
      </c>
      <c r="G6793" t="str">
        <f t="shared" si="241"/>
        <v>753658</v>
      </c>
      <c r="H6793" s="2">
        <f>10</f>
        <v>10</v>
      </c>
      <c r="I6793" t="s">
        <v>27</v>
      </c>
      <c r="J6793" t="s">
        <v>39</v>
      </c>
      <c r="K6793" t="str">
        <f>"126352"</f>
        <v>126352</v>
      </c>
    </row>
    <row r="6794" spans="1:11" x14ac:dyDescent="0.25">
      <c r="A6794">
        <v>2025</v>
      </c>
      <c r="B6794" t="s">
        <v>4822</v>
      </c>
      <c r="C6794" t="s">
        <v>4823</v>
      </c>
      <c r="D6794" t="s">
        <v>19</v>
      </c>
      <c r="E6794" t="s">
        <v>20</v>
      </c>
      <c r="F6794" t="str">
        <f>"43615-3316"</f>
        <v>43615-3316</v>
      </c>
      <c r="G6794" t="str">
        <f t="shared" si="241"/>
        <v>753658</v>
      </c>
      <c r="H6794" s="2">
        <f>20</f>
        <v>20</v>
      </c>
      <c r="I6794" t="s">
        <v>27</v>
      </c>
      <c r="J6794" t="s">
        <v>39</v>
      </c>
      <c r="K6794" t="str">
        <f>"129294"</f>
        <v>129294</v>
      </c>
    </row>
    <row r="6795" spans="1:11" x14ac:dyDescent="0.25">
      <c r="A6795">
        <v>2025</v>
      </c>
      <c r="B6795" t="s">
        <v>4826</v>
      </c>
      <c r="C6795" t="s">
        <v>2828</v>
      </c>
      <c r="D6795" t="s">
        <v>64</v>
      </c>
      <c r="E6795" t="s">
        <v>20</v>
      </c>
      <c r="F6795" t="str">
        <f>"43566-9766"</f>
        <v>43566-9766</v>
      </c>
      <c r="G6795" t="str">
        <f t="shared" si="241"/>
        <v>753658</v>
      </c>
      <c r="H6795" s="2">
        <f>20</f>
        <v>20</v>
      </c>
      <c r="I6795" t="s">
        <v>27</v>
      </c>
      <c r="J6795" t="s">
        <v>39</v>
      </c>
      <c r="K6795" t="str">
        <f>"127235"</f>
        <v>127235</v>
      </c>
    </row>
    <row r="6796" spans="1:11" x14ac:dyDescent="0.25">
      <c r="A6796">
        <v>2025</v>
      </c>
      <c r="B6796" t="s">
        <v>4848</v>
      </c>
      <c r="C6796" t="s">
        <v>4849</v>
      </c>
      <c r="D6796" t="s">
        <v>19</v>
      </c>
      <c r="E6796" t="s">
        <v>20</v>
      </c>
      <c r="F6796" t="str">
        <f>"43607-4364"</f>
        <v>43607-4364</v>
      </c>
      <c r="G6796" t="str">
        <f t="shared" si="241"/>
        <v>753658</v>
      </c>
      <c r="H6796" s="2">
        <f>20</f>
        <v>20</v>
      </c>
      <c r="I6796" t="s">
        <v>27</v>
      </c>
      <c r="J6796" t="s">
        <v>39</v>
      </c>
      <c r="K6796" t="str">
        <f>"130070"</f>
        <v>130070</v>
      </c>
    </row>
    <row r="6797" spans="1:11" x14ac:dyDescent="0.25">
      <c r="A6797">
        <v>2025</v>
      </c>
      <c r="B6797" t="s">
        <v>4892</v>
      </c>
      <c r="C6797" t="s">
        <v>4893</v>
      </c>
      <c r="D6797" t="s">
        <v>64</v>
      </c>
      <c r="E6797" t="s">
        <v>20</v>
      </c>
      <c r="F6797" t="str">
        <f>"43566-1042"</f>
        <v>43566-1042</v>
      </c>
      <c r="G6797" t="str">
        <f t="shared" si="241"/>
        <v>753658</v>
      </c>
      <c r="H6797" s="2">
        <f>30</f>
        <v>30</v>
      </c>
      <c r="I6797" t="s">
        <v>27</v>
      </c>
      <c r="J6797" t="s">
        <v>39</v>
      </c>
      <c r="K6797" t="str">
        <f>"127860"</f>
        <v>127860</v>
      </c>
    </row>
    <row r="6798" spans="1:11" x14ac:dyDescent="0.25">
      <c r="A6798">
        <v>2025</v>
      </c>
      <c r="B6798" t="s">
        <v>4896</v>
      </c>
      <c r="C6798" t="s">
        <v>1734</v>
      </c>
      <c r="D6798" t="s">
        <v>19</v>
      </c>
      <c r="E6798" t="s">
        <v>20</v>
      </c>
      <c r="F6798" t="str">
        <f>"43604"</f>
        <v>43604</v>
      </c>
      <c r="G6798" t="str">
        <f>"759796"</f>
        <v>759796</v>
      </c>
      <c r="H6798" s="2">
        <f>20</f>
        <v>20</v>
      </c>
      <c r="I6798" t="s">
        <v>27</v>
      </c>
      <c r="J6798" t="s">
        <v>188</v>
      </c>
      <c r="K6798" t="str">
        <f>"45435"</f>
        <v>45435</v>
      </c>
    </row>
    <row r="6799" spans="1:11" x14ac:dyDescent="0.25">
      <c r="A6799">
        <v>2025</v>
      </c>
      <c r="B6799" t="s">
        <v>4913</v>
      </c>
      <c r="C6799" t="s">
        <v>4914</v>
      </c>
      <c r="D6799" t="s">
        <v>19</v>
      </c>
      <c r="E6799" t="s">
        <v>20</v>
      </c>
      <c r="F6799" t="str">
        <f>"43615-3923"</f>
        <v>43615-3923</v>
      </c>
      <c r="G6799" t="str">
        <f>"753658"</f>
        <v>753658</v>
      </c>
      <c r="H6799" s="2">
        <f>10</f>
        <v>10</v>
      </c>
      <c r="I6799" t="s">
        <v>27</v>
      </c>
      <c r="J6799" t="s">
        <v>39</v>
      </c>
      <c r="K6799" t="str">
        <f>"126103"</f>
        <v>126103</v>
      </c>
    </row>
    <row r="6800" spans="1:11" x14ac:dyDescent="0.25">
      <c r="A6800">
        <v>2025</v>
      </c>
      <c r="B6800" t="s">
        <v>4935</v>
      </c>
      <c r="C6800" t="s">
        <v>4936</v>
      </c>
      <c r="D6800" t="s">
        <v>125</v>
      </c>
      <c r="E6800" t="s">
        <v>20</v>
      </c>
      <c r="F6800" t="str">
        <f>"43537-9591"</f>
        <v>43537-9591</v>
      </c>
      <c r="G6800" t="str">
        <f>"753658"</f>
        <v>753658</v>
      </c>
      <c r="H6800" s="2">
        <f>20</f>
        <v>20</v>
      </c>
      <c r="I6800" t="s">
        <v>27</v>
      </c>
      <c r="J6800" t="s">
        <v>39</v>
      </c>
      <c r="K6800" t="str">
        <f>"129858"</f>
        <v>129858</v>
      </c>
    </row>
    <row r="6801" spans="1:11" x14ac:dyDescent="0.25">
      <c r="A6801">
        <v>2025</v>
      </c>
      <c r="B6801" t="s">
        <v>4939</v>
      </c>
      <c r="C6801" t="s">
        <v>4934</v>
      </c>
      <c r="D6801" t="s">
        <v>19</v>
      </c>
      <c r="E6801" t="s">
        <v>20</v>
      </c>
      <c r="F6801" t="str">
        <f>"43613-2209"</f>
        <v>43613-2209</v>
      </c>
      <c r="G6801" t="str">
        <f>"753658"</f>
        <v>753658</v>
      </c>
      <c r="H6801" s="2">
        <f>30</f>
        <v>30</v>
      </c>
      <c r="I6801" t="s">
        <v>27</v>
      </c>
      <c r="J6801" t="s">
        <v>39</v>
      </c>
      <c r="K6801" t="str">
        <f>"126881"</f>
        <v>126881</v>
      </c>
    </row>
    <row r="6802" spans="1:11" x14ac:dyDescent="0.25">
      <c r="A6802">
        <v>2025</v>
      </c>
      <c r="B6802" t="s">
        <v>4940</v>
      </c>
      <c r="C6802" t="s">
        <v>4941</v>
      </c>
      <c r="D6802" t="s">
        <v>58</v>
      </c>
      <c r="E6802" t="s">
        <v>20</v>
      </c>
      <c r="F6802" t="str">
        <f>"43616-3604"</f>
        <v>43616-3604</v>
      </c>
      <c r="G6802" t="str">
        <f>"753658"</f>
        <v>753658</v>
      </c>
      <c r="H6802" s="2">
        <f>10</f>
        <v>10</v>
      </c>
      <c r="I6802" t="s">
        <v>27</v>
      </c>
      <c r="J6802" t="s">
        <v>39</v>
      </c>
      <c r="K6802" t="str">
        <f>"126194"</f>
        <v>126194</v>
      </c>
    </row>
    <row r="6803" spans="1:11" x14ac:dyDescent="0.25">
      <c r="A6803">
        <v>2025</v>
      </c>
      <c r="B6803" t="s">
        <v>4952</v>
      </c>
      <c r="C6803" t="s">
        <v>4953</v>
      </c>
      <c r="D6803" t="s">
        <v>422</v>
      </c>
      <c r="E6803" t="s">
        <v>20</v>
      </c>
      <c r="F6803" t="str">
        <f>"44114"</f>
        <v>44114</v>
      </c>
      <c r="G6803" t="str">
        <f>"759796"</f>
        <v>759796</v>
      </c>
      <c r="H6803" s="2">
        <f>105</f>
        <v>105</v>
      </c>
      <c r="I6803" t="s">
        <v>27</v>
      </c>
      <c r="J6803" t="s">
        <v>188</v>
      </c>
      <c r="K6803" t="str">
        <f>"45563"</f>
        <v>45563</v>
      </c>
    </row>
    <row r="6804" spans="1:11" x14ac:dyDescent="0.25">
      <c r="A6804">
        <v>2025</v>
      </c>
      <c r="B6804" t="s">
        <v>4954</v>
      </c>
      <c r="C6804" t="s">
        <v>4955</v>
      </c>
      <c r="D6804" t="s">
        <v>19</v>
      </c>
      <c r="E6804" t="s">
        <v>20</v>
      </c>
      <c r="F6804" t="str">
        <f>"43605"</f>
        <v>43605</v>
      </c>
      <c r="G6804" t="str">
        <f>"751639"</f>
        <v>751639</v>
      </c>
      <c r="H6804" s="2">
        <f>4.08</f>
        <v>4.08</v>
      </c>
      <c r="I6804" t="s">
        <v>27</v>
      </c>
      <c r="J6804" t="s">
        <v>96</v>
      </c>
      <c r="K6804" t="str">
        <f>"335053"</f>
        <v>335053</v>
      </c>
    </row>
    <row r="6805" spans="1:11" x14ac:dyDescent="0.25">
      <c r="A6805">
        <v>2025</v>
      </c>
      <c r="B6805" t="s">
        <v>4969</v>
      </c>
      <c r="C6805" t="s">
        <v>4970</v>
      </c>
      <c r="D6805" t="s">
        <v>1163</v>
      </c>
      <c r="E6805" t="s">
        <v>20</v>
      </c>
      <c r="F6805" t="str">
        <f>"45206"</f>
        <v>45206</v>
      </c>
      <c r="G6805" t="str">
        <f>"759796"</f>
        <v>759796</v>
      </c>
      <c r="H6805" s="2">
        <f>20</f>
        <v>20</v>
      </c>
      <c r="I6805" t="s">
        <v>27</v>
      </c>
      <c r="J6805" t="s">
        <v>188</v>
      </c>
      <c r="K6805" t="str">
        <f>"44575"</f>
        <v>44575</v>
      </c>
    </row>
    <row r="6806" spans="1:11" x14ac:dyDescent="0.25">
      <c r="A6806">
        <v>2025</v>
      </c>
      <c r="B6806" t="s">
        <v>4975</v>
      </c>
      <c r="C6806" t="s">
        <v>4976</v>
      </c>
      <c r="D6806" t="s">
        <v>4977</v>
      </c>
      <c r="E6806" t="s">
        <v>20</v>
      </c>
      <c r="F6806" t="str">
        <f>"44122"</f>
        <v>44122</v>
      </c>
      <c r="G6806" t="str">
        <f>"759796"</f>
        <v>759796</v>
      </c>
      <c r="H6806" s="2">
        <f>3.59</f>
        <v>3.59</v>
      </c>
      <c r="I6806" t="s">
        <v>27</v>
      </c>
      <c r="J6806" t="s">
        <v>188</v>
      </c>
      <c r="K6806" t="str">
        <f>"44757"</f>
        <v>44757</v>
      </c>
    </row>
    <row r="6807" spans="1:11" x14ac:dyDescent="0.25">
      <c r="A6807">
        <v>2025</v>
      </c>
      <c r="B6807" t="s">
        <v>4978</v>
      </c>
      <c r="C6807" t="s">
        <v>4979</v>
      </c>
      <c r="D6807" t="s">
        <v>19</v>
      </c>
      <c r="E6807" t="s">
        <v>20</v>
      </c>
      <c r="F6807" t="str">
        <f>"43613-2406"</f>
        <v>43613-2406</v>
      </c>
      <c r="G6807" t="str">
        <f>"753658"</f>
        <v>753658</v>
      </c>
      <c r="H6807" s="2">
        <f>10</f>
        <v>10</v>
      </c>
      <c r="I6807" t="s">
        <v>27</v>
      </c>
      <c r="J6807" t="s">
        <v>39</v>
      </c>
      <c r="K6807" t="str">
        <f>"129988"</f>
        <v>129988</v>
      </c>
    </row>
    <row r="6808" spans="1:11" x14ac:dyDescent="0.25">
      <c r="A6808">
        <v>2025</v>
      </c>
      <c r="B6808" t="s">
        <v>4997</v>
      </c>
      <c r="C6808" t="s">
        <v>1162</v>
      </c>
      <c r="D6808" t="s">
        <v>1163</v>
      </c>
      <c r="E6808" t="s">
        <v>20</v>
      </c>
      <c r="F6808" t="str">
        <f>"45201"</f>
        <v>45201</v>
      </c>
      <c r="G6808" t="str">
        <f>"759796"</f>
        <v>759796</v>
      </c>
      <c r="H6808" s="2">
        <f>524</f>
        <v>524</v>
      </c>
      <c r="I6808" t="s">
        <v>27</v>
      </c>
      <c r="J6808" t="s">
        <v>188</v>
      </c>
      <c r="K6808" t="str">
        <f>"44238"</f>
        <v>44238</v>
      </c>
    </row>
    <row r="6809" spans="1:11" x14ac:dyDescent="0.25">
      <c r="A6809">
        <v>2025</v>
      </c>
      <c r="B6809" t="s">
        <v>4999</v>
      </c>
      <c r="C6809" t="s">
        <v>1139</v>
      </c>
      <c r="D6809" t="s">
        <v>380</v>
      </c>
      <c r="E6809" t="s">
        <v>20</v>
      </c>
      <c r="F6809" t="str">
        <f>"44406"</f>
        <v>44406</v>
      </c>
      <c r="G6809" t="str">
        <f>"759796"</f>
        <v>759796</v>
      </c>
      <c r="H6809" s="2">
        <f>20</f>
        <v>20</v>
      </c>
      <c r="I6809" t="s">
        <v>27</v>
      </c>
      <c r="J6809" t="s">
        <v>188</v>
      </c>
      <c r="K6809" t="str">
        <f>"46293"</f>
        <v>46293</v>
      </c>
    </row>
    <row r="6810" spans="1:11" x14ac:dyDescent="0.25">
      <c r="A6810">
        <v>2025</v>
      </c>
      <c r="B6810" t="s">
        <v>5025</v>
      </c>
      <c r="C6810" t="s">
        <v>1004</v>
      </c>
      <c r="D6810" t="s">
        <v>1005</v>
      </c>
      <c r="E6810" t="s">
        <v>20</v>
      </c>
      <c r="F6810" t="str">
        <f>"44139"</f>
        <v>44139</v>
      </c>
      <c r="G6810" t="str">
        <f>"759796"</f>
        <v>759796</v>
      </c>
      <c r="H6810" s="2">
        <f>184.58</f>
        <v>184.58</v>
      </c>
      <c r="I6810" t="s">
        <v>27</v>
      </c>
      <c r="J6810" t="s">
        <v>188</v>
      </c>
      <c r="K6810" t="str">
        <f>"45274"</f>
        <v>45274</v>
      </c>
    </row>
    <row r="6811" spans="1:11" x14ac:dyDescent="0.25">
      <c r="A6811">
        <v>2025</v>
      </c>
      <c r="B6811" t="s">
        <v>5034</v>
      </c>
      <c r="C6811" t="s">
        <v>5035</v>
      </c>
      <c r="D6811" t="s">
        <v>19</v>
      </c>
      <c r="E6811" t="s">
        <v>20</v>
      </c>
      <c r="F6811" t="str">
        <f>"43612-4328"</f>
        <v>43612-4328</v>
      </c>
      <c r="G6811" t="str">
        <f t="shared" ref="G6811:G6816" si="242">"753658"</f>
        <v>753658</v>
      </c>
      <c r="H6811" s="2">
        <f>40</f>
        <v>40</v>
      </c>
      <c r="I6811" t="s">
        <v>27</v>
      </c>
      <c r="J6811" t="s">
        <v>39</v>
      </c>
      <c r="K6811" t="str">
        <f>"126673"</f>
        <v>126673</v>
      </c>
    </row>
    <row r="6812" spans="1:11" x14ac:dyDescent="0.25">
      <c r="A6812">
        <v>2025</v>
      </c>
      <c r="B6812" t="s">
        <v>5050</v>
      </c>
      <c r="C6812" t="s">
        <v>5051</v>
      </c>
      <c r="D6812" t="s">
        <v>19</v>
      </c>
      <c r="E6812" t="s">
        <v>20</v>
      </c>
      <c r="F6812" t="str">
        <f>"43613-3162"</f>
        <v>43613-3162</v>
      </c>
      <c r="G6812" t="str">
        <f t="shared" si="242"/>
        <v>753658</v>
      </c>
      <c r="H6812" s="2">
        <f>20</f>
        <v>20</v>
      </c>
      <c r="I6812" t="s">
        <v>27</v>
      </c>
      <c r="J6812" t="s">
        <v>39</v>
      </c>
      <c r="K6812" t="str">
        <f>"131746"</f>
        <v>131746</v>
      </c>
    </row>
    <row r="6813" spans="1:11" x14ac:dyDescent="0.25">
      <c r="A6813">
        <v>2025</v>
      </c>
      <c r="B6813" t="s">
        <v>5052</v>
      </c>
      <c r="C6813" t="s">
        <v>5053</v>
      </c>
      <c r="D6813" t="s">
        <v>19</v>
      </c>
      <c r="E6813" t="s">
        <v>20</v>
      </c>
      <c r="F6813" t="str">
        <f>"43615-2146"</f>
        <v>43615-2146</v>
      </c>
      <c r="G6813" t="str">
        <f t="shared" si="242"/>
        <v>753658</v>
      </c>
      <c r="H6813" s="2">
        <f>10</f>
        <v>10</v>
      </c>
      <c r="I6813" t="s">
        <v>27</v>
      </c>
      <c r="J6813" t="s">
        <v>39</v>
      </c>
      <c r="K6813" t="str">
        <f>"129382"</f>
        <v>129382</v>
      </c>
    </row>
    <row r="6814" spans="1:11" x14ac:dyDescent="0.25">
      <c r="A6814">
        <v>2025</v>
      </c>
      <c r="B6814" t="s">
        <v>5058</v>
      </c>
      <c r="C6814" t="s">
        <v>5059</v>
      </c>
      <c r="D6814" t="s">
        <v>58</v>
      </c>
      <c r="E6814" t="s">
        <v>20</v>
      </c>
      <c r="F6814" t="str">
        <f>"43616-3213"</f>
        <v>43616-3213</v>
      </c>
      <c r="G6814" t="str">
        <f t="shared" si="242"/>
        <v>753658</v>
      </c>
      <c r="H6814" s="2">
        <f>60</f>
        <v>60</v>
      </c>
      <c r="I6814" t="s">
        <v>27</v>
      </c>
      <c r="J6814" t="s">
        <v>39</v>
      </c>
      <c r="K6814" t="str">
        <f>"126419"</f>
        <v>126419</v>
      </c>
    </row>
    <row r="6815" spans="1:11" x14ac:dyDescent="0.25">
      <c r="A6815">
        <v>2025</v>
      </c>
      <c r="B6815" t="s">
        <v>5058</v>
      </c>
      <c r="C6815" t="s">
        <v>5059</v>
      </c>
      <c r="D6815" t="s">
        <v>58</v>
      </c>
      <c r="E6815" t="s">
        <v>20</v>
      </c>
      <c r="F6815" t="str">
        <f>"43616-3213"</f>
        <v>43616-3213</v>
      </c>
      <c r="G6815" t="str">
        <f t="shared" si="242"/>
        <v>753658</v>
      </c>
      <c r="H6815" s="2">
        <f>50</f>
        <v>50</v>
      </c>
      <c r="I6815" t="s">
        <v>27</v>
      </c>
      <c r="J6815" t="s">
        <v>39</v>
      </c>
      <c r="K6815" t="str">
        <f>"126277"</f>
        <v>126277</v>
      </c>
    </row>
    <row r="6816" spans="1:11" x14ac:dyDescent="0.25">
      <c r="A6816">
        <v>2025</v>
      </c>
      <c r="B6816" t="s">
        <v>5060</v>
      </c>
      <c r="C6816" t="s">
        <v>5061</v>
      </c>
      <c r="D6816" t="s">
        <v>19</v>
      </c>
      <c r="E6816" t="s">
        <v>20</v>
      </c>
      <c r="F6816" t="str">
        <f>"43617-2325"</f>
        <v>43617-2325</v>
      </c>
      <c r="G6816" t="str">
        <f t="shared" si="242"/>
        <v>753658</v>
      </c>
      <c r="H6816" s="2">
        <f>100</f>
        <v>100</v>
      </c>
      <c r="I6816" t="s">
        <v>27</v>
      </c>
      <c r="J6816" t="s">
        <v>39</v>
      </c>
      <c r="K6816" t="str">
        <f>"131787"</f>
        <v>131787</v>
      </c>
    </row>
    <row r="6817" spans="1:11" x14ac:dyDescent="0.25">
      <c r="A6817">
        <v>2025</v>
      </c>
      <c r="B6817" t="s">
        <v>5066</v>
      </c>
      <c r="C6817" t="s">
        <v>5067</v>
      </c>
      <c r="D6817" t="s">
        <v>19</v>
      </c>
      <c r="E6817" t="s">
        <v>20</v>
      </c>
      <c r="F6817" t="str">
        <f>"43604"</f>
        <v>43604</v>
      </c>
      <c r="G6817" t="str">
        <f>"Je12092025"</f>
        <v>Je12092025</v>
      </c>
      <c r="H6817" s="2">
        <f>340</f>
        <v>340</v>
      </c>
      <c r="I6817" t="s">
        <v>15</v>
      </c>
      <c r="J6817" t="s">
        <v>909</v>
      </c>
      <c r="K6817" t="str">
        <f>"60166830"</f>
        <v>60166830</v>
      </c>
    </row>
    <row r="6818" spans="1:11" x14ac:dyDescent="0.25">
      <c r="A6818">
        <v>2025</v>
      </c>
      <c r="B6818" t="s">
        <v>5078</v>
      </c>
      <c r="C6818" t="s">
        <v>5079</v>
      </c>
      <c r="D6818" t="s">
        <v>19</v>
      </c>
      <c r="E6818" t="s">
        <v>20</v>
      </c>
      <c r="F6818" t="str">
        <f>"43612"</f>
        <v>43612</v>
      </c>
      <c r="G6818" t="str">
        <f>"759796"</f>
        <v>759796</v>
      </c>
      <c r="H6818" s="2">
        <f>20</f>
        <v>20</v>
      </c>
      <c r="I6818" t="s">
        <v>27</v>
      </c>
      <c r="J6818" t="s">
        <v>188</v>
      </c>
      <c r="K6818" t="str">
        <f>"44578"</f>
        <v>44578</v>
      </c>
    </row>
    <row r="6819" spans="1:11" x14ac:dyDescent="0.25">
      <c r="A6819">
        <v>2025</v>
      </c>
      <c r="B6819" t="s">
        <v>5101</v>
      </c>
      <c r="C6819" t="s">
        <v>5102</v>
      </c>
      <c r="D6819" t="s">
        <v>58</v>
      </c>
      <c r="E6819" t="s">
        <v>20</v>
      </c>
      <c r="F6819" t="str">
        <f>"43616-4450"</f>
        <v>43616-4450</v>
      </c>
      <c r="G6819" t="str">
        <f t="shared" ref="G6819:G6827" si="243">"753658"</f>
        <v>753658</v>
      </c>
      <c r="H6819" s="2">
        <f>40</f>
        <v>40</v>
      </c>
      <c r="I6819" t="s">
        <v>27</v>
      </c>
      <c r="J6819" t="s">
        <v>39</v>
      </c>
      <c r="K6819" t="str">
        <f>"131537"</f>
        <v>131537</v>
      </c>
    </row>
    <row r="6820" spans="1:11" x14ac:dyDescent="0.25">
      <c r="A6820">
        <v>2025</v>
      </c>
      <c r="B6820" t="s">
        <v>5105</v>
      </c>
      <c r="C6820" t="s">
        <v>5106</v>
      </c>
      <c r="D6820" t="s">
        <v>19</v>
      </c>
      <c r="E6820" t="s">
        <v>20</v>
      </c>
      <c r="F6820" t="str">
        <f>"43620-1766"</f>
        <v>43620-1766</v>
      </c>
      <c r="G6820" t="str">
        <f t="shared" si="243"/>
        <v>753658</v>
      </c>
      <c r="H6820" s="2">
        <f>10</f>
        <v>10</v>
      </c>
      <c r="I6820" t="s">
        <v>27</v>
      </c>
      <c r="J6820" t="s">
        <v>39</v>
      </c>
      <c r="K6820" t="str">
        <f>"127070"</f>
        <v>127070</v>
      </c>
    </row>
    <row r="6821" spans="1:11" x14ac:dyDescent="0.25">
      <c r="A6821">
        <v>2025</v>
      </c>
      <c r="B6821" t="s">
        <v>5126</v>
      </c>
      <c r="C6821" t="s">
        <v>5127</v>
      </c>
      <c r="D6821" t="s">
        <v>19</v>
      </c>
      <c r="E6821" t="s">
        <v>20</v>
      </c>
      <c r="F6821" t="str">
        <f>"43615"</f>
        <v>43615</v>
      </c>
      <c r="G6821" t="str">
        <f t="shared" si="243"/>
        <v>753658</v>
      </c>
      <c r="H6821" s="2">
        <f>60</f>
        <v>60</v>
      </c>
      <c r="I6821" t="s">
        <v>27</v>
      </c>
      <c r="J6821" t="s">
        <v>39</v>
      </c>
      <c r="K6821" t="str">
        <f>"125912"</f>
        <v>125912</v>
      </c>
    </row>
    <row r="6822" spans="1:11" x14ac:dyDescent="0.25">
      <c r="A6822">
        <v>2025</v>
      </c>
      <c r="B6822" t="s">
        <v>5151</v>
      </c>
      <c r="C6822" t="s">
        <v>5152</v>
      </c>
      <c r="D6822" t="s">
        <v>19</v>
      </c>
      <c r="E6822" t="s">
        <v>20</v>
      </c>
      <c r="F6822" t="str">
        <f>"43614-5661"</f>
        <v>43614-5661</v>
      </c>
      <c r="G6822" t="str">
        <f t="shared" si="243"/>
        <v>753658</v>
      </c>
      <c r="H6822" s="2">
        <f>10</f>
        <v>10</v>
      </c>
      <c r="I6822" t="s">
        <v>27</v>
      </c>
      <c r="J6822" t="s">
        <v>39</v>
      </c>
      <c r="K6822" t="str">
        <f>"128370"</f>
        <v>128370</v>
      </c>
    </row>
    <row r="6823" spans="1:11" x14ac:dyDescent="0.25">
      <c r="A6823">
        <v>2025</v>
      </c>
      <c r="B6823" t="s">
        <v>5153</v>
      </c>
      <c r="C6823" t="s">
        <v>5154</v>
      </c>
      <c r="D6823" t="s">
        <v>125</v>
      </c>
      <c r="E6823" t="s">
        <v>20</v>
      </c>
      <c r="F6823" t="str">
        <f>"43537-1953"</f>
        <v>43537-1953</v>
      </c>
      <c r="G6823" t="str">
        <f t="shared" si="243"/>
        <v>753658</v>
      </c>
      <c r="H6823" s="2">
        <f>20</f>
        <v>20</v>
      </c>
      <c r="I6823" t="s">
        <v>27</v>
      </c>
      <c r="J6823" t="s">
        <v>39</v>
      </c>
      <c r="K6823" t="str">
        <f>"126944"</f>
        <v>126944</v>
      </c>
    </row>
    <row r="6824" spans="1:11" x14ac:dyDescent="0.25">
      <c r="A6824">
        <v>2025</v>
      </c>
      <c r="B6824" t="s">
        <v>5155</v>
      </c>
      <c r="C6824" t="s">
        <v>5156</v>
      </c>
      <c r="D6824" t="s">
        <v>19</v>
      </c>
      <c r="E6824" t="s">
        <v>20</v>
      </c>
      <c r="F6824" t="str">
        <f>"43611-1658"</f>
        <v>43611-1658</v>
      </c>
      <c r="G6824" t="str">
        <f t="shared" si="243"/>
        <v>753658</v>
      </c>
      <c r="H6824" s="2">
        <f>40</f>
        <v>40</v>
      </c>
      <c r="I6824" t="s">
        <v>27</v>
      </c>
      <c r="J6824" t="s">
        <v>39</v>
      </c>
      <c r="K6824" t="str">
        <f>"127902"</f>
        <v>127902</v>
      </c>
    </row>
    <row r="6825" spans="1:11" x14ac:dyDescent="0.25">
      <c r="A6825">
        <v>2025</v>
      </c>
      <c r="B6825" t="s">
        <v>5167</v>
      </c>
      <c r="C6825" t="s">
        <v>5168</v>
      </c>
      <c r="D6825" t="s">
        <v>45</v>
      </c>
      <c r="E6825" t="s">
        <v>20</v>
      </c>
      <c r="F6825" t="str">
        <f>"43542-8624"</f>
        <v>43542-8624</v>
      </c>
      <c r="G6825" t="str">
        <f t="shared" si="243"/>
        <v>753658</v>
      </c>
      <c r="H6825" s="2">
        <f>60</f>
        <v>60</v>
      </c>
      <c r="I6825" t="s">
        <v>27</v>
      </c>
      <c r="J6825" t="s">
        <v>39</v>
      </c>
      <c r="K6825" t="str">
        <f>"131094"</f>
        <v>131094</v>
      </c>
    </row>
    <row r="6826" spans="1:11" x14ac:dyDescent="0.25">
      <c r="A6826">
        <v>2025</v>
      </c>
      <c r="B6826" t="s">
        <v>5173</v>
      </c>
      <c r="C6826" t="s">
        <v>5174</v>
      </c>
      <c r="D6826" t="s">
        <v>19</v>
      </c>
      <c r="E6826" t="s">
        <v>20</v>
      </c>
      <c r="F6826" t="str">
        <f>"43604-6523"</f>
        <v>43604-6523</v>
      </c>
      <c r="G6826" t="str">
        <f t="shared" si="243"/>
        <v>753658</v>
      </c>
      <c r="H6826" s="2">
        <f>30</f>
        <v>30</v>
      </c>
      <c r="I6826" t="s">
        <v>27</v>
      </c>
      <c r="J6826" t="s">
        <v>39</v>
      </c>
      <c r="K6826" t="str">
        <f>"131250"</f>
        <v>131250</v>
      </c>
    </row>
    <row r="6827" spans="1:11" x14ac:dyDescent="0.25">
      <c r="A6827">
        <v>2025</v>
      </c>
      <c r="B6827" t="s">
        <v>5175</v>
      </c>
      <c r="C6827" t="s">
        <v>5176</v>
      </c>
      <c r="D6827" t="s">
        <v>19</v>
      </c>
      <c r="E6827" t="s">
        <v>20</v>
      </c>
      <c r="F6827" t="str">
        <f>"43613-1910"</f>
        <v>43613-1910</v>
      </c>
      <c r="G6827" t="str">
        <f t="shared" si="243"/>
        <v>753658</v>
      </c>
      <c r="H6827" s="2">
        <f>10</f>
        <v>10</v>
      </c>
      <c r="I6827" t="s">
        <v>27</v>
      </c>
      <c r="J6827" t="s">
        <v>39</v>
      </c>
      <c r="K6827" t="str">
        <f>"131134"</f>
        <v>131134</v>
      </c>
    </row>
    <row r="6828" spans="1:11" x14ac:dyDescent="0.25">
      <c r="A6828">
        <v>2025</v>
      </c>
      <c r="B6828" t="s">
        <v>5179</v>
      </c>
      <c r="C6828" t="s">
        <v>5180</v>
      </c>
      <c r="D6828" t="s">
        <v>125</v>
      </c>
      <c r="E6828" t="s">
        <v>20</v>
      </c>
      <c r="F6828" t="str">
        <f>"43537"</f>
        <v>43537</v>
      </c>
      <c r="G6828" t="str">
        <f>"759796"</f>
        <v>759796</v>
      </c>
      <c r="H6828" s="2">
        <f>20</f>
        <v>20</v>
      </c>
      <c r="I6828" t="s">
        <v>27</v>
      </c>
      <c r="J6828" t="s">
        <v>188</v>
      </c>
      <c r="K6828" t="str">
        <f>"43695"</f>
        <v>43695</v>
      </c>
    </row>
    <row r="6829" spans="1:11" x14ac:dyDescent="0.25">
      <c r="A6829">
        <v>2025</v>
      </c>
      <c r="B6829" t="s">
        <v>5187</v>
      </c>
      <c r="C6829" t="s">
        <v>5188</v>
      </c>
      <c r="D6829" t="s">
        <v>58</v>
      </c>
      <c r="E6829" t="s">
        <v>20</v>
      </c>
      <c r="F6829" t="str">
        <f>"43616"</f>
        <v>43616</v>
      </c>
      <c r="G6829" t="str">
        <f>"751639"</f>
        <v>751639</v>
      </c>
      <c r="H6829" s="2">
        <f>4.1</f>
        <v>4.0999999999999996</v>
      </c>
      <c r="I6829" t="s">
        <v>27</v>
      </c>
      <c r="J6829" t="s">
        <v>96</v>
      </c>
      <c r="K6829" t="str">
        <f>"335007"</f>
        <v>335007</v>
      </c>
    </row>
    <row r="6830" spans="1:11" x14ac:dyDescent="0.25">
      <c r="A6830">
        <v>2025</v>
      </c>
      <c r="B6830" t="s">
        <v>5189</v>
      </c>
      <c r="C6830" t="s">
        <v>5190</v>
      </c>
      <c r="D6830" t="s">
        <v>125</v>
      </c>
      <c r="E6830" t="s">
        <v>20</v>
      </c>
      <c r="F6830" t="str">
        <f>"43537-3537"</f>
        <v>43537-3537</v>
      </c>
      <c r="G6830" t="str">
        <f>"753658"</f>
        <v>753658</v>
      </c>
      <c r="H6830" s="2">
        <f>10</f>
        <v>10</v>
      </c>
      <c r="I6830" t="s">
        <v>27</v>
      </c>
      <c r="J6830" t="s">
        <v>39</v>
      </c>
      <c r="K6830" t="str">
        <f>"129580"</f>
        <v>129580</v>
      </c>
    </row>
    <row r="6831" spans="1:11" x14ac:dyDescent="0.25">
      <c r="A6831">
        <v>2025</v>
      </c>
      <c r="B6831" t="s">
        <v>5197</v>
      </c>
      <c r="C6831" t="s">
        <v>5198</v>
      </c>
      <c r="D6831" t="s">
        <v>19</v>
      </c>
      <c r="E6831" t="s">
        <v>20</v>
      </c>
      <c r="F6831" t="str">
        <f>"43613-4938"</f>
        <v>43613-4938</v>
      </c>
      <c r="G6831" t="str">
        <f>"753658"</f>
        <v>753658</v>
      </c>
      <c r="H6831" s="2">
        <f>20</f>
        <v>20</v>
      </c>
      <c r="I6831" t="s">
        <v>27</v>
      </c>
      <c r="J6831" t="s">
        <v>39</v>
      </c>
      <c r="K6831" t="str">
        <f>"131369"</f>
        <v>131369</v>
      </c>
    </row>
    <row r="6832" spans="1:11" x14ac:dyDescent="0.25">
      <c r="A6832">
        <v>2025</v>
      </c>
      <c r="B6832" t="s">
        <v>5201</v>
      </c>
      <c r="C6832" t="s">
        <v>5202</v>
      </c>
      <c r="D6832" t="s">
        <v>19</v>
      </c>
      <c r="E6832" t="s">
        <v>20</v>
      </c>
      <c r="F6832" t="str">
        <f>"43612-2851"</f>
        <v>43612-2851</v>
      </c>
      <c r="G6832" t="str">
        <f>"753658"</f>
        <v>753658</v>
      </c>
      <c r="H6832" s="2">
        <f>10</f>
        <v>10</v>
      </c>
      <c r="I6832" t="s">
        <v>27</v>
      </c>
      <c r="J6832" t="s">
        <v>39</v>
      </c>
      <c r="K6832" t="str">
        <f>"131694"</f>
        <v>131694</v>
      </c>
    </row>
    <row r="6833" spans="1:11" x14ac:dyDescent="0.25">
      <c r="A6833">
        <v>2025</v>
      </c>
      <c r="B6833" t="s">
        <v>5205</v>
      </c>
      <c r="C6833" t="s">
        <v>5206</v>
      </c>
      <c r="D6833" t="s">
        <v>125</v>
      </c>
      <c r="E6833" t="s">
        <v>20</v>
      </c>
      <c r="F6833" t="str">
        <f>"43537-1629"</f>
        <v>43537-1629</v>
      </c>
      <c r="G6833" t="str">
        <f>"753658"</f>
        <v>753658</v>
      </c>
      <c r="H6833" s="2">
        <f>30</f>
        <v>30</v>
      </c>
      <c r="I6833" t="s">
        <v>27</v>
      </c>
      <c r="J6833" t="s">
        <v>39</v>
      </c>
      <c r="K6833" t="str">
        <f>"125351"</f>
        <v>125351</v>
      </c>
    </row>
    <row r="6834" spans="1:11" x14ac:dyDescent="0.25">
      <c r="A6834">
        <v>2025</v>
      </c>
      <c r="B6834" t="s">
        <v>5207</v>
      </c>
      <c r="C6834" t="s">
        <v>5208</v>
      </c>
      <c r="D6834" t="s">
        <v>58</v>
      </c>
      <c r="E6834" t="s">
        <v>20</v>
      </c>
      <c r="F6834" t="str">
        <f>"43616-5856"</f>
        <v>43616-5856</v>
      </c>
      <c r="G6834" t="str">
        <f>"753658"</f>
        <v>753658</v>
      </c>
      <c r="H6834" s="2">
        <f>10</f>
        <v>10</v>
      </c>
      <c r="I6834" t="s">
        <v>27</v>
      </c>
      <c r="J6834" t="s">
        <v>39</v>
      </c>
      <c r="K6834" t="str">
        <f>"131914"</f>
        <v>131914</v>
      </c>
    </row>
    <row r="6835" spans="1:11" x14ac:dyDescent="0.25">
      <c r="A6835">
        <v>2025</v>
      </c>
      <c r="B6835" t="s">
        <v>5225</v>
      </c>
      <c r="C6835" t="s">
        <v>5226</v>
      </c>
      <c r="D6835" t="s">
        <v>19</v>
      </c>
      <c r="E6835" t="s">
        <v>20</v>
      </c>
      <c r="F6835" t="str">
        <f>"43613"</f>
        <v>43613</v>
      </c>
      <c r="G6835" t="str">
        <f>"772209"</f>
        <v>772209</v>
      </c>
      <c r="H6835" s="2">
        <f>232.77</f>
        <v>232.77</v>
      </c>
      <c r="I6835" t="s">
        <v>27</v>
      </c>
      <c r="J6835" t="s">
        <v>691</v>
      </c>
      <c r="K6835" t="str">
        <f>"N/A"</f>
        <v>N/A</v>
      </c>
    </row>
    <row r="6836" spans="1:11" x14ac:dyDescent="0.25">
      <c r="A6836">
        <v>2025</v>
      </c>
      <c r="B6836" t="s">
        <v>5227</v>
      </c>
      <c r="C6836" t="s">
        <v>5228</v>
      </c>
      <c r="D6836" t="s">
        <v>19</v>
      </c>
      <c r="E6836" t="s">
        <v>20</v>
      </c>
      <c r="F6836" t="str">
        <f>"43613-1810"</f>
        <v>43613-1810</v>
      </c>
      <c r="G6836" t="str">
        <f t="shared" ref="G6836:G6843" si="244">"753658"</f>
        <v>753658</v>
      </c>
      <c r="H6836" s="2">
        <f>10</f>
        <v>10</v>
      </c>
      <c r="I6836" t="s">
        <v>27</v>
      </c>
      <c r="J6836" t="s">
        <v>39</v>
      </c>
      <c r="K6836" t="str">
        <f>"128066"</f>
        <v>128066</v>
      </c>
    </row>
    <row r="6837" spans="1:11" x14ac:dyDescent="0.25">
      <c r="A6837">
        <v>2025</v>
      </c>
      <c r="B6837" t="s">
        <v>5241</v>
      </c>
      <c r="C6837" t="s">
        <v>5242</v>
      </c>
      <c r="D6837" t="s">
        <v>58</v>
      </c>
      <c r="E6837" t="s">
        <v>20</v>
      </c>
      <c r="F6837" t="str">
        <f>"43616-2709"</f>
        <v>43616-2709</v>
      </c>
      <c r="G6837" t="str">
        <f t="shared" si="244"/>
        <v>753658</v>
      </c>
      <c r="H6837" s="2">
        <f>30</f>
        <v>30</v>
      </c>
      <c r="I6837" t="s">
        <v>27</v>
      </c>
      <c r="J6837" t="s">
        <v>39</v>
      </c>
      <c r="K6837" t="str">
        <f>"126542"</f>
        <v>126542</v>
      </c>
    </row>
    <row r="6838" spans="1:11" x14ac:dyDescent="0.25">
      <c r="A6838">
        <v>2025</v>
      </c>
      <c r="B6838" t="s">
        <v>5247</v>
      </c>
      <c r="C6838" t="s">
        <v>5248</v>
      </c>
      <c r="D6838" t="s">
        <v>19</v>
      </c>
      <c r="E6838" t="s">
        <v>20</v>
      </c>
      <c r="F6838" t="str">
        <f>"43606-3157"</f>
        <v>43606-3157</v>
      </c>
      <c r="G6838" t="str">
        <f t="shared" si="244"/>
        <v>753658</v>
      </c>
      <c r="H6838" s="2">
        <f>40</f>
        <v>40</v>
      </c>
      <c r="I6838" t="s">
        <v>27</v>
      </c>
      <c r="J6838" t="s">
        <v>39</v>
      </c>
      <c r="K6838" t="str">
        <f>"127750"</f>
        <v>127750</v>
      </c>
    </row>
    <row r="6839" spans="1:11" x14ac:dyDescent="0.25">
      <c r="A6839">
        <v>2025</v>
      </c>
      <c r="B6839" t="s">
        <v>5259</v>
      </c>
      <c r="C6839" t="s">
        <v>5260</v>
      </c>
      <c r="D6839" t="s">
        <v>19</v>
      </c>
      <c r="E6839" t="s">
        <v>20</v>
      </c>
      <c r="F6839" t="str">
        <f>"43615-6779"</f>
        <v>43615-6779</v>
      </c>
      <c r="G6839" t="str">
        <f t="shared" si="244"/>
        <v>753658</v>
      </c>
      <c r="H6839" s="2">
        <f>10</f>
        <v>10</v>
      </c>
      <c r="I6839" t="s">
        <v>27</v>
      </c>
      <c r="J6839" t="s">
        <v>39</v>
      </c>
      <c r="K6839" t="str">
        <f>"126267"</f>
        <v>126267</v>
      </c>
    </row>
    <row r="6840" spans="1:11" x14ac:dyDescent="0.25">
      <c r="A6840">
        <v>2025</v>
      </c>
      <c r="B6840" t="s">
        <v>5267</v>
      </c>
      <c r="C6840" t="s">
        <v>5268</v>
      </c>
      <c r="D6840" t="s">
        <v>19</v>
      </c>
      <c r="E6840" t="s">
        <v>20</v>
      </c>
      <c r="F6840" t="str">
        <f>"43615-1162"</f>
        <v>43615-1162</v>
      </c>
      <c r="G6840" t="str">
        <f t="shared" si="244"/>
        <v>753658</v>
      </c>
      <c r="H6840" s="2">
        <f>30</f>
        <v>30</v>
      </c>
      <c r="I6840" t="s">
        <v>27</v>
      </c>
      <c r="J6840" t="s">
        <v>39</v>
      </c>
      <c r="K6840" t="str">
        <f>"131263"</f>
        <v>131263</v>
      </c>
    </row>
    <row r="6841" spans="1:11" x14ac:dyDescent="0.25">
      <c r="A6841">
        <v>2025</v>
      </c>
      <c r="B6841" t="s">
        <v>5285</v>
      </c>
      <c r="C6841" t="s">
        <v>5286</v>
      </c>
      <c r="D6841" t="s">
        <v>64</v>
      </c>
      <c r="E6841" t="s">
        <v>20</v>
      </c>
      <c r="F6841" t="str">
        <f>"43566-9447"</f>
        <v>43566-9447</v>
      </c>
      <c r="G6841" t="str">
        <f t="shared" si="244"/>
        <v>753658</v>
      </c>
      <c r="H6841" s="2">
        <f>10</f>
        <v>10</v>
      </c>
      <c r="I6841" t="s">
        <v>27</v>
      </c>
      <c r="J6841" t="s">
        <v>39</v>
      </c>
      <c r="K6841" t="str">
        <f>"129702"</f>
        <v>129702</v>
      </c>
    </row>
    <row r="6842" spans="1:11" x14ac:dyDescent="0.25">
      <c r="A6842">
        <v>2025</v>
      </c>
      <c r="B6842" t="s">
        <v>5288</v>
      </c>
      <c r="C6842" t="s">
        <v>5289</v>
      </c>
      <c r="D6842" t="s">
        <v>19</v>
      </c>
      <c r="E6842" t="s">
        <v>20</v>
      </c>
      <c r="F6842" t="str">
        <f>"43612-1135"</f>
        <v>43612-1135</v>
      </c>
      <c r="G6842" t="str">
        <f t="shared" si="244"/>
        <v>753658</v>
      </c>
      <c r="H6842" s="2">
        <f>10</f>
        <v>10</v>
      </c>
      <c r="I6842" t="s">
        <v>27</v>
      </c>
      <c r="J6842" t="s">
        <v>39</v>
      </c>
      <c r="K6842" t="str">
        <f>"129886"</f>
        <v>129886</v>
      </c>
    </row>
    <row r="6843" spans="1:11" x14ac:dyDescent="0.25">
      <c r="A6843">
        <v>2025</v>
      </c>
      <c r="B6843" t="s">
        <v>5290</v>
      </c>
      <c r="C6843" t="s">
        <v>5291</v>
      </c>
      <c r="D6843" t="s">
        <v>19</v>
      </c>
      <c r="E6843" t="s">
        <v>20</v>
      </c>
      <c r="F6843" t="str">
        <f>"43620-1122"</f>
        <v>43620-1122</v>
      </c>
      <c r="G6843" t="str">
        <f t="shared" si="244"/>
        <v>753658</v>
      </c>
      <c r="H6843" s="2">
        <f>20</f>
        <v>20</v>
      </c>
      <c r="I6843" t="s">
        <v>27</v>
      </c>
      <c r="J6843" t="s">
        <v>39</v>
      </c>
      <c r="K6843" t="str">
        <f>"125894"</f>
        <v>125894</v>
      </c>
    </row>
    <row r="6844" spans="1:11" x14ac:dyDescent="0.25">
      <c r="A6844">
        <v>2025</v>
      </c>
      <c r="B6844" t="s">
        <v>5296</v>
      </c>
      <c r="C6844" t="s">
        <v>5297</v>
      </c>
      <c r="D6844" t="s">
        <v>50</v>
      </c>
      <c r="E6844" t="s">
        <v>20</v>
      </c>
      <c r="F6844" t="str">
        <f>"43560"</f>
        <v>43560</v>
      </c>
      <c r="G6844" t="str">
        <f>"772209"</f>
        <v>772209</v>
      </c>
      <c r="H6844" s="2">
        <f>267.24</f>
        <v>267.24</v>
      </c>
      <c r="I6844" t="s">
        <v>27</v>
      </c>
      <c r="J6844" t="s">
        <v>691</v>
      </c>
      <c r="K6844" t="str">
        <f>"N/A"</f>
        <v>N/A</v>
      </c>
    </row>
    <row r="6845" spans="1:11" x14ac:dyDescent="0.25">
      <c r="A6845">
        <v>2025</v>
      </c>
      <c r="B6845" t="s">
        <v>5306</v>
      </c>
      <c r="C6845" t="s">
        <v>5307</v>
      </c>
      <c r="D6845" t="s">
        <v>19</v>
      </c>
      <c r="E6845" t="s">
        <v>20</v>
      </c>
      <c r="F6845" t="str">
        <f>"43615-6917"</f>
        <v>43615-6917</v>
      </c>
      <c r="G6845" t="str">
        <f>"753658"</f>
        <v>753658</v>
      </c>
      <c r="H6845" s="2">
        <f>40</f>
        <v>40</v>
      </c>
      <c r="I6845" t="s">
        <v>27</v>
      </c>
      <c r="J6845" t="s">
        <v>39</v>
      </c>
      <c r="K6845" t="str">
        <f>"129262"</f>
        <v>129262</v>
      </c>
    </row>
    <row r="6846" spans="1:11" x14ac:dyDescent="0.25">
      <c r="A6846">
        <v>2025</v>
      </c>
      <c r="B6846" t="s">
        <v>5308</v>
      </c>
      <c r="C6846" t="s">
        <v>5309</v>
      </c>
      <c r="D6846" t="s">
        <v>164</v>
      </c>
      <c r="E6846" t="s">
        <v>20</v>
      </c>
      <c r="F6846" t="str">
        <f>"43558-9386"</f>
        <v>43558-9386</v>
      </c>
      <c r="G6846" t="str">
        <f>"753658"</f>
        <v>753658</v>
      </c>
      <c r="H6846" s="2">
        <f>10</f>
        <v>10</v>
      </c>
      <c r="I6846" t="s">
        <v>27</v>
      </c>
      <c r="J6846" t="s">
        <v>39</v>
      </c>
      <c r="K6846" t="str">
        <f>"128419"</f>
        <v>128419</v>
      </c>
    </row>
    <row r="6847" spans="1:11" x14ac:dyDescent="0.25">
      <c r="A6847">
        <v>2025</v>
      </c>
      <c r="B6847" t="s">
        <v>5319</v>
      </c>
      <c r="C6847" t="s">
        <v>5320</v>
      </c>
      <c r="D6847" t="s">
        <v>50</v>
      </c>
      <c r="E6847" t="s">
        <v>20</v>
      </c>
      <c r="F6847" t="str">
        <f>"43560"</f>
        <v>43560</v>
      </c>
      <c r="G6847" t="str">
        <f>"751639"</f>
        <v>751639</v>
      </c>
      <c r="H6847" s="2">
        <f>1.06</f>
        <v>1.06</v>
      </c>
      <c r="I6847" t="s">
        <v>27</v>
      </c>
      <c r="J6847" t="s">
        <v>96</v>
      </c>
      <c r="K6847" t="str">
        <f>"334962"</f>
        <v>334962</v>
      </c>
    </row>
    <row r="6848" spans="1:11" x14ac:dyDescent="0.25">
      <c r="A6848">
        <v>2025</v>
      </c>
      <c r="B6848" t="s">
        <v>5321</v>
      </c>
      <c r="C6848" t="s">
        <v>5322</v>
      </c>
      <c r="D6848" t="s">
        <v>19</v>
      </c>
      <c r="E6848" t="s">
        <v>20</v>
      </c>
      <c r="F6848" t="str">
        <f>"43614-3212"</f>
        <v>43614-3212</v>
      </c>
      <c r="G6848" t="str">
        <f>"753658"</f>
        <v>753658</v>
      </c>
      <c r="H6848" s="2">
        <f>10</f>
        <v>10</v>
      </c>
      <c r="I6848" t="s">
        <v>27</v>
      </c>
      <c r="J6848" t="s">
        <v>39</v>
      </c>
      <c r="K6848" t="str">
        <f>"127060"</f>
        <v>127060</v>
      </c>
    </row>
    <row r="6849" spans="1:11" x14ac:dyDescent="0.25">
      <c r="A6849">
        <v>2025</v>
      </c>
      <c r="B6849" t="s">
        <v>5323</v>
      </c>
      <c r="C6849" t="s">
        <v>5324</v>
      </c>
      <c r="D6849" t="s">
        <v>19</v>
      </c>
      <c r="E6849" t="s">
        <v>20</v>
      </c>
      <c r="F6849" t="str">
        <f>"43617"</f>
        <v>43617</v>
      </c>
      <c r="G6849" t="str">
        <f>"Je09192025"</f>
        <v>Je09192025</v>
      </c>
      <c r="H6849" s="2">
        <f>523.32</f>
        <v>523.32000000000005</v>
      </c>
      <c r="I6849" t="s">
        <v>15</v>
      </c>
      <c r="J6849" t="s">
        <v>563</v>
      </c>
      <c r="K6849" t="str">
        <f>"60157109"</f>
        <v>60157109</v>
      </c>
    </row>
    <row r="6850" spans="1:11" x14ac:dyDescent="0.25">
      <c r="A6850">
        <v>2025</v>
      </c>
      <c r="B6850" t="s">
        <v>5328</v>
      </c>
      <c r="C6850" t="s">
        <v>5329</v>
      </c>
      <c r="D6850" t="s">
        <v>19</v>
      </c>
      <c r="E6850" t="s">
        <v>20</v>
      </c>
      <c r="F6850" t="str">
        <f>"43623"</f>
        <v>43623</v>
      </c>
      <c r="G6850" t="str">
        <f>"Je09192025"</f>
        <v>Je09192025</v>
      </c>
      <c r="H6850" s="2">
        <f>375</f>
        <v>375</v>
      </c>
      <c r="I6850" t="s">
        <v>15</v>
      </c>
      <c r="J6850" t="s">
        <v>563</v>
      </c>
      <c r="K6850" t="str">
        <f>"60161875"</f>
        <v>60161875</v>
      </c>
    </row>
    <row r="6851" spans="1:11" x14ac:dyDescent="0.25">
      <c r="A6851">
        <v>2025</v>
      </c>
      <c r="B6851" t="s">
        <v>5330</v>
      </c>
      <c r="C6851" t="s">
        <v>5331</v>
      </c>
      <c r="D6851" t="s">
        <v>19</v>
      </c>
      <c r="E6851" t="s">
        <v>20</v>
      </c>
      <c r="F6851" t="str">
        <f>"43613-3225"</f>
        <v>43613-3225</v>
      </c>
      <c r="G6851" t="str">
        <f>"753658"</f>
        <v>753658</v>
      </c>
      <c r="H6851" s="2">
        <f>30</f>
        <v>30</v>
      </c>
      <c r="I6851" t="s">
        <v>27</v>
      </c>
      <c r="J6851" t="s">
        <v>39</v>
      </c>
      <c r="K6851" t="str">
        <f>"131265"</f>
        <v>131265</v>
      </c>
    </row>
    <row r="6852" spans="1:11" x14ac:dyDescent="0.25">
      <c r="A6852">
        <v>2025</v>
      </c>
      <c r="B6852" t="s">
        <v>5332</v>
      </c>
      <c r="C6852" t="s">
        <v>5333</v>
      </c>
      <c r="D6852" t="s">
        <v>19</v>
      </c>
      <c r="E6852" t="s">
        <v>20</v>
      </c>
      <c r="F6852" t="str">
        <f>"43623-4226"</f>
        <v>43623-4226</v>
      </c>
      <c r="G6852" t="str">
        <f>"753658"</f>
        <v>753658</v>
      </c>
      <c r="H6852" s="2">
        <f>10</f>
        <v>10</v>
      </c>
      <c r="I6852" t="s">
        <v>27</v>
      </c>
      <c r="J6852" t="s">
        <v>39</v>
      </c>
      <c r="K6852" t="str">
        <f>"128241"</f>
        <v>128241</v>
      </c>
    </row>
    <row r="6853" spans="1:11" x14ac:dyDescent="0.25">
      <c r="A6853">
        <v>2025</v>
      </c>
      <c r="B6853" t="s">
        <v>5347</v>
      </c>
      <c r="C6853" t="s">
        <v>5348</v>
      </c>
      <c r="D6853" t="s">
        <v>19</v>
      </c>
      <c r="E6853" t="s">
        <v>20</v>
      </c>
      <c r="F6853" t="str">
        <f>"43613"</f>
        <v>43613</v>
      </c>
      <c r="G6853" t="str">
        <f>"751639"</f>
        <v>751639</v>
      </c>
      <c r="H6853" s="2">
        <f>2.34</f>
        <v>2.34</v>
      </c>
      <c r="I6853" t="s">
        <v>27</v>
      </c>
      <c r="J6853" t="s">
        <v>96</v>
      </c>
      <c r="K6853" t="str">
        <f>"334831"</f>
        <v>334831</v>
      </c>
    </row>
    <row r="6854" spans="1:11" x14ac:dyDescent="0.25">
      <c r="A6854">
        <v>2025</v>
      </c>
      <c r="B6854" t="s">
        <v>5351</v>
      </c>
      <c r="C6854" t="s">
        <v>5352</v>
      </c>
      <c r="D6854" t="s">
        <v>19</v>
      </c>
      <c r="E6854" t="s">
        <v>20</v>
      </c>
      <c r="F6854" t="str">
        <f>"43611"</f>
        <v>43611</v>
      </c>
      <c r="G6854" t="str">
        <f t="shared" ref="G6854:G6859" si="245">"753658"</f>
        <v>753658</v>
      </c>
      <c r="H6854" s="2">
        <f>20</f>
        <v>20</v>
      </c>
      <c r="I6854" t="s">
        <v>27</v>
      </c>
      <c r="J6854" t="s">
        <v>39</v>
      </c>
      <c r="K6854" t="str">
        <f>"126875"</f>
        <v>126875</v>
      </c>
    </row>
    <row r="6855" spans="1:11" x14ac:dyDescent="0.25">
      <c r="A6855">
        <v>2025</v>
      </c>
      <c r="B6855" t="s">
        <v>5359</v>
      </c>
      <c r="C6855" t="s">
        <v>5360</v>
      </c>
      <c r="D6855" t="s">
        <v>19</v>
      </c>
      <c r="E6855" t="s">
        <v>20</v>
      </c>
      <c r="F6855" t="str">
        <f>"43606-4403"</f>
        <v>43606-4403</v>
      </c>
      <c r="G6855" t="str">
        <f t="shared" si="245"/>
        <v>753658</v>
      </c>
      <c r="H6855" s="2">
        <f>10</f>
        <v>10</v>
      </c>
      <c r="I6855" t="s">
        <v>27</v>
      </c>
      <c r="J6855" t="s">
        <v>39</v>
      </c>
      <c r="K6855" t="str">
        <f>"129581"</f>
        <v>129581</v>
      </c>
    </row>
    <row r="6856" spans="1:11" x14ac:dyDescent="0.25">
      <c r="A6856">
        <v>2025</v>
      </c>
      <c r="B6856" t="s">
        <v>5381</v>
      </c>
      <c r="C6856" t="s">
        <v>5382</v>
      </c>
      <c r="D6856" t="s">
        <v>19</v>
      </c>
      <c r="E6856" t="s">
        <v>20</v>
      </c>
      <c r="F6856" t="str">
        <f>"43615-9232"</f>
        <v>43615-9232</v>
      </c>
      <c r="G6856" t="str">
        <f t="shared" si="245"/>
        <v>753658</v>
      </c>
      <c r="H6856" s="2">
        <f>10</f>
        <v>10</v>
      </c>
      <c r="I6856" t="s">
        <v>27</v>
      </c>
      <c r="J6856" t="s">
        <v>39</v>
      </c>
      <c r="K6856" t="str">
        <f>"125231"</f>
        <v>125231</v>
      </c>
    </row>
    <row r="6857" spans="1:11" x14ac:dyDescent="0.25">
      <c r="A6857">
        <v>2025</v>
      </c>
      <c r="B6857" t="s">
        <v>5385</v>
      </c>
      <c r="C6857" t="s">
        <v>5386</v>
      </c>
      <c r="D6857" t="s">
        <v>19</v>
      </c>
      <c r="E6857" t="s">
        <v>20</v>
      </c>
      <c r="F6857" t="str">
        <f>"43614-2633"</f>
        <v>43614-2633</v>
      </c>
      <c r="G6857" t="str">
        <f t="shared" si="245"/>
        <v>753658</v>
      </c>
      <c r="H6857" s="2">
        <f>30</f>
        <v>30</v>
      </c>
      <c r="I6857" t="s">
        <v>27</v>
      </c>
      <c r="J6857" t="s">
        <v>39</v>
      </c>
      <c r="K6857" t="str">
        <f>"125798"</f>
        <v>125798</v>
      </c>
    </row>
    <row r="6858" spans="1:11" x14ac:dyDescent="0.25">
      <c r="A6858">
        <v>2025</v>
      </c>
      <c r="B6858" t="s">
        <v>5391</v>
      </c>
      <c r="C6858" t="s">
        <v>5392</v>
      </c>
      <c r="D6858" t="s">
        <v>125</v>
      </c>
      <c r="E6858" t="s">
        <v>20</v>
      </c>
      <c r="F6858" t="str">
        <f>"43537-1267"</f>
        <v>43537-1267</v>
      </c>
      <c r="G6858" t="str">
        <f t="shared" si="245"/>
        <v>753658</v>
      </c>
      <c r="H6858" s="2">
        <f>10</f>
        <v>10</v>
      </c>
      <c r="I6858" t="s">
        <v>27</v>
      </c>
      <c r="J6858" t="s">
        <v>39</v>
      </c>
      <c r="K6858" t="str">
        <f>"126121"</f>
        <v>126121</v>
      </c>
    </row>
    <row r="6859" spans="1:11" x14ac:dyDescent="0.25">
      <c r="A6859">
        <v>2025</v>
      </c>
      <c r="B6859" t="s">
        <v>5393</v>
      </c>
      <c r="C6859" t="s">
        <v>5394</v>
      </c>
      <c r="D6859" t="s">
        <v>19</v>
      </c>
      <c r="E6859" t="s">
        <v>20</v>
      </c>
      <c r="F6859" t="str">
        <f>"43623-4208"</f>
        <v>43623-4208</v>
      </c>
      <c r="G6859" t="str">
        <f t="shared" si="245"/>
        <v>753658</v>
      </c>
      <c r="H6859" s="2">
        <f>20</f>
        <v>20</v>
      </c>
      <c r="I6859" t="s">
        <v>27</v>
      </c>
      <c r="J6859" t="s">
        <v>39</v>
      </c>
      <c r="K6859" t="str">
        <f>"128376"</f>
        <v>128376</v>
      </c>
    </row>
    <row r="6860" spans="1:11" x14ac:dyDescent="0.25">
      <c r="A6860">
        <v>2025</v>
      </c>
      <c r="B6860" t="s">
        <v>5411</v>
      </c>
      <c r="C6860" t="s">
        <v>5412</v>
      </c>
      <c r="D6860" t="s">
        <v>19</v>
      </c>
      <c r="E6860" t="s">
        <v>20</v>
      </c>
      <c r="F6860" t="str">
        <f>"43611"</f>
        <v>43611</v>
      </c>
      <c r="G6860" t="str">
        <f>"751639"</f>
        <v>751639</v>
      </c>
      <c r="H6860" s="2">
        <f>30</f>
        <v>30</v>
      </c>
      <c r="I6860" t="s">
        <v>27</v>
      </c>
      <c r="J6860" t="s">
        <v>96</v>
      </c>
      <c r="K6860" t="str">
        <f>"334883"</f>
        <v>334883</v>
      </c>
    </row>
    <row r="6861" spans="1:11" x14ac:dyDescent="0.25">
      <c r="A6861">
        <v>2025</v>
      </c>
      <c r="B6861" t="s">
        <v>5413</v>
      </c>
      <c r="C6861" t="s">
        <v>5414</v>
      </c>
      <c r="D6861" t="s">
        <v>19</v>
      </c>
      <c r="E6861" t="s">
        <v>20</v>
      </c>
      <c r="F6861" t="str">
        <f>"43611-2344"</f>
        <v>43611-2344</v>
      </c>
      <c r="G6861" t="str">
        <f t="shared" ref="G6861:G6871" si="246">"753658"</f>
        <v>753658</v>
      </c>
      <c r="H6861" s="2">
        <f>10</f>
        <v>10</v>
      </c>
      <c r="I6861" t="s">
        <v>27</v>
      </c>
      <c r="J6861" t="s">
        <v>39</v>
      </c>
      <c r="K6861" t="str">
        <f>"131895"</f>
        <v>131895</v>
      </c>
    </row>
    <row r="6862" spans="1:11" x14ac:dyDescent="0.25">
      <c r="A6862">
        <v>2025</v>
      </c>
      <c r="B6862" t="s">
        <v>5417</v>
      </c>
      <c r="C6862" t="s">
        <v>5418</v>
      </c>
      <c r="D6862" t="s">
        <v>58</v>
      </c>
      <c r="E6862" t="s">
        <v>20</v>
      </c>
      <c r="F6862" t="str">
        <f>"43616-2841"</f>
        <v>43616-2841</v>
      </c>
      <c r="G6862" t="str">
        <f t="shared" si="246"/>
        <v>753658</v>
      </c>
      <c r="H6862" s="2">
        <f>10</f>
        <v>10</v>
      </c>
      <c r="I6862" t="s">
        <v>27</v>
      </c>
      <c r="J6862" t="s">
        <v>39</v>
      </c>
      <c r="K6862" t="str">
        <f>"129651"</f>
        <v>129651</v>
      </c>
    </row>
    <row r="6863" spans="1:11" x14ac:dyDescent="0.25">
      <c r="A6863">
        <v>2025</v>
      </c>
      <c r="B6863" t="s">
        <v>5423</v>
      </c>
      <c r="C6863" t="s">
        <v>5424</v>
      </c>
      <c r="D6863" t="s">
        <v>19</v>
      </c>
      <c r="E6863" t="s">
        <v>20</v>
      </c>
      <c r="F6863" t="str">
        <f>"43615-4035"</f>
        <v>43615-4035</v>
      </c>
      <c r="G6863" t="str">
        <f t="shared" si="246"/>
        <v>753658</v>
      </c>
      <c r="H6863" s="2">
        <f>20</f>
        <v>20</v>
      </c>
      <c r="I6863" t="s">
        <v>27</v>
      </c>
      <c r="J6863" t="s">
        <v>39</v>
      </c>
      <c r="K6863" t="str">
        <f>"125455"</f>
        <v>125455</v>
      </c>
    </row>
    <row r="6864" spans="1:11" x14ac:dyDescent="0.25">
      <c r="A6864">
        <v>2025</v>
      </c>
      <c r="B6864" t="s">
        <v>5435</v>
      </c>
      <c r="C6864" t="s">
        <v>5436</v>
      </c>
      <c r="D6864" t="s">
        <v>125</v>
      </c>
      <c r="E6864" t="s">
        <v>20</v>
      </c>
      <c r="F6864" t="str">
        <f>"43537-9175"</f>
        <v>43537-9175</v>
      </c>
      <c r="G6864" t="str">
        <f t="shared" si="246"/>
        <v>753658</v>
      </c>
      <c r="H6864" s="2">
        <f>10</f>
        <v>10</v>
      </c>
      <c r="I6864" t="s">
        <v>27</v>
      </c>
      <c r="J6864" t="s">
        <v>39</v>
      </c>
      <c r="K6864" t="str">
        <f>"128459"</f>
        <v>128459</v>
      </c>
    </row>
    <row r="6865" spans="1:11" x14ac:dyDescent="0.25">
      <c r="A6865">
        <v>2025</v>
      </c>
      <c r="B6865" t="s">
        <v>5454</v>
      </c>
      <c r="C6865" t="s">
        <v>5455</v>
      </c>
      <c r="D6865" t="s">
        <v>19</v>
      </c>
      <c r="E6865" t="s">
        <v>20</v>
      </c>
      <c r="F6865" t="str">
        <f>"43614-4596"</f>
        <v>43614-4596</v>
      </c>
      <c r="G6865" t="str">
        <f t="shared" si="246"/>
        <v>753658</v>
      </c>
      <c r="H6865" s="2">
        <f>20</f>
        <v>20</v>
      </c>
      <c r="I6865" t="s">
        <v>27</v>
      </c>
      <c r="J6865" t="s">
        <v>39</v>
      </c>
      <c r="K6865" t="str">
        <f>"127194"</f>
        <v>127194</v>
      </c>
    </row>
    <row r="6866" spans="1:11" x14ac:dyDescent="0.25">
      <c r="A6866">
        <v>2025</v>
      </c>
      <c r="B6866" t="s">
        <v>5486</v>
      </c>
      <c r="C6866" t="s">
        <v>5487</v>
      </c>
      <c r="D6866" t="s">
        <v>19</v>
      </c>
      <c r="E6866" t="s">
        <v>20</v>
      </c>
      <c r="F6866" t="str">
        <f>"43614-3227"</f>
        <v>43614-3227</v>
      </c>
      <c r="G6866" t="str">
        <f t="shared" si="246"/>
        <v>753658</v>
      </c>
      <c r="H6866" s="2">
        <f>10</f>
        <v>10</v>
      </c>
      <c r="I6866" t="s">
        <v>27</v>
      </c>
      <c r="J6866" t="s">
        <v>39</v>
      </c>
      <c r="K6866" t="str">
        <f>"129393"</f>
        <v>129393</v>
      </c>
    </row>
    <row r="6867" spans="1:11" x14ac:dyDescent="0.25">
      <c r="A6867">
        <v>2025</v>
      </c>
      <c r="B6867" t="s">
        <v>5496</v>
      </c>
      <c r="C6867" t="s">
        <v>5497</v>
      </c>
      <c r="D6867" t="s">
        <v>19</v>
      </c>
      <c r="E6867" t="s">
        <v>20</v>
      </c>
      <c r="F6867" t="str">
        <f>"43623-2255"</f>
        <v>43623-2255</v>
      </c>
      <c r="G6867" t="str">
        <f t="shared" si="246"/>
        <v>753658</v>
      </c>
      <c r="H6867" s="2">
        <f>10</f>
        <v>10</v>
      </c>
      <c r="I6867" t="s">
        <v>27</v>
      </c>
      <c r="J6867" t="s">
        <v>39</v>
      </c>
      <c r="K6867" t="str">
        <f>"126388"</f>
        <v>126388</v>
      </c>
    </row>
    <row r="6868" spans="1:11" x14ac:dyDescent="0.25">
      <c r="A6868">
        <v>2025</v>
      </c>
      <c r="B6868" t="s">
        <v>5503</v>
      </c>
      <c r="C6868" t="s">
        <v>5504</v>
      </c>
      <c r="D6868" t="s">
        <v>1230</v>
      </c>
      <c r="E6868" t="s">
        <v>20</v>
      </c>
      <c r="F6868" t="str">
        <f>"43547-0484"</f>
        <v>43547-0484</v>
      </c>
      <c r="G6868" t="str">
        <f t="shared" si="246"/>
        <v>753658</v>
      </c>
      <c r="H6868" s="2">
        <f>20</f>
        <v>20</v>
      </c>
      <c r="I6868" t="s">
        <v>27</v>
      </c>
      <c r="J6868" t="s">
        <v>39</v>
      </c>
      <c r="K6868" t="str">
        <f>"128340"</f>
        <v>128340</v>
      </c>
    </row>
    <row r="6869" spans="1:11" x14ac:dyDescent="0.25">
      <c r="A6869">
        <v>2025</v>
      </c>
      <c r="B6869" t="s">
        <v>5511</v>
      </c>
      <c r="C6869" t="s">
        <v>5512</v>
      </c>
      <c r="D6869" t="s">
        <v>19</v>
      </c>
      <c r="E6869" t="s">
        <v>20</v>
      </c>
      <c r="F6869" t="str">
        <f>"43611-1404"</f>
        <v>43611-1404</v>
      </c>
      <c r="G6869" t="str">
        <f t="shared" si="246"/>
        <v>753658</v>
      </c>
      <c r="H6869" s="2">
        <f>10</f>
        <v>10</v>
      </c>
      <c r="I6869" t="s">
        <v>27</v>
      </c>
      <c r="J6869" t="s">
        <v>39</v>
      </c>
      <c r="K6869" t="str">
        <f>"128200"</f>
        <v>128200</v>
      </c>
    </row>
    <row r="6870" spans="1:11" x14ac:dyDescent="0.25">
      <c r="A6870">
        <v>2025</v>
      </c>
      <c r="B6870" t="s">
        <v>5557</v>
      </c>
      <c r="C6870" t="s">
        <v>5558</v>
      </c>
      <c r="D6870" t="s">
        <v>19</v>
      </c>
      <c r="E6870" t="s">
        <v>20</v>
      </c>
      <c r="F6870" t="str">
        <f>"43615-3209"</f>
        <v>43615-3209</v>
      </c>
      <c r="G6870" t="str">
        <f t="shared" si="246"/>
        <v>753658</v>
      </c>
      <c r="H6870" s="2">
        <f>10</f>
        <v>10</v>
      </c>
      <c r="I6870" t="s">
        <v>27</v>
      </c>
      <c r="J6870" t="s">
        <v>39</v>
      </c>
      <c r="K6870" t="str">
        <f>"126274"</f>
        <v>126274</v>
      </c>
    </row>
    <row r="6871" spans="1:11" x14ac:dyDescent="0.25">
      <c r="A6871">
        <v>2025</v>
      </c>
      <c r="B6871" t="s">
        <v>5575</v>
      </c>
      <c r="C6871" t="s">
        <v>5576</v>
      </c>
      <c r="D6871" t="s">
        <v>19</v>
      </c>
      <c r="E6871" t="s">
        <v>20</v>
      </c>
      <c r="F6871" t="str">
        <f>"43613-3961"</f>
        <v>43613-3961</v>
      </c>
      <c r="G6871" t="str">
        <f t="shared" si="246"/>
        <v>753658</v>
      </c>
      <c r="H6871" s="2">
        <f>20</f>
        <v>20</v>
      </c>
      <c r="I6871" t="s">
        <v>27</v>
      </c>
      <c r="J6871" t="s">
        <v>39</v>
      </c>
      <c r="K6871" t="str">
        <f>"131276"</f>
        <v>131276</v>
      </c>
    </row>
    <row r="6872" spans="1:11" x14ac:dyDescent="0.25">
      <c r="A6872">
        <v>2025</v>
      </c>
      <c r="B6872" t="s">
        <v>5587</v>
      </c>
      <c r="C6872" t="s">
        <v>5590</v>
      </c>
      <c r="D6872" t="s">
        <v>19</v>
      </c>
      <c r="E6872" t="s">
        <v>20</v>
      </c>
      <c r="F6872" t="str">
        <f>"43617"</f>
        <v>43617</v>
      </c>
      <c r="G6872" t="str">
        <f>"740128"</f>
        <v>740128</v>
      </c>
      <c r="H6872" s="2">
        <f>38</f>
        <v>38</v>
      </c>
      <c r="I6872" t="s">
        <v>148</v>
      </c>
      <c r="J6872" t="s">
        <v>5591</v>
      </c>
      <c r="K6872" t="str">
        <f>"27417"</f>
        <v>27417</v>
      </c>
    </row>
    <row r="6873" spans="1:11" x14ac:dyDescent="0.25">
      <c r="A6873">
        <v>2025</v>
      </c>
      <c r="B6873" t="s">
        <v>5592</v>
      </c>
      <c r="C6873" t="s">
        <v>5593</v>
      </c>
      <c r="D6873" t="s">
        <v>1163</v>
      </c>
      <c r="E6873" t="s">
        <v>20</v>
      </c>
      <c r="F6873" t="str">
        <f>"45221"</f>
        <v>45221</v>
      </c>
      <c r="G6873" t="str">
        <f>"759796"</f>
        <v>759796</v>
      </c>
      <c r="H6873" s="2">
        <f>81</f>
        <v>81</v>
      </c>
      <c r="I6873" t="s">
        <v>27</v>
      </c>
      <c r="J6873" t="s">
        <v>188</v>
      </c>
      <c r="K6873" t="str">
        <f>"45411"</f>
        <v>45411</v>
      </c>
    </row>
    <row r="6874" spans="1:11" x14ac:dyDescent="0.25">
      <c r="A6874">
        <v>2025</v>
      </c>
      <c r="B6874" t="s">
        <v>5592</v>
      </c>
      <c r="C6874" t="s">
        <v>5593</v>
      </c>
      <c r="D6874" t="s">
        <v>1163</v>
      </c>
      <c r="E6874" t="s">
        <v>20</v>
      </c>
      <c r="F6874" t="str">
        <f>"45221"</f>
        <v>45221</v>
      </c>
      <c r="G6874" t="str">
        <f>"759796"</f>
        <v>759796</v>
      </c>
      <c r="H6874" s="2">
        <f>81</f>
        <v>81</v>
      </c>
      <c r="I6874" t="s">
        <v>27</v>
      </c>
      <c r="J6874" t="s">
        <v>188</v>
      </c>
      <c r="K6874" t="str">
        <f>"45412"</f>
        <v>45412</v>
      </c>
    </row>
    <row r="6875" spans="1:11" x14ac:dyDescent="0.25">
      <c r="A6875">
        <v>2025</v>
      </c>
      <c r="B6875" t="s">
        <v>5594</v>
      </c>
      <c r="C6875" t="s">
        <v>5595</v>
      </c>
      <c r="D6875" t="s">
        <v>19</v>
      </c>
      <c r="E6875" t="s">
        <v>20</v>
      </c>
      <c r="F6875" t="str">
        <f>"43606-1201"</f>
        <v>43606-1201</v>
      </c>
      <c r="G6875" t="str">
        <f>"753658"</f>
        <v>753658</v>
      </c>
      <c r="H6875" s="2">
        <f>10</f>
        <v>10</v>
      </c>
      <c r="I6875" t="s">
        <v>27</v>
      </c>
      <c r="J6875" t="s">
        <v>39</v>
      </c>
      <c r="K6875" t="str">
        <f>"126451"</f>
        <v>126451</v>
      </c>
    </row>
    <row r="6876" spans="1:11" x14ac:dyDescent="0.25">
      <c r="A6876">
        <v>2025</v>
      </c>
      <c r="B6876" t="s">
        <v>5599</v>
      </c>
      <c r="C6876" t="s">
        <v>5600</v>
      </c>
      <c r="D6876" t="s">
        <v>19</v>
      </c>
      <c r="E6876" t="s">
        <v>20</v>
      </c>
      <c r="F6876" t="str">
        <f>"43613-1235"</f>
        <v>43613-1235</v>
      </c>
      <c r="G6876" t="str">
        <f>"753658"</f>
        <v>753658</v>
      </c>
      <c r="H6876" s="2">
        <f>40</f>
        <v>40</v>
      </c>
      <c r="I6876" t="s">
        <v>27</v>
      </c>
      <c r="J6876" t="s">
        <v>39</v>
      </c>
      <c r="K6876" t="str">
        <f>"128906"</f>
        <v>128906</v>
      </c>
    </row>
    <row r="6877" spans="1:11" x14ac:dyDescent="0.25">
      <c r="A6877">
        <v>2025</v>
      </c>
      <c r="B6877" t="s">
        <v>5601</v>
      </c>
      <c r="C6877" t="s">
        <v>5602</v>
      </c>
      <c r="D6877" t="s">
        <v>19</v>
      </c>
      <c r="E6877" t="s">
        <v>20</v>
      </c>
      <c r="F6877" t="str">
        <f>"43613-3348"</f>
        <v>43613-3348</v>
      </c>
      <c r="G6877" t="str">
        <f>"753658"</f>
        <v>753658</v>
      </c>
      <c r="H6877" s="2">
        <f>10</f>
        <v>10</v>
      </c>
      <c r="I6877" t="s">
        <v>27</v>
      </c>
      <c r="J6877" t="s">
        <v>39</v>
      </c>
      <c r="K6877" t="str">
        <f>"128147"</f>
        <v>128147</v>
      </c>
    </row>
    <row r="6878" spans="1:11" x14ac:dyDescent="0.25">
      <c r="A6878">
        <v>2025</v>
      </c>
      <c r="B6878" t="s">
        <v>5607</v>
      </c>
      <c r="C6878" t="s">
        <v>5608</v>
      </c>
      <c r="D6878" t="s">
        <v>19</v>
      </c>
      <c r="E6878" t="s">
        <v>20</v>
      </c>
      <c r="F6878" t="str">
        <f>"43615-4607"</f>
        <v>43615-4607</v>
      </c>
      <c r="G6878" t="str">
        <f>"753658"</f>
        <v>753658</v>
      </c>
      <c r="H6878" s="2">
        <f>10</f>
        <v>10</v>
      </c>
      <c r="I6878" t="s">
        <v>27</v>
      </c>
      <c r="J6878" t="s">
        <v>39</v>
      </c>
      <c r="K6878" t="str">
        <f>"129944"</f>
        <v>129944</v>
      </c>
    </row>
    <row r="6879" spans="1:11" x14ac:dyDescent="0.25">
      <c r="A6879">
        <v>2025</v>
      </c>
      <c r="B6879" t="s">
        <v>5609</v>
      </c>
      <c r="C6879" t="s">
        <v>5610</v>
      </c>
      <c r="D6879" t="s">
        <v>19</v>
      </c>
      <c r="E6879" t="s">
        <v>20</v>
      </c>
      <c r="F6879" t="str">
        <f>"43623"</f>
        <v>43623</v>
      </c>
      <c r="G6879" t="str">
        <f>"753658"</f>
        <v>753658</v>
      </c>
      <c r="H6879" s="2">
        <f>20</f>
        <v>20</v>
      </c>
      <c r="I6879" t="s">
        <v>27</v>
      </c>
      <c r="J6879" t="s">
        <v>39</v>
      </c>
      <c r="K6879" t="str">
        <f>"128829"</f>
        <v>128829</v>
      </c>
    </row>
    <row r="6880" spans="1:11" x14ac:dyDescent="0.25">
      <c r="A6880">
        <v>2025</v>
      </c>
      <c r="B6880" t="s">
        <v>5611</v>
      </c>
      <c r="C6880" t="s">
        <v>5612</v>
      </c>
      <c r="D6880" t="s">
        <v>50</v>
      </c>
      <c r="E6880" t="s">
        <v>20</v>
      </c>
      <c r="F6880" t="str">
        <f>"43560"</f>
        <v>43560</v>
      </c>
      <c r="G6880" t="str">
        <f>"751639"</f>
        <v>751639</v>
      </c>
      <c r="H6880" s="2">
        <f>1.66</f>
        <v>1.66</v>
      </c>
      <c r="I6880" t="s">
        <v>27</v>
      </c>
      <c r="J6880" t="s">
        <v>96</v>
      </c>
      <c r="K6880" t="str">
        <f>"334941"</f>
        <v>334941</v>
      </c>
    </row>
    <row r="6881" spans="1:11" x14ac:dyDescent="0.25">
      <c r="A6881">
        <v>2025</v>
      </c>
      <c r="B6881" t="s">
        <v>5659</v>
      </c>
      <c r="C6881" t="s">
        <v>5660</v>
      </c>
      <c r="D6881" t="s">
        <v>19</v>
      </c>
      <c r="E6881" t="s">
        <v>20</v>
      </c>
      <c r="F6881" t="str">
        <f>"43611"</f>
        <v>43611</v>
      </c>
      <c r="G6881" t="str">
        <f t="shared" ref="G6881:G6889" si="247">"753658"</f>
        <v>753658</v>
      </c>
      <c r="H6881" s="2">
        <f>20</f>
        <v>20</v>
      </c>
      <c r="I6881" t="s">
        <v>27</v>
      </c>
      <c r="J6881" t="s">
        <v>39</v>
      </c>
      <c r="K6881" t="str">
        <f>"128975"</f>
        <v>128975</v>
      </c>
    </row>
    <row r="6882" spans="1:11" x14ac:dyDescent="0.25">
      <c r="A6882">
        <v>2025</v>
      </c>
      <c r="B6882" t="s">
        <v>5668</v>
      </c>
      <c r="C6882" t="s">
        <v>5669</v>
      </c>
      <c r="D6882" t="s">
        <v>19</v>
      </c>
      <c r="E6882" t="s">
        <v>20</v>
      </c>
      <c r="F6882" t="str">
        <f>"43615-4116"</f>
        <v>43615-4116</v>
      </c>
      <c r="G6882" t="str">
        <f t="shared" si="247"/>
        <v>753658</v>
      </c>
      <c r="H6882" s="2">
        <f>30</f>
        <v>30</v>
      </c>
      <c r="I6882" t="s">
        <v>27</v>
      </c>
      <c r="J6882" t="s">
        <v>39</v>
      </c>
      <c r="K6882" t="str">
        <f>"126931"</f>
        <v>126931</v>
      </c>
    </row>
    <row r="6883" spans="1:11" x14ac:dyDescent="0.25">
      <c r="A6883">
        <v>2025</v>
      </c>
      <c r="B6883" t="s">
        <v>5670</v>
      </c>
      <c r="C6883" t="s">
        <v>5671</v>
      </c>
      <c r="D6883" t="s">
        <v>19</v>
      </c>
      <c r="E6883" t="s">
        <v>20</v>
      </c>
      <c r="F6883" t="str">
        <f>"43615-6344"</f>
        <v>43615-6344</v>
      </c>
      <c r="G6883" t="str">
        <f t="shared" si="247"/>
        <v>753658</v>
      </c>
      <c r="H6883" s="2">
        <f>10</f>
        <v>10</v>
      </c>
      <c r="I6883" t="s">
        <v>27</v>
      </c>
      <c r="J6883" t="s">
        <v>39</v>
      </c>
      <c r="K6883" t="str">
        <f>"127307"</f>
        <v>127307</v>
      </c>
    </row>
    <row r="6884" spans="1:11" x14ac:dyDescent="0.25">
      <c r="A6884">
        <v>2025</v>
      </c>
      <c r="B6884" t="s">
        <v>5674</v>
      </c>
      <c r="C6884" t="s">
        <v>5675</v>
      </c>
      <c r="D6884" t="s">
        <v>19</v>
      </c>
      <c r="E6884" t="s">
        <v>20</v>
      </c>
      <c r="F6884" t="str">
        <f>"43615-1453"</f>
        <v>43615-1453</v>
      </c>
      <c r="G6884" t="str">
        <f t="shared" si="247"/>
        <v>753658</v>
      </c>
      <c r="H6884" s="2">
        <f>20</f>
        <v>20</v>
      </c>
      <c r="I6884" t="s">
        <v>27</v>
      </c>
      <c r="J6884" t="s">
        <v>39</v>
      </c>
      <c r="K6884" t="str">
        <f>"126583"</f>
        <v>126583</v>
      </c>
    </row>
    <row r="6885" spans="1:11" x14ac:dyDescent="0.25">
      <c r="A6885">
        <v>2025</v>
      </c>
      <c r="B6885" t="s">
        <v>5688</v>
      </c>
      <c r="C6885" t="s">
        <v>5689</v>
      </c>
      <c r="D6885" t="s">
        <v>19</v>
      </c>
      <c r="E6885" t="s">
        <v>20</v>
      </c>
      <c r="F6885" t="str">
        <f>"43606-1004"</f>
        <v>43606-1004</v>
      </c>
      <c r="G6885" t="str">
        <f t="shared" si="247"/>
        <v>753658</v>
      </c>
      <c r="H6885" s="2">
        <f>40</f>
        <v>40</v>
      </c>
      <c r="I6885" t="s">
        <v>27</v>
      </c>
      <c r="J6885" t="s">
        <v>39</v>
      </c>
      <c r="K6885" t="str">
        <f>"125547"</f>
        <v>125547</v>
      </c>
    </row>
    <row r="6886" spans="1:11" x14ac:dyDescent="0.25">
      <c r="A6886">
        <v>2025</v>
      </c>
      <c r="B6886" t="s">
        <v>5690</v>
      </c>
      <c r="C6886" t="s">
        <v>5691</v>
      </c>
      <c r="D6886" t="s">
        <v>105</v>
      </c>
      <c r="E6886" t="s">
        <v>20</v>
      </c>
      <c r="F6886" t="str">
        <f>"43528-8634"</f>
        <v>43528-8634</v>
      </c>
      <c r="G6886" t="str">
        <f t="shared" si="247"/>
        <v>753658</v>
      </c>
      <c r="H6886" s="2">
        <f>20</f>
        <v>20</v>
      </c>
      <c r="I6886" t="s">
        <v>27</v>
      </c>
      <c r="J6886" t="s">
        <v>39</v>
      </c>
      <c r="K6886" t="str">
        <f>"131229"</f>
        <v>131229</v>
      </c>
    </row>
    <row r="6887" spans="1:11" x14ac:dyDescent="0.25">
      <c r="A6887">
        <v>2025</v>
      </c>
      <c r="B6887" t="s">
        <v>5700</v>
      </c>
      <c r="C6887" t="s">
        <v>5701</v>
      </c>
      <c r="D6887" t="s">
        <v>19</v>
      </c>
      <c r="E6887" t="s">
        <v>20</v>
      </c>
      <c r="F6887" t="str">
        <f>"43614-4955"</f>
        <v>43614-4955</v>
      </c>
      <c r="G6887" t="str">
        <f t="shared" si="247"/>
        <v>753658</v>
      </c>
      <c r="H6887" s="2">
        <f>20</f>
        <v>20</v>
      </c>
      <c r="I6887" t="s">
        <v>27</v>
      </c>
      <c r="J6887" t="s">
        <v>39</v>
      </c>
      <c r="K6887" t="str">
        <f>"131204"</f>
        <v>131204</v>
      </c>
    </row>
    <row r="6888" spans="1:11" x14ac:dyDescent="0.25">
      <c r="A6888">
        <v>2025</v>
      </c>
      <c r="B6888" t="s">
        <v>5702</v>
      </c>
      <c r="C6888" t="s">
        <v>5703</v>
      </c>
      <c r="D6888" t="s">
        <v>19</v>
      </c>
      <c r="E6888" t="s">
        <v>20</v>
      </c>
      <c r="F6888" t="str">
        <f>"43613-3343"</f>
        <v>43613-3343</v>
      </c>
      <c r="G6888" t="str">
        <f t="shared" si="247"/>
        <v>753658</v>
      </c>
      <c r="H6888" s="2">
        <f>20</f>
        <v>20</v>
      </c>
      <c r="I6888" t="s">
        <v>27</v>
      </c>
      <c r="J6888" t="s">
        <v>39</v>
      </c>
      <c r="K6888" t="str">
        <f>"125969"</f>
        <v>125969</v>
      </c>
    </row>
    <row r="6889" spans="1:11" x14ac:dyDescent="0.25">
      <c r="A6889">
        <v>2025</v>
      </c>
      <c r="B6889" t="s">
        <v>5716</v>
      </c>
      <c r="C6889" t="s">
        <v>5717</v>
      </c>
      <c r="D6889" t="s">
        <v>19</v>
      </c>
      <c r="E6889" t="s">
        <v>20</v>
      </c>
      <c r="F6889" t="str">
        <f>"43615-3725"</f>
        <v>43615-3725</v>
      </c>
      <c r="G6889" t="str">
        <f t="shared" si="247"/>
        <v>753658</v>
      </c>
      <c r="H6889" s="2">
        <f>20</f>
        <v>20</v>
      </c>
      <c r="I6889" t="s">
        <v>27</v>
      </c>
      <c r="J6889" t="s">
        <v>39</v>
      </c>
      <c r="K6889" t="str">
        <f>"125987"</f>
        <v>125987</v>
      </c>
    </row>
    <row r="6890" spans="1:11" x14ac:dyDescent="0.25">
      <c r="A6890">
        <v>2025</v>
      </c>
      <c r="B6890" t="s">
        <v>5722</v>
      </c>
      <c r="C6890" t="s">
        <v>895</v>
      </c>
      <c r="F6890" t="str">
        <f>""</f>
        <v/>
      </c>
      <c r="G6890" t="str">
        <f>"Je12092025"</f>
        <v>Je12092025</v>
      </c>
      <c r="H6890" s="2">
        <f>23.96</f>
        <v>23.96</v>
      </c>
      <c r="I6890" t="s">
        <v>15</v>
      </c>
      <c r="J6890" t="s">
        <v>909</v>
      </c>
      <c r="K6890" t="str">
        <f>"60166471"</f>
        <v>60166471</v>
      </c>
    </row>
    <row r="6891" spans="1:11" x14ac:dyDescent="0.25">
      <c r="A6891">
        <v>2025</v>
      </c>
      <c r="B6891" t="s">
        <v>5728</v>
      </c>
      <c r="C6891" t="s">
        <v>5729</v>
      </c>
      <c r="D6891" t="s">
        <v>58</v>
      </c>
      <c r="E6891" t="s">
        <v>20</v>
      </c>
      <c r="F6891" t="str">
        <f>"43616-3337"</f>
        <v>43616-3337</v>
      </c>
      <c r="G6891" t="str">
        <f t="shared" ref="G6891:G6897" si="248">"753658"</f>
        <v>753658</v>
      </c>
      <c r="H6891" s="2">
        <f>20</f>
        <v>20</v>
      </c>
      <c r="I6891" t="s">
        <v>27</v>
      </c>
      <c r="J6891" t="s">
        <v>39</v>
      </c>
      <c r="K6891" t="str">
        <f>"125337"</f>
        <v>125337</v>
      </c>
    </row>
    <row r="6892" spans="1:11" x14ac:dyDescent="0.25">
      <c r="A6892">
        <v>2025</v>
      </c>
      <c r="B6892" t="s">
        <v>5734</v>
      </c>
      <c r="C6892" t="s">
        <v>5735</v>
      </c>
      <c r="D6892" t="s">
        <v>19</v>
      </c>
      <c r="E6892" t="s">
        <v>20</v>
      </c>
      <c r="F6892" t="str">
        <f>"43614-1341"</f>
        <v>43614-1341</v>
      </c>
      <c r="G6892" t="str">
        <f t="shared" si="248"/>
        <v>753658</v>
      </c>
      <c r="H6892" s="2">
        <f>20</f>
        <v>20</v>
      </c>
      <c r="I6892" t="s">
        <v>27</v>
      </c>
      <c r="J6892" t="s">
        <v>39</v>
      </c>
      <c r="K6892" t="str">
        <f>"128159"</f>
        <v>128159</v>
      </c>
    </row>
    <row r="6893" spans="1:11" x14ac:dyDescent="0.25">
      <c r="A6893">
        <v>2025</v>
      </c>
      <c r="B6893" t="s">
        <v>5741</v>
      </c>
      <c r="C6893" t="s">
        <v>5742</v>
      </c>
      <c r="D6893" t="s">
        <v>125</v>
      </c>
      <c r="E6893" t="s">
        <v>20</v>
      </c>
      <c r="F6893" t="str">
        <f>"43537-1207"</f>
        <v>43537-1207</v>
      </c>
      <c r="G6893" t="str">
        <f t="shared" si="248"/>
        <v>753658</v>
      </c>
      <c r="H6893" s="2">
        <f>10</f>
        <v>10</v>
      </c>
      <c r="I6893" t="s">
        <v>27</v>
      </c>
      <c r="J6893" t="s">
        <v>39</v>
      </c>
      <c r="K6893" t="str">
        <f>"125911"</f>
        <v>125911</v>
      </c>
    </row>
    <row r="6894" spans="1:11" x14ac:dyDescent="0.25">
      <c r="A6894">
        <v>2025</v>
      </c>
      <c r="B6894" t="s">
        <v>5745</v>
      </c>
      <c r="C6894" t="s">
        <v>5746</v>
      </c>
      <c r="D6894" t="s">
        <v>19</v>
      </c>
      <c r="E6894" t="s">
        <v>20</v>
      </c>
      <c r="F6894" t="str">
        <f>"43623-1826"</f>
        <v>43623-1826</v>
      </c>
      <c r="G6894" t="str">
        <f t="shared" si="248"/>
        <v>753658</v>
      </c>
      <c r="H6894" s="2">
        <f>10</f>
        <v>10</v>
      </c>
      <c r="I6894" t="s">
        <v>27</v>
      </c>
      <c r="J6894" t="s">
        <v>39</v>
      </c>
      <c r="K6894" t="str">
        <f>"131904"</f>
        <v>131904</v>
      </c>
    </row>
    <row r="6895" spans="1:11" x14ac:dyDescent="0.25">
      <c r="A6895">
        <v>2025</v>
      </c>
      <c r="B6895" t="s">
        <v>5755</v>
      </c>
      <c r="C6895" t="s">
        <v>5756</v>
      </c>
      <c r="D6895" t="s">
        <v>19</v>
      </c>
      <c r="E6895" t="s">
        <v>20</v>
      </c>
      <c r="F6895" t="str">
        <f>"43614-3934"</f>
        <v>43614-3934</v>
      </c>
      <c r="G6895" t="str">
        <f t="shared" si="248"/>
        <v>753658</v>
      </c>
      <c r="H6895" s="2">
        <f>40</f>
        <v>40</v>
      </c>
      <c r="I6895" t="s">
        <v>27</v>
      </c>
      <c r="J6895" t="s">
        <v>39</v>
      </c>
      <c r="K6895" t="str">
        <f>"129514"</f>
        <v>129514</v>
      </c>
    </row>
    <row r="6896" spans="1:11" x14ac:dyDescent="0.25">
      <c r="A6896">
        <v>2025</v>
      </c>
      <c r="B6896" t="s">
        <v>5761</v>
      </c>
      <c r="C6896" t="s">
        <v>5762</v>
      </c>
      <c r="D6896" t="s">
        <v>19</v>
      </c>
      <c r="E6896" t="s">
        <v>20</v>
      </c>
      <c r="F6896" t="str">
        <f>"43615"</f>
        <v>43615</v>
      </c>
      <c r="G6896" t="str">
        <f t="shared" si="248"/>
        <v>753658</v>
      </c>
      <c r="H6896" s="2">
        <f>10</f>
        <v>10</v>
      </c>
      <c r="I6896" t="s">
        <v>27</v>
      </c>
      <c r="J6896" t="s">
        <v>39</v>
      </c>
      <c r="K6896" t="str">
        <f>"126271"</f>
        <v>126271</v>
      </c>
    </row>
    <row r="6897" spans="1:11" x14ac:dyDescent="0.25">
      <c r="A6897">
        <v>2025</v>
      </c>
      <c r="B6897" t="s">
        <v>5771</v>
      </c>
      <c r="C6897" t="s">
        <v>5772</v>
      </c>
      <c r="D6897" t="s">
        <v>19</v>
      </c>
      <c r="E6897" t="s">
        <v>20</v>
      </c>
      <c r="F6897" t="str">
        <f>"43606-2110"</f>
        <v>43606-2110</v>
      </c>
      <c r="G6897" t="str">
        <f t="shared" si="248"/>
        <v>753658</v>
      </c>
      <c r="H6897" s="2">
        <f>40</f>
        <v>40</v>
      </c>
      <c r="I6897" t="s">
        <v>27</v>
      </c>
      <c r="J6897" t="s">
        <v>39</v>
      </c>
      <c r="K6897" t="str">
        <f>"127850"</f>
        <v>127850</v>
      </c>
    </row>
    <row r="6898" spans="1:11" x14ac:dyDescent="0.25">
      <c r="A6898">
        <v>2025</v>
      </c>
      <c r="B6898" t="s">
        <v>5779</v>
      </c>
      <c r="C6898" t="s">
        <v>5780</v>
      </c>
      <c r="D6898" t="s">
        <v>19</v>
      </c>
      <c r="E6898" t="s">
        <v>20</v>
      </c>
      <c r="F6898" t="str">
        <f>"43612"</f>
        <v>43612</v>
      </c>
      <c r="G6898" t="str">
        <f>"Je07082025"</f>
        <v>Je07082025</v>
      </c>
      <c r="H6898" s="2">
        <f>658.74</f>
        <v>658.74</v>
      </c>
      <c r="I6898" t="s">
        <v>15</v>
      </c>
      <c r="J6898" t="s">
        <v>185</v>
      </c>
      <c r="K6898" t="str">
        <f>"60152429"</f>
        <v>60152429</v>
      </c>
    </row>
    <row r="6899" spans="1:11" x14ac:dyDescent="0.25">
      <c r="A6899">
        <v>2025</v>
      </c>
      <c r="B6899" t="s">
        <v>5783</v>
      </c>
      <c r="C6899" t="s">
        <v>5784</v>
      </c>
      <c r="D6899" t="s">
        <v>19</v>
      </c>
      <c r="E6899" t="s">
        <v>20</v>
      </c>
      <c r="F6899" t="str">
        <f>"43617-1902"</f>
        <v>43617-1902</v>
      </c>
      <c r="G6899" t="str">
        <f>"753658"</f>
        <v>753658</v>
      </c>
      <c r="H6899" s="2">
        <f>10</f>
        <v>10</v>
      </c>
      <c r="I6899" t="s">
        <v>27</v>
      </c>
      <c r="J6899" t="s">
        <v>39</v>
      </c>
      <c r="K6899" t="str">
        <f>"126827"</f>
        <v>126827</v>
      </c>
    </row>
    <row r="6900" spans="1:11" x14ac:dyDescent="0.25">
      <c r="A6900">
        <v>2025</v>
      </c>
      <c r="B6900" t="s">
        <v>5788</v>
      </c>
      <c r="C6900" t="s">
        <v>5789</v>
      </c>
      <c r="D6900" t="s">
        <v>19</v>
      </c>
      <c r="E6900" t="s">
        <v>20</v>
      </c>
      <c r="F6900" t="str">
        <f>"43612"</f>
        <v>43612</v>
      </c>
      <c r="G6900" t="str">
        <f>"751639"</f>
        <v>751639</v>
      </c>
      <c r="H6900" s="2">
        <f>13.5</f>
        <v>13.5</v>
      </c>
      <c r="I6900" t="s">
        <v>27</v>
      </c>
      <c r="J6900" t="s">
        <v>96</v>
      </c>
      <c r="K6900" t="str">
        <f>"334955"</f>
        <v>334955</v>
      </c>
    </row>
    <row r="6901" spans="1:11" x14ac:dyDescent="0.25">
      <c r="A6901">
        <v>2025</v>
      </c>
      <c r="B6901" t="s">
        <v>5790</v>
      </c>
      <c r="C6901" t="s">
        <v>5791</v>
      </c>
      <c r="D6901" t="s">
        <v>19</v>
      </c>
      <c r="E6901" t="s">
        <v>20</v>
      </c>
      <c r="F6901" t="str">
        <f>"43614"</f>
        <v>43614</v>
      </c>
      <c r="G6901" t="str">
        <f>"753658"</f>
        <v>753658</v>
      </c>
      <c r="H6901" s="2">
        <f>20</f>
        <v>20</v>
      </c>
      <c r="I6901" t="s">
        <v>27</v>
      </c>
      <c r="J6901" t="s">
        <v>39</v>
      </c>
      <c r="K6901" t="str">
        <f>"125720"</f>
        <v>125720</v>
      </c>
    </row>
    <row r="6902" spans="1:11" x14ac:dyDescent="0.25">
      <c r="A6902">
        <v>2025</v>
      </c>
      <c r="B6902" t="s">
        <v>5803</v>
      </c>
      <c r="C6902" t="s">
        <v>5804</v>
      </c>
      <c r="D6902" t="s">
        <v>19</v>
      </c>
      <c r="E6902" t="s">
        <v>20</v>
      </c>
      <c r="F6902" t="str">
        <f>"43611-1661"</f>
        <v>43611-1661</v>
      </c>
      <c r="G6902" t="str">
        <f>"753658"</f>
        <v>753658</v>
      </c>
      <c r="H6902" s="2">
        <f>20</f>
        <v>20</v>
      </c>
      <c r="I6902" t="s">
        <v>27</v>
      </c>
      <c r="J6902" t="s">
        <v>39</v>
      </c>
      <c r="K6902" t="str">
        <f>"127962"</f>
        <v>127962</v>
      </c>
    </row>
    <row r="6903" spans="1:11" x14ac:dyDescent="0.25">
      <c r="A6903">
        <v>2025</v>
      </c>
      <c r="B6903" t="s">
        <v>5807</v>
      </c>
      <c r="C6903" t="s">
        <v>5808</v>
      </c>
      <c r="D6903" t="s">
        <v>58</v>
      </c>
      <c r="E6903" t="s">
        <v>20</v>
      </c>
      <c r="F6903" t="str">
        <f>"43616"</f>
        <v>43616</v>
      </c>
      <c r="G6903" t="str">
        <f>"751639"</f>
        <v>751639</v>
      </c>
      <c r="H6903" s="2">
        <f>35.18</f>
        <v>35.18</v>
      </c>
      <c r="I6903" t="s">
        <v>27</v>
      </c>
      <c r="J6903" t="s">
        <v>96</v>
      </c>
      <c r="K6903" t="str">
        <f>"334839"</f>
        <v>334839</v>
      </c>
    </row>
    <row r="6904" spans="1:11" x14ac:dyDescent="0.25">
      <c r="A6904">
        <v>2025</v>
      </c>
      <c r="B6904" t="s">
        <v>5809</v>
      </c>
      <c r="C6904" t="s">
        <v>5810</v>
      </c>
      <c r="D6904" t="s">
        <v>45</v>
      </c>
      <c r="E6904" t="s">
        <v>20</v>
      </c>
      <c r="F6904" t="str">
        <f>"43542-9604"</f>
        <v>43542-9604</v>
      </c>
      <c r="G6904" t="str">
        <f>"753658"</f>
        <v>753658</v>
      </c>
      <c r="H6904" s="2">
        <f>10</f>
        <v>10</v>
      </c>
      <c r="I6904" t="s">
        <v>27</v>
      </c>
      <c r="J6904" t="s">
        <v>39</v>
      </c>
      <c r="K6904" t="str">
        <f>"129655"</f>
        <v>129655</v>
      </c>
    </row>
    <row r="6905" spans="1:11" x14ac:dyDescent="0.25">
      <c r="A6905">
        <v>2025</v>
      </c>
      <c r="B6905" t="s">
        <v>5813</v>
      </c>
      <c r="C6905" t="s">
        <v>5814</v>
      </c>
      <c r="D6905" t="s">
        <v>19</v>
      </c>
      <c r="E6905" t="s">
        <v>20</v>
      </c>
      <c r="F6905" t="str">
        <f>"43614-3418"</f>
        <v>43614-3418</v>
      </c>
      <c r="G6905" t="str">
        <f>"753658"</f>
        <v>753658</v>
      </c>
      <c r="H6905" s="2">
        <f>10</f>
        <v>10</v>
      </c>
      <c r="I6905" t="s">
        <v>27</v>
      </c>
      <c r="J6905" t="s">
        <v>39</v>
      </c>
      <c r="K6905" t="str">
        <f>"129800"</f>
        <v>129800</v>
      </c>
    </row>
    <row r="6906" spans="1:11" x14ac:dyDescent="0.25">
      <c r="A6906">
        <v>2025</v>
      </c>
      <c r="B6906" t="s">
        <v>5823</v>
      </c>
      <c r="C6906" t="s">
        <v>5824</v>
      </c>
      <c r="D6906" t="s">
        <v>64</v>
      </c>
      <c r="E6906" t="s">
        <v>20</v>
      </c>
      <c r="F6906" t="str">
        <f>"43566-9713"</f>
        <v>43566-9713</v>
      </c>
      <c r="G6906" t="str">
        <f>"753658"</f>
        <v>753658</v>
      </c>
      <c r="H6906" s="2">
        <f>10</f>
        <v>10</v>
      </c>
      <c r="I6906" t="s">
        <v>27</v>
      </c>
      <c r="J6906" t="s">
        <v>39</v>
      </c>
      <c r="K6906" t="str">
        <f>"127585"</f>
        <v>127585</v>
      </c>
    </row>
    <row r="6907" spans="1:11" x14ac:dyDescent="0.25">
      <c r="A6907">
        <v>2025</v>
      </c>
      <c r="B6907" t="s">
        <v>5827</v>
      </c>
      <c r="C6907" t="s">
        <v>5828</v>
      </c>
      <c r="D6907" t="s">
        <v>19</v>
      </c>
      <c r="E6907" t="s">
        <v>20</v>
      </c>
      <c r="F6907" t="str">
        <f>"43614"</f>
        <v>43614</v>
      </c>
      <c r="G6907" t="str">
        <f>"Je09192025"</f>
        <v>Je09192025</v>
      </c>
      <c r="H6907" s="2">
        <f>1473.86</f>
        <v>1473.86</v>
      </c>
      <c r="I6907" t="s">
        <v>15</v>
      </c>
      <c r="J6907" t="s">
        <v>563</v>
      </c>
      <c r="K6907" t="str">
        <f>"60159777"</f>
        <v>60159777</v>
      </c>
    </row>
    <row r="6908" spans="1:11" x14ac:dyDescent="0.25">
      <c r="A6908">
        <v>2025</v>
      </c>
      <c r="B6908" t="s">
        <v>5836</v>
      </c>
      <c r="C6908" t="s">
        <v>5837</v>
      </c>
      <c r="D6908" t="s">
        <v>50</v>
      </c>
      <c r="E6908" t="s">
        <v>20</v>
      </c>
      <c r="F6908" t="str">
        <f>"43560"</f>
        <v>43560</v>
      </c>
      <c r="G6908" t="str">
        <f t="shared" ref="G6908:G6913" si="249">"753658"</f>
        <v>753658</v>
      </c>
      <c r="H6908" s="2">
        <f>10</f>
        <v>10</v>
      </c>
      <c r="I6908" t="s">
        <v>27</v>
      </c>
      <c r="J6908" t="s">
        <v>39</v>
      </c>
      <c r="K6908" t="str">
        <f>"129416"</f>
        <v>129416</v>
      </c>
    </row>
    <row r="6909" spans="1:11" x14ac:dyDescent="0.25">
      <c r="A6909">
        <v>2025</v>
      </c>
      <c r="B6909" t="s">
        <v>5840</v>
      </c>
      <c r="C6909" t="s">
        <v>5841</v>
      </c>
      <c r="D6909" t="s">
        <v>19</v>
      </c>
      <c r="E6909" t="s">
        <v>20</v>
      </c>
      <c r="F6909" t="str">
        <f>"43614-1133"</f>
        <v>43614-1133</v>
      </c>
      <c r="G6909" t="str">
        <f t="shared" si="249"/>
        <v>753658</v>
      </c>
      <c r="H6909" s="2">
        <f>30</f>
        <v>30</v>
      </c>
      <c r="I6909" t="s">
        <v>27</v>
      </c>
      <c r="J6909" t="s">
        <v>39</v>
      </c>
      <c r="K6909" t="str">
        <f>"125378"</f>
        <v>125378</v>
      </c>
    </row>
    <row r="6910" spans="1:11" x14ac:dyDescent="0.25">
      <c r="A6910">
        <v>2025</v>
      </c>
      <c r="B6910" t="s">
        <v>5842</v>
      </c>
      <c r="C6910" t="s">
        <v>5843</v>
      </c>
      <c r="D6910" t="s">
        <v>19</v>
      </c>
      <c r="E6910" t="s">
        <v>20</v>
      </c>
      <c r="F6910" t="str">
        <f>"43613-4327"</f>
        <v>43613-4327</v>
      </c>
      <c r="G6910" t="str">
        <f t="shared" si="249"/>
        <v>753658</v>
      </c>
      <c r="H6910" s="2">
        <f>10</f>
        <v>10</v>
      </c>
      <c r="I6910" t="s">
        <v>27</v>
      </c>
      <c r="J6910" t="s">
        <v>39</v>
      </c>
      <c r="K6910" t="str">
        <f>"131699"</f>
        <v>131699</v>
      </c>
    </row>
    <row r="6911" spans="1:11" x14ac:dyDescent="0.25">
      <c r="A6911">
        <v>2025</v>
      </c>
      <c r="B6911" t="s">
        <v>5848</v>
      </c>
      <c r="C6911" t="s">
        <v>5849</v>
      </c>
      <c r="D6911" t="s">
        <v>19</v>
      </c>
      <c r="E6911" t="s">
        <v>20</v>
      </c>
      <c r="F6911" t="str">
        <f>"43605-3743"</f>
        <v>43605-3743</v>
      </c>
      <c r="G6911" t="str">
        <f t="shared" si="249"/>
        <v>753658</v>
      </c>
      <c r="H6911" s="2">
        <f>100</f>
        <v>100</v>
      </c>
      <c r="I6911" t="s">
        <v>27</v>
      </c>
      <c r="J6911" t="s">
        <v>39</v>
      </c>
      <c r="K6911" t="str">
        <f>"131782"</f>
        <v>131782</v>
      </c>
    </row>
    <row r="6912" spans="1:11" x14ac:dyDescent="0.25">
      <c r="A6912">
        <v>2025</v>
      </c>
      <c r="B6912" t="s">
        <v>5867</v>
      </c>
      <c r="C6912" t="s">
        <v>5868</v>
      </c>
      <c r="D6912" t="s">
        <v>19</v>
      </c>
      <c r="E6912" t="s">
        <v>20</v>
      </c>
      <c r="F6912" t="str">
        <f>"43623-3339"</f>
        <v>43623-3339</v>
      </c>
      <c r="G6912" t="str">
        <f t="shared" si="249"/>
        <v>753658</v>
      </c>
      <c r="H6912" s="2">
        <f>10</f>
        <v>10</v>
      </c>
      <c r="I6912" t="s">
        <v>27</v>
      </c>
      <c r="J6912" t="s">
        <v>39</v>
      </c>
      <c r="K6912" t="str">
        <f>"128761"</f>
        <v>128761</v>
      </c>
    </row>
    <row r="6913" spans="1:11" x14ac:dyDescent="0.25">
      <c r="A6913">
        <v>2025</v>
      </c>
      <c r="B6913" t="s">
        <v>5869</v>
      </c>
      <c r="C6913" t="s">
        <v>5870</v>
      </c>
      <c r="D6913" t="s">
        <v>19</v>
      </c>
      <c r="E6913" t="s">
        <v>20</v>
      </c>
      <c r="F6913" t="str">
        <f>"43607-4447"</f>
        <v>43607-4447</v>
      </c>
      <c r="G6913" t="str">
        <f t="shared" si="249"/>
        <v>753658</v>
      </c>
      <c r="H6913" s="2">
        <f>10</f>
        <v>10</v>
      </c>
      <c r="I6913" t="s">
        <v>27</v>
      </c>
      <c r="J6913" t="s">
        <v>39</v>
      </c>
      <c r="K6913" t="str">
        <f>"128849"</f>
        <v>128849</v>
      </c>
    </row>
    <row r="6914" spans="1:11" x14ac:dyDescent="0.25">
      <c r="A6914">
        <v>2025</v>
      </c>
      <c r="B6914" t="s">
        <v>5879</v>
      </c>
      <c r="C6914" t="s">
        <v>5880</v>
      </c>
      <c r="D6914" t="s">
        <v>497</v>
      </c>
      <c r="E6914" t="s">
        <v>20</v>
      </c>
      <c r="F6914" t="str">
        <f>"43615"</f>
        <v>43615</v>
      </c>
      <c r="G6914" t="str">
        <f>"751641"</f>
        <v>751641</v>
      </c>
      <c r="H6914" s="2">
        <f>15</f>
        <v>15</v>
      </c>
      <c r="I6914" t="s">
        <v>27</v>
      </c>
      <c r="J6914" t="s">
        <v>219</v>
      </c>
      <c r="K6914" t="str">
        <f>"33012915"</f>
        <v>33012915</v>
      </c>
    </row>
    <row r="6915" spans="1:11" x14ac:dyDescent="0.25">
      <c r="A6915">
        <v>2025</v>
      </c>
      <c r="B6915" t="s">
        <v>5881</v>
      </c>
      <c r="C6915" t="s">
        <v>5882</v>
      </c>
      <c r="D6915" t="s">
        <v>19</v>
      </c>
      <c r="E6915" t="s">
        <v>20</v>
      </c>
      <c r="F6915" t="str">
        <f>"43623-3316"</f>
        <v>43623-3316</v>
      </c>
      <c r="G6915" t="str">
        <f t="shared" ref="G6915:G6927" si="250">"753658"</f>
        <v>753658</v>
      </c>
      <c r="H6915" s="2">
        <f>10</f>
        <v>10</v>
      </c>
      <c r="I6915" t="s">
        <v>27</v>
      </c>
      <c r="J6915" t="s">
        <v>39</v>
      </c>
      <c r="K6915" t="str">
        <f>"125215"</f>
        <v>125215</v>
      </c>
    </row>
    <row r="6916" spans="1:11" x14ac:dyDescent="0.25">
      <c r="A6916">
        <v>2025</v>
      </c>
      <c r="B6916" t="s">
        <v>5890</v>
      </c>
      <c r="C6916" t="s">
        <v>5891</v>
      </c>
      <c r="D6916" t="s">
        <v>19</v>
      </c>
      <c r="E6916" t="s">
        <v>20</v>
      </c>
      <c r="F6916" t="str">
        <f>"43605-2717"</f>
        <v>43605-2717</v>
      </c>
      <c r="G6916" t="str">
        <f t="shared" si="250"/>
        <v>753658</v>
      </c>
      <c r="H6916" s="2">
        <f>10</f>
        <v>10</v>
      </c>
      <c r="I6916" t="s">
        <v>27</v>
      </c>
      <c r="J6916" t="s">
        <v>39</v>
      </c>
      <c r="K6916" t="str">
        <f>"126297"</f>
        <v>126297</v>
      </c>
    </row>
    <row r="6917" spans="1:11" x14ac:dyDescent="0.25">
      <c r="A6917">
        <v>2025</v>
      </c>
      <c r="B6917" t="s">
        <v>5892</v>
      </c>
      <c r="C6917" t="s">
        <v>2797</v>
      </c>
      <c r="D6917" t="s">
        <v>19</v>
      </c>
      <c r="E6917" t="s">
        <v>20</v>
      </c>
      <c r="F6917" t="str">
        <f>"43614-2645"</f>
        <v>43614-2645</v>
      </c>
      <c r="G6917" t="str">
        <f t="shared" si="250"/>
        <v>753658</v>
      </c>
      <c r="H6917" s="2">
        <f>10</f>
        <v>10</v>
      </c>
      <c r="I6917" t="s">
        <v>27</v>
      </c>
      <c r="J6917" t="s">
        <v>39</v>
      </c>
      <c r="K6917" t="str">
        <f>"125713"</f>
        <v>125713</v>
      </c>
    </row>
    <row r="6918" spans="1:11" x14ac:dyDescent="0.25">
      <c r="A6918">
        <v>2025</v>
      </c>
      <c r="B6918" t="s">
        <v>5895</v>
      </c>
      <c r="C6918" t="s">
        <v>5896</v>
      </c>
      <c r="D6918" t="s">
        <v>19</v>
      </c>
      <c r="E6918" t="s">
        <v>20</v>
      </c>
      <c r="F6918" t="str">
        <f>"43606-1124"</f>
        <v>43606-1124</v>
      </c>
      <c r="G6918" t="str">
        <f t="shared" si="250"/>
        <v>753658</v>
      </c>
      <c r="H6918" s="2">
        <f>20</f>
        <v>20</v>
      </c>
      <c r="I6918" t="s">
        <v>27</v>
      </c>
      <c r="J6918" t="s">
        <v>39</v>
      </c>
      <c r="K6918" t="str">
        <f>"127467"</f>
        <v>127467</v>
      </c>
    </row>
    <row r="6919" spans="1:11" x14ac:dyDescent="0.25">
      <c r="A6919">
        <v>2025</v>
      </c>
      <c r="B6919" t="s">
        <v>5899</v>
      </c>
      <c r="C6919" t="s">
        <v>5900</v>
      </c>
      <c r="D6919" t="s">
        <v>125</v>
      </c>
      <c r="E6919" t="s">
        <v>20</v>
      </c>
      <c r="F6919" t="str">
        <f>"43537-2058"</f>
        <v>43537-2058</v>
      </c>
      <c r="G6919" t="str">
        <f t="shared" si="250"/>
        <v>753658</v>
      </c>
      <c r="H6919" s="2">
        <f>60</f>
        <v>60</v>
      </c>
      <c r="I6919" t="s">
        <v>27</v>
      </c>
      <c r="J6919" t="s">
        <v>39</v>
      </c>
      <c r="K6919" t="str">
        <f>"128497"</f>
        <v>128497</v>
      </c>
    </row>
    <row r="6920" spans="1:11" x14ac:dyDescent="0.25">
      <c r="A6920">
        <v>2025</v>
      </c>
      <c r="B6920" t="s">
        <v>5907</v>
      </c>
      <c r="C6920" t="s">
        <v>5908</v>
      </c>
      <c r="D6920" t="s">
        <v>19</v>
      </c>
      <c r="E6920" t="s">
        <v>20</v>
      </c>
      <c r="F6920" t="str">
        <f>"43612-3419"</f>
        <v>43612-3419</v>
      </c>
      <c r="G6920" t="str">
        <f t="shared" si="250"/>
        <v>753658</v>
      </c>
      <c r="H6920" s="2">
        <f>10</f>
        <v>10</v>
      </c>
      <c r="I6920" t="s">
        <v>27</v>
      </c>
      <c r="J6920" t="s">
        <v>39</v>
      </c>
      <c r="K6920" t="str">
        <f>"129229"</f>
        <v>129229</v>
      </c>
    </row>
    <row r="6921" spans="1:11" x14ac:dyDescent="0.25">
      <c r="A6921">
        <v>2025</v>
      </c>
      <c r="B6921" t="s">
        <v>5911</v>
      </c>
      <c r="C6921" t="s">
        <v>5912</v>
      </c>
      <c r="D6921" t="s">
        <v>19</v>
      </c>
      <c r="E6921" t="s">
        <v>20</v>
      </c>
      <c r="F6921" t="str">
        <f>"43606-2251"</f>
        <v>43606-2251</v>
      </c>
      <c r="G6921" t="str">
        <f t="shared" si="250"/>
        <v>753658</v>
      </c>
      <c r="H6921" s="2">
        <f>20</f>
        <v>20</v>
      </c>
      <c r="I6921" t="s">
        <v>27</v>
      </c>
      <c r="J6921" t="s">
        <v>39</v>
      </c>
      <c r="K6921" t="str">
        <f>"127449"</f>
        <v>127449</v>
      </c>
    </row>
    <row r="6922" spans="1:11" x14ac:dyDescent="0.25">
      <c r="A6922">
        <v>2025</v>
      </c>
      <c r="B6922" t="s">
        <v>5915</v>
      </c>
      <c r="C6922" t="s">
        <v>5916</v>
      </c>
      <c r="D6922" t="s">
        <v>58</v>
      </c>
      <c r="E6922" t="s">
        <v>20</v>
      </c>
      <c r="F6922" t="str">
        <f>"43616-2634"</f>
        <v>43616-2634</v>
      </c>
      <c r="G6922" t="str">
        <f t="shared" si="250"/>
        <v>753658</v>
      </c>
      <c r="H6922" s="2">
        <f>20</f>
        <v>20</v>
      </c>
      <c r="I6922" t="s">
        <v>27</v>
      </c>
      <c r="J6922" t="s">
        <v>39</v>
      </c>
      <c r="K6922" t="str">
        <f>"125616"</f>
        <v>125616</v>
      </c>
    </row>
    <row r="6923" spans="1:11" x14ac:dyDescent="0.25">
      <c r="A6923">
        <v>2025</v>
      </c>
      <c r="B6923" t="s">
        <v>5923</v>
      </c>
      <c r="C6923" t="s">
        <v>1221</v>
      </c>
      <c r="D6923" t="s">
        <v>125</v>
      </c>
      <c r="E6923" t="s">
        <v>20</v>
      </c>
      <c r="F6923" t="str">
        <f>"43537-1426"</f>
        <v>43537-1426</v>
      </c>
      <c r="G6923" t="str">
        <f t="shared" si="250"/>
        <v>753658</v>
      </c>
      <c r="H6923" s="2">
        <f>70</f>
        <v>70</v>
      </c>
      <c r="I6923" t="s">
        <v>27</v>
      </c>
      <c r="J6923" t="s">
        <v>39</v>
      </c>
      <c r="K6923" t="str">
        <f>"131116"</f>
        <v>131116</v>
      </c>
    </row>
    <row r="6924" spans="1:11" x14ac:dyDescent="0.25">
      <c r="A6924">
        <v>2025</v>
      </c>
      <c r="B6924" t="s">
        <v>5930</v>
      </c>
      <c r="C6924" t="s">
        <v>5931</v>
      </c>
      <c r="D6924" t="s">
        <v>125</v>
      </c>
      <c r="E6924" t="s">
        <v>20</v>
      </c>
      <c r="F6924" t="str">
        <f>"43537-3774"</f>
        <v>43537-3774</v>
      </c>
      <c r="G6924" t="str">
        <f t="shared" si="250"/>
        <v>753658</v>
      </c>
      <c r="H6924" s="2">
        <f>10</f>
        <v>10</v>
      </c>
      <c r="I6924" t="s">
        <v>27</v>
      </c>
      <c r="J6924" t="s">
        <v>39</v>
      </c>
      <c r="K6924" t="str">
        <f>"125838"</f>
        <v>125838</v>
      </c>
    </row>
    <row r="6925" spans="1:11" x14ac:dyDescent="0.25">
      <c r="A6925">
        <v>2025</v>
      </c>
      <c r="B6925" t="s">
        <v>5932</v>
      </c>
      <c r="C6925" t="s">
        <v>5933</v>
      </c>
      <c r="D6925" t="s">
        <v>58</v>
      </c>
      <c r="E6925" t="s">
        <v>20</v>
      </c>
      <c r="F6925" t="str">
        <f>"43616-2848"</f>
        <v>43616-2848</v>
      </c>
      <c r="G6925" t="str">
        <f t="shared" si="250"/>
        <v>753658</v>
      </c>
      <c r="H6925" s="2">
        <f>40</f>
        <v>40</v>
      </c>
      <c r="I6925" t="s">
        <v>27</v>
      </c>
      <c r="J6925" t="s">
        <v>39</v>
      </c>
      <c r="K6925" t="str">
        <f>"131550"</f>
        <v>131550</v>
      </c>
    </row>
    <row r="6926" spans="1:11" x14ac:dyDescent="0.25">
      <c r="A6926">
        <v>2025</v>
      </c>
      <c r="B6926" t="s">
        <v>5942</v>
      </c>
      <c r="C6926" t="s">
        <v>5943</v>
      </c>
      <c r="D6926" t="s">
        <v>19</v>
      </c>
      <c r="E6926" t="s">
        <v>20</v>
      </c>
      <c r="F6926" t="str">
        <f>"43613-2810"</f>
        <v>43613-2810</v>
      </c>
      <c r="G6926" t="str">
        <f t="shared" si="250"/>
        <v>753658</v>
      </c>
      <c r="H6926" s="2">
        <f>10</f>
        <v>10</v>
      </c>
      <c r="I6926" t="s">
        <v>27</v>
      </c>
      <c r="J6926" t="s">
        <v>39</v>
      </c>
      <c r="K6926" t="str">
        <f>"128769"</f>
        <v>128769</v>
      </c>
    </row>
    <row r="6927" spans="1:11" x14ac:dyDescent="0.25">
      <c r="A6927">
        <v>2025</v>
      </c>
      <c r="B6927" t="s">
        <v>5944</v>
      </c>
      <c r="C6927" t="s">
        <v>5945</v>
      </c>
      <c r="D6927" t="s">
        <v>19</v>
      </c>
      <c r="E6927" t="s">
        <v>20</v>
      </c>
      <c r="F6927" t="str">
        <f>"43605"</f>
        <v>43605</v>
      </c>
      <c r="G6927" t="str">
        <f t="shared" si="250"/>
        <v>753658</v>
      </c>
      <c r="H6927" s="2">
        <f>10</f>
        <v>10</v>
      </c>
      <c r="I6927" t="s">
        <v>27</v>
      </c>
      <c r="J6927" t="s">
        <v>39</v>
      </c>
      <c r="K6927" t="str">
        <f>"127969"</f>
        <v>127969</v>
      </c>
    </row>
    <row r="6928" spans="1:11" x14ac:dyDescent="0.25">
      <c r="A6928">
        <v>2025</v>
      </c>
      <c r="B6928" t="s">
        <v>5953</v>
      </c>
      <c r="C6928" t="s">
        <v>5954</v>
      </c>
      <c r="D6928" t="s">
        <v>19</v>
      </c>
      <c r="E6928" t="s">
        <v>20</v>
      </c>
      <c r="F6928" t="str">
        <f>"43615"</f>
        <v>43615</v>
      </c>
      <c r="G6928" t="str">
        <f>"751639"</f>
        <v>751639</v>
      </c>
      <c r="H6928" s="2">
        <f>9.3</f>
        <v>9.3000000000000007</v>
      </c>
      <c r="I6928" t="s">
        <v>27</v>
      </c>
      <c r="J6928" t="s">
        <v>96</v>
      </c>
      <c r="K6928" t="str">
        <f>"334951"</f>
        <v>334951</v>
      </c>
    </row>
    <row r="6929" spans="1:11" x14ac:dyDescent="0.25">
      <c r="A6929">
        <v>2025</v>
      </c>
      <c r="B6929" t="s">
        <v>5955</v>
      </c>
      <c r="C6929" t="s">
        <v>5956</v>
      </c>
      <c r="D6929" t="s">
        <v>19</v>
      </c>
      <c r="E6929" t="s">
        <v>20</v>
      </c>
      <c r="F6929" t="str">
        <f>"43607-1571"</f>
        <v>43607-1571</v>
      </c>
      <c r="G6929" t="str">
        <f>"753658"</f>
        <v>753658</v>
      </c>
      <c r="H6929" s="2">
        <f>80</f>
        <v>80</v>
      </c>
      <c r="I6929" t="s">
        <v>27</v>
      </c>
      <c r="J6929" t="s">
        <v>39</v>
      </c>
      <c r="K6929" t="str">
        <f>"131496"</f>
        <v>131496</v>
      </c>
    </row>
    <row r="6930" spans="1:11" x14ac:dyDescent="0.25">
      <c r="A6930">
        <v>2025</v>
      </c>
      <c r="B6930" t="s">
        <v>5955</v>
      </c>
      <c r="C6930" t="s">
        <v>5956</v>
      </c>
      <c r="D6930" t="s">
        <v>19</v>
      </c>
      <c r="E6930" t="s">
        <v>20</v>
      </c>
      <c r="F6930" t="str">
        <f>"43607-1571"</f>
        <v>43607-1571</v>
      </c>
      <c r="G6930" t="str">
        <f>"753658"</f>
        <v>753658</v>
      </c>
      <c r="H6930" s="2">
        <f>20</f>
        <v>20</v>
      </c>
      <c r="I6930" t="s">
        <v>27</v>
      </c>
      <c r="J6930" t="s">
        <v>39</v>
      </c>
      <c r="K6930" t="str">
        <f>"131596"</f>
        <v>131596</v>
      </c>
    </row>
    <row r="6931" spans="1:11" x14ac:dyDescent="0.25">
      <c r="A6931">
        <v>2025</v>
      </c>
      <c r="B6931" t="s">
        <v>5961</v>
      </c>
      <c r="C6931" t="s">
        <v>5962</v>
      </c>
      <c r="D6931" t="s">
        <v>19</v>
      </c>
      <c r="E6931" t="s">
        <v>20</v>
      </c>
      <c r="F6931" t="str">
        <f>"43604"</f>
        <v>43604</v>
      </c>
      <c r="G6931" t="str">
        <f>"759796"</f>
        <v>759796</v>
      </c>
      <c r="H6931" s="2">
        <f>25.4</f>
        <v>25.4</v>
      </c>
      <c r="I6931" t="s">
        <v>27</v>
      </c>
      <c r="J6931" t="s">
        <v>188</v>
      </c>
      <c r="K6931" t="str">
        <f>"46726"</f>
        <v>46726</v>
      </c>
    </row>
    <row r="6932" spans="1:11" x14ac:dyDescent="0.25">
      <c r="A6932">
        <v>2025</v>
      </c>
      <c r="B6932" t="s">
        <v>5977</v>
      </c>
      <c r="C6932" t="s">
        <v>5978</v>
      </c>
      <c r="D6932" t="s">
        <v>19</v>
      </c>
      <c r="E6932" t="s">
        <v>20</v>
      </c>
      <c r="F6932" t="str">
        <f>"43612-2329"</f>
        <v>43612-2329</v>
      </c>
      <c r="G6932" t="str">
        <f>"753658"</f>
        <v>753658</v>
      </c>
      <c r="H6932" s="2">
        <f>10</f>
        <v>10</v>
      </c>
      <c r="I6932" t="s">
        <v>27</v>
      </c>
      <c r="J6932" t="s">
        <v>39</v>
      </c>
      <c r="K6932" t="str">
        <f>"129025"</f>
        <v>129025</v>
      </c>
    </row>
    <row r="6933" spans="1:11" x14ac:dyDescent="0.25">
      <c r="A6933">
        <v>2025</v>
      </c>
      <c r="B6933" t="s">
        <v>5979</v>
      </c>
      <c r="C6933" t="s">
        <v>5980</v>
      </c>
      <c r="D6933" t="s">
        <v>125</v>
      </c>
      <c r="E6933" t="s">
        <v>20</v>
      </c>
      <c r="F6933" t="str">
        <f>"43537-9350"</f>
        <v>43537-9350</v>
      </c>
      <c r="G6933" t="str">
        <f>"753658"</f>
        <v>753658</v>
      </c>
      <c r="H6933" s="2">
        <f>10</f>
        <v>10</v>
      </c>
      <c r="I6933" t="s">
        <v>27</v>
      </c>
      <c r="J6933" t="s">
        <v>39</v>
      </c>
      <c r="K6933" t="str">
        <f>"129753"</f>
        <v>129753</v>
      </c>
    </row>
    <row r="6934" spans="1:11" x14ac:dyDescent="0.25">
      <c r="A6934">
        <v>2025</v>
      </c>
      <c r="B6934" t="s">
        <v>6002</v>
      </c>
      <c r="C6934" t="s">
        <v>6003</v>
      </c>
      <c r="D6934" t="s">
        <v>4977</v>
      </c>
      <c r="E6934" t="s">
        <v>20</v>
      </c>
      <c r="F6934" t="str">
        <f>"44122"</f>
        <v>44122</v>
      </c>
      <c r="G6934" t="str">
        <f>"759796"</f>
        <v>759796</v>
      </c>
      <c r="H6934" s="2">
        <f>20</f>
        <v>20</v>
      </c>
      <c r="I6934" t="s">
        <v>27</v>
      </c>
      <c r="J6934" t="s">
        <v>188</v>
      </c>
      <c r="K6934" t="str">
        <f>"44650"</f>
        <v>44650</v>
      </c>
    </row>
    <row r="6935" spans="1:11" x14ac:dyDescent="0.25">
      <c r="A6935">
        <v>2025</v>
      </c>
      <c r="B6935" t="s">
        <v>6027</v>
      </c>
      <c r="C6935" t="s">
        <v>6028</v>
      </c>
      <c r="D6935" t="s">
        <v>105</v>
      </c>
      <c r="E6935" t="s">
        <v>20</v>
      </c>
      <c r="F6935" t="str">
        <f>"43528-8347"</f>
        <v>43528-8347</v>
      </c>
      <c r="G6935" t="str">
        <f>"753658"</f>
        <v>753658</v>
      </c>
      <c r="H6935" s="2">
        <f>10</f>
        <v>10</v>
      </c>
      <c r="I6935" t="s">
        <v>27</v>
      </c>
      <c r="J6935" t="s">
        <v>39</v>
      </c>
      <c r="K6935" t="str">
        <f>"128214"</f>
        <v>128214</v>
      </c>
    </row>
    <row r="6936" spans="1:11" x14ac:dyDescent="0.25">
      <c r="A6936">
        <v>2025</v>
      </c>
      <c r="B6936" t="s">
        <v>6035</v>
      </c>
      <c r="C6936" t="s">
        <v>6036</v>
      </c>
      <c r="D6936" t="s">
        <v>19</v>
      </c>
      <c r="E6936" t="s">
        <v>20</v>
      </c>
      <c r="F6936" t="str">
        <f>"43615"</f>
        <v>43615</v>
      </c>
      <c r="G6936" t="str">
        <f>"751641"</f>
        <v>751641</v>
      </c>
      <c r="H6936" s="2">
        <f>6</f>
        <v>6</v>
      </c>
      <c r="I6936" t="s">
        <v>27</v>
      </c>
      <c r="J6936" t="s">
        <v>219</v>
      </c>
      <c r="K6936" t="str">
        <f>"11004714"</f>
        <v>11004714</v>
      </c>
    </row>
    <row r="6937" spans="1:11" x14ac:dyDescent="0.25">
      <c r="A6937">
        <v>2025</v>
      </c>
      <c r="B6937" t="s">
        <v>6037</v>
      </c>
      <c r="C6937" t="s">
        <v>6038</v>
      </c>
      <c r="D6937" t="s">
        <v>19</v>
      </c>
      <c r="E6937" t="s">
        <v>20</v>
      </c>
      <c r="F6937" t="str">
        <f>"43609-3248"</f>
        <v>43609-3248</v>
      </c>
      <c r="G6937" t="str">
        <f>"753658"</f>
        <v>753658</v>
      </c>
      <c r="H6937" s="2">
        <f>10</f>
        <v>10</v>
      </c>
      <c r="I6937" t="s">
        <v>27</v>
      </c>
      <c r="J6937" t="s">
        <v>39</v>
      </c>
      <c r="K6937" t="str">
        <f>"131583"</f>
        <v>131583</v>
      </c>
    </row>
    <row r="6938" spans="1:11" x14ac:dyDescent="0.25">
      <c r="A6938">
        <v>2025</v>
      </c>
      <c r="B6938" t="s">
        <v>6043</v>
      </c>
      <c r="C6938" t="s">
        <v>6044</v>
      </c>
      <c r="D6938" t="s">
        <v>19</v>
      </c>
      <c r="E6938" t="s">
        <v>20</v>
      </c>
      <c r="F6938" t="str">
        <f>"43623-2908"</f>
        <v>43623-2908</v>
      </c>
      <c r="G6938" t="str">
        <f>"753658"</f>
        <v>753658</v>
      </c>
      <c r="H6938" s="2">
        <f>10</f>
        <v>10</v>
      </c>
      <c r="I6938" t="s">
        <v>27</v>
      </c>
      <c r="J6938" t="s">
        <v>39</v>
      </c>
      <c r="K6938" t="str">
        <f>"126793"</f>
        <v>126793</v>
      </c>
    </row>
    <row r="6939" spans="1:11" x14ac:dyDescent="0.25">
      <c r="A6939">
        <v>2025</v>
      </c>
      <c r="B6939" t="s">
        <v>6047</v>
      </c>
      <c r="C6939" t="s">
        <v>5812</v>
      </c>
      <c r="D6939" t="s">
        <v>19</v>
      </c>
      <c r="E6939" t="s">
        <v>20</v>
      </c>
      <c r="F6939" t="str">
        <f>"43612-3342"</f>
        <v>43612-3342</v>
      </c>
      <c r="G6939" t="str">
        <f>"753658"</f>
        <v>753658</v>
      </c>
      <c r="H6939" s="2">
        <f>10</f>
        <v>10</v>
      </c>
      <c r="I6939" t="s">
        <v>27</v>
      </c>
      <c r="J6939" t="s">
        <v>39</v>
      </c>
      <c r="K6939" t="str">
        <f>"128041"</f>
        <v>128041</v>
      </c>
    </row>
    <row r="6940" spans="1:11" x14ac:dyDescent="0.25">
      <c r="A6940">
        <v>2025</v>
      </c>
      <c r="B6940" t="s">
        <v>6054</v>
      </c>
      <c r="C6940" t="s">
        <v>6055</v>
      </c>
      <c r="D6940" t="s">
        <v>19</v>
      </c>
      <c r="E6940" t="s">
        <v>20</v>
      </c>
      <c r="F6940" t="str">
        <f>"43611-1401"</f>
        <v>43611-1401</v>
      </c>
      <c r="G6940" t="str">
        <f>"753658"</f>
        <v>753658</v>
      </c>
      <c r="H6940" s="2">
        <f>10</f>
        <v>10</v>
      </c>
      <c r="I6940" t="s">
        <v>27</v>
      </c>
      <c r="J6940" t="s">
        <v>39</v>
      </c>
      <c r="K6940" t="str">
        <f>"126308"</f>
        <v>126308</v>
      </c>
    </row>
    <row r="6941" spans="1:11" x14ac:dyDescent="0.25">
      <c r="A6941">
        <v>2025</v>
      </c>
      <c r="B6941" t="s">
        <v>6056</v>
      </c>
      <c r="C6941" t="s">
        <v>6057</v>
      </c>
      <c r="D6941" t="s">
        <v>19</v>
      </c>
      <c r="E6941" t="s">
        <v>20</v>
      </c>
      <c r="F6941" t="str">
        <f>"43613"</f>
        <v>43613</v>
      </c>
      <c r="G6941" t="str">
        <f>"751641"</f>
        <v>751641</v>
      </c>
      <c r="H6941" s="2">
        <f>5</f>
        <v>5</v>
      </c>
      <c r="I6941" t="s">
        <v>27</v>
      </c>
      <c r="J6941" t="s">
        <v>219</v>
      </c>
      <c r="K6941" t="str">
        <f>"22027433"</f>
        <v>22027433</v>
      </c>
    </row>
    <row r="6942" spans="1:11" x14ac:dyDescent="0.25">
      <c r="A6942">
        <v>2025</v>
      </c>
      <c r="B6942" t="s">
        <v>6062</v>
      </c>
      <c r="C6942" t="s">
        <v>6063</v>
      </c>
      <c r="D6942" t="s">
        <v>19</v>
      </c>
      <c r="E6942" t="s">
        <v>20</v>
      </c>
      <c r="F6942" t="str">
        <f>"43613-2115"</f>
        <v>43613-2115</v>
      </c>
      <c r="G6942" t="str">
        <f>"753658"</f>
        <v>753658</v>
      </c>
      <c r="H6942" s="2">
        <f>10</f>
        <v>10</v>
      </c>
      <c r="I6942" t="s">
        <v>27</v>
      </c>
      <c r="J6942" t="s">
        <v>39</v>
      </c>
      <c r="K6942" t="str">
        <f>"126087"</f>
        <v>126087</v>
      </c>
    </row>
    <row r="6943" spans="1:11" x14ac:dyDescent="0.25">
      <c r="A6943">
        <v>2025</v>
      </c>
      <c r="B6943" t="s">
        <v>6093</v>
      </c>
      <c r="C6943" t="s">
        <v>6094</v>
      </c>
      <c r="D6943" t="s">
        <v>125</v>
      </c>
      <c r="E6943" t="s">
        <v>20</v>
      </c>
      <c r="F6943" t="str">
        <f>"43537-2019"</f>
        <v>43537-2019</v>
      </c>
      <c r="G6943" t="str">
        <f>"753658"</f>
        <v>753658</v>
      </c>
      <c r="H6943" s="2">
        <f>40</f>
        <v>40</v>
      </c>
      <c r="I6943" t="s">
        <v>27</v>
      </c>
      <c r="J6943" t="s">
        <v>39</v>
      </c>
      <c r="K6943" t="str">
        <f>"127827"</f>
        <v>127827</v>
      </c>
    </row>
    <row r="6944" spans="1:11" x14ac:dyDescent="0.25">
      <c r="A6944">
        <v>2025</v>
      </c>
      <c r="B6944" t="s">
        <v>6102</v>
      </c>
      <c r="C6944" t="s">
        <v>6103</v>
      </c>
      <c r="D6944" t="s">
        <v>19</v>
      </c>
      <c r="E6944" t="s">
        <v>20</v>
      </c>
      <c r="F6944" t="str">
        <f>"43623-3901"</f>
        <v>43623-3901</v>
      </c>
      <c r="G6944" t="str">
        <f>"753658"</f>
        <v>753658</v>
      </c>
      <c r="H6944" s="2">
        <f>20</f>
        <v>20</v>
      </c>
      <c r="I6944" t="s">
        <v>27</v>
      </c>
      <c r="J6944" t="s">
        <v>39</v>
      </c>
      <c r="K6944" t="str">
        <f>"128397"</f>
        <v>128397</v>
      </c>
    </row>
    <row r="6945" spans="1:11" x14ac:dyDescent="0.25">
      <c r="A6945">
        <v>2025</v>
      </c>
      <c r="B6945" t="s">
        <v>6104</v>
      </c>
      <c r="C6945" t="s">
        <v>6105</v>
      </c>
      <c r="D6945" t="s">
        <v>125</v>
      </c>
      <c r="E6945" t="s">
        <v>20</v>
      </c>
      <c r="F6945" t="str">
        <f>"43537-8567"</f>
        <v>43537-8567</v>
      </c>
      <c r="G6945" t="str">
        <f>"753658"</f>
        <v>753658</v>
      </c>
      <c r="H6945" s="2">
        <f>60</f>
        <v>60</v>
      </c>
      <c r="I6945" t="s">
        <v>27</v>
      </c>
      <c r="J6945" t="s">
        <v>39</v>
      </c>
      <c r="K6945" t="str">
        <f>"131820"</f>
        <v>131820</v>
      </c>
    </row>
    <row r="6946" spans="1:11" x14ac:dyDescent="0.25">
      <c r="A6946">
        <v>2025</v>
      </c>
      <c r="B6946" t="s">
        <v>6114</v>
      </c>
      <c r="C6946" t="s">
        <v>6115</v>
      </c>
      <c r="D6946" t="s">
        <v>19</v>
      </c>
      <c r="E6946" t="s">
        <v>20</v>
      </c>
      <c r="F6946" t="str">
        <f>"43606"</f>
        <v>43606</v>
      </c>
      <c r="G6946" t="str">
        <f>"751639"</f>
        <v>751639</v>
      </c>
      <c r="H6946" s="2">
        <f>14.5</f>
        <v>14.5</v>
      </c>
      <c r="I6946" t="s">
        <v>27</v>
      </c>
      <c r="J6946" t="s">
        <v>96</v>
      </c>
      <c r="K6946" t="str">
        <f>"334880"</f>
        <v>334880</v>
      </c>
    </row>
    <row r="6947" spans="1:11" x14ac:dyDescent="0.25">
      <c r="A6947">
        <v>2025</v>
      </c>
      <c r="B6947" t="s">
        <v>6137</v>
      </c>
      <c r="C6947" t="s">
        <v>6138</v>
      </c>
      <c r="D6947" t="s">
        <v>19</v>
      </c>
      <c r="E6947" t="s">
        <v>20</v>
      </c>
      <c r="F6947" t="str">
        <f>"43613-4401"</f>
        <v>43613-4401</v>
      </c>
      <c r="G6947" t="str">
        <f>"753658"</f>
        <v>753658</v>
      </c>
      <c r="H6947" s="2">
        <f>20</f>
        <v>20</v>
      </c>
      <c r="I6947" t="s">
        <v>27</v>
      </c>
      <c r="J6947" t="s">
        <v>39</v>
      </c>
      <c r="K6947" t="str">
        <f>"131315"</f>
        <v>131315</v>
      </c>
    </row>
    <row r="6948" spans="1:11" x14ac:dyDescent="0.25">
      <c r="A6948">
        <v>2025</v>
      </c>
      <c r="B6948" t="s">
        <v>6139</v>
      </c>
      <c r="C6948" t="s">
        <v>6140</v>
      </c>
      <c r="D6948" t="s">
        <v>19</v>
      </c>
      <c r="E6948" t="s">
        <v>20</v>
      </c>
      <c r="F6948" t="str">
        <f>"43604"</f>
        <v>43604</v>
      </c>
      <c r="G6948" t="str">
        <f>"751639"</f>
        <v>751639</v>
      </c>
      <c r="H6948" s="2">
        <f>39.39</f>
        <v>39.39</v>
      </c>
      <c r="I6948" t="s">
        <v>27</v>
      </c>
      <c r="J6948" t="s">
        <v>96</v>
      </c>
      <c r="K6948" t="str">
        <f>"334876"</f>
        <v>334876</v>
      </c>
    </row>
    <row r="6949" spans="1:11" x14ac:dyDescent="0.25">
      <c r="A6949">
        <v>2025</v>
      </c>
      <c r="B6949" t="s">
        <v>6143</v>
      </c>
      <c r="C6949" t="s">
        <v>6144</v>
      </c>
      <c r="D6949" t="s">
        <v>19</v>
      </c>
      <c r="E6949" t="s">
        <v>20</v>
      </c>
      <c r="F6949" t="str">
        <f>"43611-2207"</f>
        <v>43611-2207</v>
      </c>
      <c r="G6949" t="str">
        <f t="shared" ref="G6949:G6955" si="251">"753658"</f>
        <v>753658</v>
      </c>
      <c r="H6949" s="2">
        <f>10</f>
        <v>10</v>
      </c>
      <c r="I6949" t="s">
        <v>27</v>
      </c>
      <c r="J6949" t="s">
        <v>39</v>
      </c>
      <c r="K6949" t="str">
        <f>"126059"</f>
        <v>126059</v>
      </c>
    </row>
    <row r="6950" spans="1:11" x14ac:dyDescent="0.25">
      <c r="A6950">
        <v>2025</v>
      </c>
      <c r="B6950" t="s">
        <v>6153</v>
      </c>
      <c r="C6950" t="s">
        <v>6154</v>
      </c>
      <c r="D6950" t="s">
        <v>19</v>
      </c>
      <c r="E6950" t="s">
        <v>20</v>
      </c>
      <c r="F6950" t="str">
        <f>"43623-2962"</f>
        <v>43623-2962</v>
      </c>
      <c r="G6950" t="str">
        <f t="shared" si="251"/>
        <v>753658</v>
      </c>
      <c r="H6950" s="2">
        <f>10</f>
        <v>10</v>
      </c>
      <c r="I6950" t="s">
        <v>27</v>
      </c>
      <c r="J6950" t="s">
        <v>39</v>
      </c>
      <c r="K6950" t="str">
        <f>"130834"</f>
        <v>130834</v>
      </c>
    </row>
    <row r="6951" spans="1:11" x14ac:dyDescent="0.25">
      <c r="A6951">
        <v>2025</v>
      </c>
      <c r="B6951" t="s">
        <v>6155</v>
      </c>
      <c r="C6951" t="s">
        <v>6156</v>
      </c>
      <c r="D6951" t="s">
        <v>105</v>
      </c>
      <c r="E6951" t="s">
        <v>20</v>
      </c>
      <c r="F6951" t="str">
        <f>"43528-8189"</f>
        <v>43528-8189</v>
      </c>
      <c r="G6951" t="str">
        <f t="shared" si="251"/>
        <v>753658</v>
      </c>
      <c r="H6951" s="2">
        <f>20</f>
        <v>20</v>
      </c>
      <c r="I6951" t="s">
        <v>27</v>
      </c>
      <c r="J6951" t="s">
        <v>39</v>
      </c>
      <c r="K6951" t="str">
        <f>"129097"</f>
        <v>129097</v>
      </c>
    </row>
    <row r="6952" spans="1:11" x14ac:dyDescent="0.25">
      <c r="A6952">
        <v>2025</v>
      </c>
      <c r="B6952" t="s">
        <v>6162</v>
      </c>
      <c r="C6952" t="s">
        <v>6163</v>
      </c>
      <c r="D6952" t="s">
        <v>19</v>
      </c>
      <c r="E6952" t="s">
        <v>20</v>
      </c>
      <c r="F6952" t="str">
        <f>"43609-2029"</f>
        <v>43609-2029</v>
      </c>
      <c r="G6952" t="str">
        <f t="shared" si="251"/>
        <v>753658</v>
      </c>
      <c r="H6952" s="2">
        <f>60</f>
        <v>60</v>
      </c>
      <c r="I6952" t="s">
        <v>27</v>
      </c>
      <c r="J6952" t="s">
        <v>39</v>
      </c>
      <c r="K6952" t="str">
        <f>"131541"</f>
        <v>131541</v>
      </c>
    </row>
    <row r="6953" spans="1:11" x14ac:dyDescent="0.25">
      <c r="A6953">
        <v>2025</v>
      </c>
      <c r="B6953" t="s">
        <v>6169</v>
      </c>
      <c r="C6953" t="s">
        <v>6170</v>
      </c>
      <c r="D6953" t="s">
        <v>50</v>
      </c>
      <c r="E6953" t="s">
        <v>20</v>
      </c>
      <c r="F6953" t="str">
        <f>"43560-3440"</f>
        <v>43560-3440</v>
      </c>
      <c r="G6953" t="str">
        <f t="shared" si="251"/>
        <v>753658</v>
      </c>
      <c r="H6953" s="2">
        <f>20</f>
        <v>20</v>
      </c>
      <c r="I6953" t="s">
        <v>27</v>
      </c>
      <c r="J6953" t="s">
        <v>39</v>
      </c>
      <c r="K6953" t="str">
        <f>"131001"</f>
        <v>131001</v>
      </c>
    </row>
    <row r="6954" spans="1:11" x14ac:dyDescent="0.25">
      <c r="A6954">
        <v>2025</v>
      </c>
      <c r="B6954" t="s">
        <v>6171</v>
      </c>
      <c r="C6954" t="s">
        <v>6172</v>
      </c>
      <c r="D6954" t="s">
        <v>19</v>
      </c>
      <c r="E6954" t="s">
        <v>20</v>
      </c>
      <c r="F6954" t="str">
        <f>"43614-2633"</f>
        <v>43614-2633</v>
      </c>
      <c r="G6954" t="str">
        <f t="shared" si="251"/>
        <v>753658</v>
      </c>
      <c r="H6954" s="2">
        <f>40</f>
        <v>40</v>
      </c>
      <c r="I6954" t="s">
        <v>27</v>
      </c>
      <c r="J6954" t="s">
        <v>39</v>
      </c>
      <c r="K6954" t="str">
        <f>"128263"</f>
        <v>128263</v>
      </c>
    </row>
    <row r="6955" spans="1:11" x14ac:dyDescent="0.25">
      <c r="A6955">
        <v>2025</v>
      </c>
      <c r="B6955" t="s">
        <v>6181</v>
      </c>
      <c r="C6955" t="s">
        <v>6182</v>
      </c>
      <c r="D6955" t="s">
        <v>19</v>
      </c>
      <c r="E6955" t="s">
        <v>20</v>
      </c>
      <c r="F6955" t="str">
        <f>"43607-2251"</f>
        <v>43607-2251</v>
      </c>
      <c r="G6955" t="str">
        <f t="shared" si="251"/>
        <v>753658</v>
      </c>
      <c r="H6955" s="2">
        <f>10</f>
        <v>10</v>
      </c>
      <c r="I6955" t="s">
        <v>27</v>
      </c>
      <c r="J6955" t="s">
        <v>39</v>
      </c>
      <c r="K6955" t="str">
        <f>"128768"</f>
        <v>128768</v>
      </c>
    </row>
    <row r="6956" spans="1:11" x14ac:dyDescent="0.25">
      <c r="A6956">
        <v>2025</v>
      </c>
      <c r="B6956" t="s">
        <v>6183</v>
      </c>
      <c r="C6956" t="s">
        <v>6184</v>
      </c>
      <c r="D6956" t="s">
        <v>19</v>
      </c>
      <c r="E6956" t="s">
        <v>20</v>
      </c>
      <c r="F6956" t="str">
        <f>"43614"</f>
        <v>43614</v>
      </c>
      <c r="G6956" t="str">
        <f>"759797"</f>
        <v>759797</v>
      </c>
      <c r="H6956" s="2">
        <f>6008.62</f>
        <v>6008.62</v>
      </c>
      <c r="I6956" t="s">
        <v>27</v>
      </c>
      <c r="J6956" t="s">
        <v>239</v>
      </c>
      <c r="K6956" t="str">
        <f>"N/A"</f>
        <v>N/A</v>
      </c>
    </row>
    <row r="6957" spans="1:11" x14ac:dyDescent="0.25">
      <c r="A6957">
        <v>2025</v>
      </c>
      <c r="B6957" t="s">
        <v>6185</v>
      </c>
      <c r="C6957" t="s">
        <v>6186</v>
      </c>
      <c r="D6957" t="s">
        <v>64</v>
      </c>
      <c r="E6957" t="s">
        <v>20</v>
      </c>
      <c r="F6957" t="str">
        <f>"43566-8726"</f>
        <v>43566-8726</v>
      </c>
      <c r="G6957" t="str">
        <f>"753658"</f>
        <v>753658</v>
      </c>
      <c r="H6957" s="2">
        <f>30</f>
        <v>30</v>
      </c>
      <c r="I6957" t="s">
        <v>27</v>
      </c>
      <c r="J6957" t="s">
        <v>39</v>
      </c>
      <c r="K6957" t="str">
        <f>"130067"</f>
        <v>130067</v>
      </c>
    </row>
    <row r="6958" spans="1:11" x14ac:dyDescent="0.25">
      <c r="A6958">
        <v>2025</v>
      </c>
      <c r="B6958" t="s">
        <v>6189</v>
      </c>
      <c r="C6958" t="s">
        <v>6190</v>
      </c>
      <c r="D6958" t="s">
        <v>19</v>
      </c>
      <c r="E6958" t="s">
        <v>20</v>
      </c>
      <c r="F6958" t="str">
        <f>"43605-2550"</f>
        <v>43605-2550</v>
      </c>
      <c r="G6958" t="str">
        <f>"753658"</f>
        <v>753658</v>
      </c>
      <c r="H6958" s="2">
        <f>10</f>
        <v>10</v>
      </c>
      <c r="I6958" t="s">
        <v>27</v>
      </c>
      <c r="J6958" t="s">
        <v>39</v>
      </c>
      <c r="K6958" t="str">
        <f>"131704"</f>
        <v>131704</v>
      </c>
    </row>
    <row r="6959" spans="1:11" x14ac:dyDescent="0.25">
      <c r="A6959">
        <v>2025</v>
      </c>
      <c r="B6959" t="s">
        <v>6203</v>
      </c>
      <c r="C6959" t="s">
        <v>6204</v>
      </c>
      <c r="D6959" t="s">
        <v>19</v>
      </c>
      <c r="E6959" t="s">
        <v>20</v>
      </c>
      <c r="F6959" t="str">
        <f>"43607"</f>
        <v>43607</v>
      </c>
      <c r="G6959" t="str">
        <f>"751639"</f>
        <v>751639</v>
      </c>
      <c r="H6959" s="2">
        <f>4.76</f>
        <v>4.76</v>
      </c>
      <c r="I6959" t="s">
        <v>27</v>
      </c>
      <c r="J6959" t="s">
        <v>96</v>
      </c>
      <c r="K6959" t="str">
        <f>"334788"</f>
        <v>334788</v>
      </c>
    </row>
    <row r="6960" spans="1:11" x14ac:dyDescent="0.25">
      <c r="A6960">
        <v>2025</v>
      </c>
      <c r="B6960" t="s">
        <v>6205</v>
      </c>
      <c r="C6960" t="s">
        <v>6206</v>
      </c>
      <c r="D6960" t="s">
        <v>19</v>
      </c>
      <c r="E6960" t="s">
        <v>20</v>
      </c>
      <c r="F6960" t="str">
        <f>"43611-1815"</f>
        <v>43611-1815</v>
      </c>
      <c r="G6960" t="str">
        <f t="shared" ref="G6960:G6968" si="252">"753658"</f>
        <v>753658</v>
      </c>
      <c r="H6960" s="2">
        <f>30</f>
        <v>30</v>
      </c>
      <c r="I6960" t="s">
        <v>27</v>
      </c>
      <c r="J6960" t="s">
        <v>39</v>
      </c>
      <c r="K6960" t="str">
        <f>"127478"</f>
        <v>127478</v>
      </c>
    </row>
    <row r="6961" spans="1:11" x14ac:dyDescent="0.25">
      <c r="A6961">
        <v>2025</v>
      </c>
      <c r="B6961" t="s">
        <v>6214</v>
      </c>
      <c r="C6961" t="s">
        <v>6215</v>
      </c>
      <c r="D6961" t="s">
        <v>19</v>
      </c>
      <c r="E6961" t="s">
        <v>20</v>
      </c>
      <c r="F6961" t="str">
        <f>"43613-4729"</f>
        <v>43613-4729</v>
      </c>
      <c r="G6961" t="str">
        <f t="shared" si="252"/>
        <v>753658</v>
      </c>
      <c r="H6961" s="2">
        <f>20</f>
        <v>20</v>
      </c>
      <c r="I6961" t="s">
        <v>27</v>
      </c>
      <c r="J6961" t="s">
        <v>39</v>
      </c>
      <c r="K6961" t="str">
        <f>"128181"</f>
        <v>128181</v>
      </c>
    </row>
    <row r="6962" spans="1:11" x14ac:dyDescent="0.25">
      <c r="A6962">
        <v>2025</v>
      </c>
      <c r="B6962" t="s">
        <v>6216</v>
      </c>
      <c r="C6962" t="s">
        <v>6217</v>
      </c>
      <c r="D6962" t="s">
        <v>19</v>
      </c>
      <c r="E6962" t="s">
        <v>20</v>
      </c>
      <c r="F6962" t="str">
        <f>"43606-3112"</f>
        <v>43606-3112</v>
      </c>
      <c r="G6962" t="str">
        <f t="shared" si="252"/>
        <v>753658</v>
      </c>
      <c r="H6962" s="2">
        <f>10</f>
        <v>10</v>
      </c>
      <c r="I6962" t="s">
        <v>27</v>
      </c>
      <c r="J6962" t="s">
        <v>39</v>
      </c>
      <c r="K6962" t="str">
        <f>"128920"</f>
        <v>128920</v>
      </c>
    </row>
    <row r="6963" spans="1:11" x14ac:dyDescent="0.25">
      <c r="A6963">
        <v>2025</v>
      </c>
      <c r="B6963" t="s">
        <v>6218</v>
      </c>
      <c r="C6963" t="s">
        <v>6219</v>
      </c>
      <c r="D6963" t="s">
        <v>19</v>
      </c>
      <c r="E6963" t="s">
        <v>20</v>
      </c>
      <c r="F6963" t="str">
        <f>"43623-3030"</f>
        <v>43623-3030</v>
      </c>
      <c r="G6963" t="str">
        <f t="shared" si="252"/>
        <v>753658</v>
      </c>
      <c r="H6963" s="2">
        <f>20</f>
        <v>20</v>
      </c>
      <c r="I6963" t="s">
        <v>27</v>
      </c>
      <c r="J6963" t="s">
        <v>39</v>
      </c>
      <c r="K6963" t="str">
        <f>"128355"</f>
        <v>128355</v>
      </c>
    </row>
    <row r="6964" spans="1:11" x14ac:dyDescent="0.25">
      <c r="A6964">
        <v>2025</v>
      </c>
      <c r="B6964" t="s">
        <v>6220</v>
      </c>
      <c r="C6964" t="s">
        <v>6221</v>
      </c>
      <c r="D6964" t="s">
        <v>19</v>
      </c>
      <c r="E6964" t="s">
        <v>20</v>
      </c>
      <c r="F6964" t="str">
        <f>"43611-1590"</f>
        <v>43611-1590</v>
      </c>
      <c r="G6964" t="str">
        <f t="shared" si="252"/>
        <v>753658</v>
      </c>
      <c r="H6964" s="2">
        <f>40</f>
        <v>40</v>
      </c>
      <c r="I6964" t="s">
        <v>27</v>
      </c>
      <c r="J6964" t="s">
        <v>39</v>
      </c>
      <c r="K6964" t="str">
        <f>"127731"</f>
        <v>127731</v>
      </c>
    </row>
    <row r="6965" spans="1:11" x14ac:dyDescent="0.25">
      <c r="A6965">
        <v>2025</v>
      </c>
      <c r="B6965" t="s">
        <v>6222</v>
      </c>
      <c r="C6965" t="s">
        <v>6223</v>
      </c>
      <c r="D6965" t="s">
        <v>19</v>
      </c>
      <c r="E6965" t="s">
        <v>20</v>
      </c>
      <c r="F6965" t="str">
        <f>"43613-1223"</f>
        <v>43613-1223</v>
      </c>
      <c r="G6965" t="str">
        <f t="shared" si="252"/>
        <v>753658</v>
      </c>
      <c r="H6965" s="2">
        <f>10</f>
        <v>10</v>
      </c>
      <c r="I6965" t="s">
        <v>27</v>
      </c>
      <c r="J6965" t="s">
        <v>39</v>
      </c>
      <c r="K6965" t="str">
        <f>"126701"</f>
        <v>126701</v>
      </c>
    </row>
    <row r="6966" spans="1:11" x14ac:dyDescent="0.25">
      <c r="A6966">
        <v>2025</v>
      </c>
      <c r="B6966" t="s">
        <v>6224</v>
      </c>
      <c r="C6966" t="s">
        <v>6225</v>
      </c>
      <c r="D6966" t="s">
        <v>50</v>
      </c>
      <c r="E6966" t="s">
        <v>20</v>
      </c>
      <c r="F6966" t="str">
        <f>"43560-9525"</f>
        <v>43560-9525</v>
      </c>
      <c r="G6966" t="str">
        <f t="shared" si="252"/>
        <v>753658</v>
      </c>
      <c r="H6966" s="2">
        <f>80</f>
        <v>80</v>
      </c>
      <c r="I6966" t="s">
        <v>27</v>
      </c>
      <c r="J6966" t="s">
        <v>39</v>
      </c>
      <c r="K6966" t="str">
        <f>"128151"</f>
        <v>128151</v>
      </c>
    </row>
    <row r="6967" spans="1:11" x14ac:dyDescent="0.25">
      <c r="A6967">
        <v>2025</v>
      </c>
      <c r="B6967" t="s">
        <v>6226</v>
      </c>
      <c r="C6967" t="s">
        <v>6227</v>
      </c>
      <c r="D6967" t="s">
        <v>19</v>
      </c>
      <c r="E6967" t="s">
        <v>20</v>
      </c>
      <c r="F6967" t="str">
        <f>"43615-4910"</f>
        <v>43615-4910</v>
      </c>
      <c r="G6967" t="str">
        <f t="shared" si="252"/>
        <v>753658</v>
      </c>
      <c r="H6967" s="2">
        <f>10</f>
        <v>10</v>
      </c>
      <c r="I6967" t="s">
        <v>27</v>
      </c>
      <c r="J6967" t="s">
        <v>39</v>
      </c>
      <c r="K6967" t="str">
        <f>"125444"</f>
        <v>125444</v>
      </c>
    </row>
    <row r="6968" spans="1:11" x14ac:dyDescent="0.25">
      <c r="A6968">
        <v>2025</v>
      </c>
      <c r="B6968" t="s">
        <v>6236</v>
      </c>
      <c r="C6968" t="s">
        <v>6237</v>
      </c>
      <c r="D6968" t="s">
        <v>19</v>
      </c>
      <c r="E6968" t="s">
        <v>20</v>
      </c>
      <c r="F6968" t="str">
        <f>"43613-3926"</f>
        <v>43613-3926</v>
      </c>
      <c r="G6968" t="str">
        <f t="shared" si="252"/>
        <v>753658</v>
      </c>
      <c r="H6968" s="2">
        <f>10</f>
        <v>10</v>
      </c>
      <c r="I6968" t="s">
        <v>27</v>
      </c>
      <c r="J6968" t="s">
        <v>39</v>
      </c>
      <c r="K6968" t="str">
        <f>"128059"</f>
        <v>128059</v>
      </c>
    </row>
    <row r="6969" spans="1:11" x14ac:dyDescent="0.25">
      <c r="A6969">
        <v>2025</v>
      </c>
      <c r="B6969" t="s">
        <v>6255</v>
      </c>
      <c r="C6969" t="s">
        <v>6256</v>
      </c>
      <c r="D6969" t="s">
        <v>19</v>
      </c>
      <c r="E6969" t="s">
        <v>20</v>
      </c>
      <c r="F6969" t="str">
        <f>"43608"</f>
        <v>43608</v>
      </c>
      <c r="G6969" t="str">
        <f>"751639"</f>
        <v>751639</v>
      </c>
      <c r="H6969" s="2">
        <f>12.03</f>
        <v>12.03</v>
      </c>
      <c r="I6969" t="s">
        <v>27</v>
      </c>
      <c r="J6969" t="s">
        <v>96</v>
      </c>
      <c r="K6969" t="str">
        <f>"334840"</f>
        <v>334840</v>
      </c>
    </row>
    <row r="6970" spans="1:11" x14ac:dyDescent="0.25">
      <c r="A6970">
        <v>2025</v>
      </c>
      <c r="B6970" t="s">
        <v>6257</v>
      </c>
      <c r="C6970" t="s">
        <v>6258</v>
      </c>
      <c r="D6970" t="s">
        <v>19</v>
      </c>
      <c r="E6970" t="s">
        <v>20</v>
      </c>
      <c r="F6970" t="str">
        <f>"43615"</f>
        <v>43615</v>
      </c>
      <c r="G6970" t="str">
        <f t="shared" ref="G6970:G6994" si="253">"753658"</f>
        <v>753658</v>
      </c>
      <c r="H6970" s="2">
        <f>20</f>
        <v>20</v>
      </c>
      <c r="I6970" t="s">
        <v>27</v>
      </c>
      <c r="J6970" t="s">
        <v>39</v>
      </c>
      <c r="K6970" t="str">
        <f>"131365"</f>
        <v>131365</v>
      </c>
    </row>
    <row r="6971" spans="1:11" x14ac:dyDescent="0.25">
      <c r="A6971">
        <v>2025</v>
      </c>
      <c r="B6971" t="s">
        <v>6259</v>
      </c>
      <c r="C6971" t="s">
        <v>6260</v>
      </c>
      <c r="D6971" t="s">
        <v>19</v>
      </c>
      <c r="E6971" t="s">
        <v>20</v>
      </c>
      <c r="F6971" t="str">
        <f>"43614-1211"</f>
        <v>43614-1211</v>
      </c>
      <c r="G6971" t="str">
        <f t="shared" si="253"/>
        <v>753658</v>
      </c>
      <c r="H6971" s="2">
        <f>20</f>
        <v>20</v>
      </c>
      <c r="I6971" t="s">
        <v>27</v>
      </c>
      <c r="J6971" t="s">
        <v>39</v>
      </c>
      <c r="K6971" t="str">
        <f>"127187"</f>
        <v>127187</v>
      </c>
    </row>
    <row r="6972" spans="1:11" x14ac:dyDescent="0.25">
      <c r="A6972">
        <v>2025</v>
      </c>
      <c r="B6972" t="s">
        <v>6273</v>
      </c>
      <c r="C6972" t="s">
        <v>6274</v>
      </c>
      <c r="D6972" t="s">
        <v>19</v>
      </c>
      <c r="E6972" t="s">
        <v>20</v>
      </c>
      <c r="F6972" t="str">
        <f>"43614-3929"</f>
        <v>43614-3929</v>
      </c>
      <c r="G6972" t="str">
        <f t="shared" si="253"/>
        <v>753658</v>
      </c>
      <c r="H6972" s="2">
        <f>20</f>
        <v>20</v>
      </c>
      <c r="I6972" t="s">
        <v>27</v>
      </c>
      <c r="J6972" t="s">
        <v>39</v>
      </c>
      <c r="K6972" t="str">
        <f>"125317"</f>
        <v>125317</v>
      </c>
    </row>
    <row r="6973" spans="1:11" x14ac:dyDescent="0.25">
      <c r="A6973">
        <v>2025</v>
      </c>
      <c r="B6973" t="s">
        <v>6275</v>
      </c>
      <c r="C6973" t="s">
        <v>6276</v>
      </c>
      <c r="D6973" t="s">
        <v>19</v>
      </c>
      <c r="E6973" t="s">
        <v>20</v>
      </c>
      <c r="F6973" t="str">
        <f>"43606-4535"</f>
        <v>43606-4535</v>
      </c>
      <c r="G6973" t="str">
        <f t="shared" si="253"/>
        <v>753658</v>
      </c>
      <c r="H6973" s="2">
        <f>27.5</f>
        <v>27.5</v>
      </c>
      <c r="I6973" t="s">
        <v>27</v>
      </c>
      <c r="J6973" t="s">
        <v>39</v>
      </c>
      <c r="K6973" t="str">
        <f>"130843"</f>
        <v>130843</v>
      </c>
    </row>
    <row r="6974" spans="1:11" x14ac:dyDescent="0.25">
      <c r="A6974">
        <v>2025</v>
      </c>
      <c r="B6974" t="s">
        <v>6277</v>
      </c>
      <c r="C6974" t="s">
        <v>6278</v>
      </c>
      <c r="D6974" t="s">
        <v>50</v>
      </c>
      <c r="E6974" t="s">
        <v>20</v>
      </c>
      <c r="F6974" t="str">
        <f>"43560-1281"</f>
        <v>43560-1281</v>
      </c>
      <c r="G6974" t="str">
        <f t="shared" si="253"/>
        <v>753658</v>
      </c>
      <c r="H6974" s="2">
        <f>20</f>
        <v>20</v>
      </c>
      <c r="I6974" t="s">
        <v>27</v>
      </c>
      <c r="J6974" t="s">
        <v>39</v>
      </c>
      <c r="K6974" t="str">
        <f>"126711"</f>
        <v>126711</v>
      </c>
    </row>
    <row r="6975" spans="1:11" x14ac:dyDescent="0.25">
      <c r="A6975">
        <v>2025</v>
      </c>
      <c r="B6975" t="s">
        <v>6281</v>
      </c>
      <c r="C6975" t="s">
        <v>6282</v>
      </c>
      <c r="D6975" t="s">
        <v>19</v>
      </c>
      <c r="E6975" t="s">
        <v>20</v>
      </c>
      <c r="F6975" t="str">
        <f>"43605-1708"</f>
        <v>43605-1708</v>
      </c>
      <c r="G6975" t="str">
        <f t="shared" si="253"/>
        <v>753658</v>
      </c>
      <c r="H6975" s="2">
        <f>20</f>
        <v>20</v>
      </c>
      <c r="I6975" t="s">
        <v>27</v>
      </c>
      <c r="J6975" t="s">
        <v>39</v>
      </c>
      <c r="K6975" t="str">
        <f>"126439"</f>
        <v>126439</v>
      </c>
    </row>
    <row r="6976" spans="1:11" x14ac:dyDescent="0.25">
      <c r="A6976">
        <v>2025</v>
      </c>
      <c r="B6976" t="s">
        <v>6297</v>
      </c>
      <c r="C6976" t="s">
        <v>6298</v>
      </c>
      <c r="D6976" t="s">
        <v>19</v>
      </c>
      <c r="E6976" t="s">
        <v>20</v>
      </c>
      <c r="F6976" t="str">
        <f>"43613-2231"</f>
        <v>43613-2231</v>
      </c>
      <c r="G6976" t="str">
        <f t="shared" si="253"/>
        <v>753658</v>
      </c>
      <c r="H6976" s="2">
        <f>10</f>
        <v>10</v>
      </c>
      <c r="I6976" t="s">
        <v>27</v>
      </c>
      <c r="J6976" t="s">
        <v>39</v>
      </c>
      <c r="K6976" t="str">
        <f>"126978"</f>
        <v>126978</v>
      </c>
    </row>
    <row r="6977" spans="1:11" x14ac:dyDescent="0.25">
      <c r="A6977">
        <v>2025</v>
      </c>
      <c r="B6977" t="s">
        <v>6309</v>
      </c>
      <c r="C6977" t="s">
        <v>6304</v>
      </c>
      <c r="D6977" t="s">
        <v>19</v>
      </c>
      <c r="E6977" t="s">
        <v>20</v>
      </c>
      <c r="F6977" t="str">
        <f>"43607-1059"</f>
        <v>43607-1059</v>
      </c>
      <c r="G6977" t="str">
        <f t="shared" si="253"/>
        <v>753658</v>
      </c>
      <c r="H6977" s="2">
        <f>10</f>
        <v>10</v>
      </c>
      <c r="I6977" t="s">
        <v>27</v>
      </c>
      <c r="J6977" t="s">
        <v>39</v>
      </c>
      <c r="K6977" t="str">
        <f>"129565"</f>
        <v>129565</v>
      </c>
    </row>
    <row r="6978" spans="1:11" x14ac:dyDescent="0.25">
      <c r="A6978">
        <v>2025</v>
      </c>
      <c r="B6978" t="s">
        <v>6310</v>
      </c>
      <c r="C6978" t="s">
        <v>6311</v>
      </c>
      <c r="D6978" t="s">
        <v>125</v>
      </c>
      <c r="E6978" t="s">
        <v>20</v>
      </c>
      <c r="F6978" t="str">
        <f>"43537-3051"</f>
        <v>43537-3051</v>
      </c>
      <c r="G6978" t="str">
        <f t="shared" si="253"/>
        <v>753658</v>
      </c>
      <c r="H6978" s="2">
        <f>10</f>
        <v>10</v>
      </c>
      <c r="I6978" t="s">
        <v>27</v>
      </c>
      <c r="J6978" t="s">
        <v>39</v>
      </c>
      <c r="K6978" t="str">
        <f>"129327"</f>
        <v>129327</v>
      </c>
    </row>
    <row r="6979" spans="1:11" x14ac:dyDescent="0.25">
      <c r="A6979">
        <v>2025</v>
      </c>
      <c r="B6979" t="s">
        <v>6312</v>
      </c>
      <c r="C6979" t="s">
        <v>6313</v>
      </c>
      <c r="D6979" t="s">
        <v>19</v>
      </c>
      <c r="E6979" t="s">
        <v>20</v>
      </c>
      <c r="F6979" t="str">
        <f>"43608-1065"</f>
        <v>43608-1065</v>
      </c>
      <c r="G6979" t="str">
        <f t="shared" si="253"/>
        <v>753658</v>
      </c>
      <c r="H6979" s="2">
        <f>10</f>
        <v>10</v>
      </c>
      <c r="I6979" t="s">
        <v>27</v>
      </c>
      <c r="J6979" t="s">
        <v>39</v>
      </c>
      <c r="K6979" t="str">
        <f>"129609"</f>
        <v>129609</v>
      </c>
    </row>
    <row r="6980" spans="1:11" x14ac:dyDescent="0.25">
      <c r="A6980">
        <v>2025</v>
      </c>
      <c r="B6980" t="s">
        <v>6371</v>
      </c>
      <c r="C6980" t="s">
        <v>6372</v>
      </c>
      <c r="D6980" t="s">
        <v>19</v>
      </c>
      <c r="E6980" t="s">
        <v>20</v>
      </c>
      <c r="F6980" t="str">
        <f>"43611-1171"</f>
        <v>43611-1171</v>
      </c>
      <c r="G6980" t="str">
        <f t="shared" si="253"/>
        <v>753658</v>
      </c>
      <c r="H6980" s="2">
        <f>10</f>
        <v>10</v>
      </c>
      <c r="I6980" t="s">
        <v>27</v>
      </c>
      <c r="J6980" t="s">
        <v>39</v>
      </c>
      <c r="K6980" t="str">
        <f>"128533"</f>
        <v>128533</v>
      </c>
    </row>
    <row r="6981" spans="1:11" x14ac:dyDescent="0.25">
      <c r="A6981">
        <v>2025</v>
      </c>
      <c r="B6981" t="s">
        <v>6377</v>
      </c>
      <c r="C6981" t="s">
        <v>6378</v>
      </c>
      <c r="D6981" t="s">
        <v>50</v>
      </c>
      <c r="E6981" t="s">
        <v>20</v>
      </c>
      <c r="F6981" t="str">
        <f>"43560-2319"</f>
        <v>43560-2319</v>
      </c>
      <c r="G6981" t="str">
        <f t="shared" si="253"/>
        <v>753658</v>
      </c>
      <c r="H6981" s="2">
        <f>10</f>
        <v>10</v>
      </c>
      <c r="I6981" t="s">
        <v>27</v>
      </c>
      <c r="J6981" t="s">
        <v>39</v>
      </c>
      <c r="K6981" t="str">
        <f>"126550"</f>
        <v>126550</v>
      </c>
    </row>
    <row r="6982" spans="1:11" x14ac:dyDescent="0.25">
      <c r="A6982">
        <v>2025</v>
      </c>
      <c r="B6982" t="s">
        <v>6386</v>
      </c>
      <c r="C6982" t="s">
        <v>6387</v>
      </c>
      <c r="D6982" t="s">
        <v>19</v>
      </c>
      <c r="E6982" t="s">
        <v>20</v>
      </c>
      <c r="F6982" t="str">
        <f>"43612-1620"</f>
        <v>43612-1620</v>
      </c>
      <c r="G6982" t="str">
        <f t="shared" si="253"/>
        <v>753658</v>
      </c>
      <c r="H6982" s="2">
        <f>80</f>
        <v>80</v>
      </c>
      <c r="I6982" t="s">
        <v>27</v>
      </c>
      <c r="J6982" t="s">
        <v>39</v>
      </c>
      <c r="K6982" t="str">
        <f>"131073"</f>
        <v>131073</v>
      </c>
    </row>
    <row r="6983" spans="1:11" x14ac:dyDescent="0.25">
      <c r="A6983">
        <v>2025</v>
      </c>
      <c r="B6983" t="s">
        <v>6394</v>
      </c>
      <c r="C6983" t="s">
        <v>6395</v>
      </c>
      <c r="D6983" t="s">
        <v>19</v>
      </c>
      <c r="E6983" t="s">
        <v>20</v>
      </c>
      <c r="F6983" t="str">
        <f>"43605-1742"</f>
        <v>43605-1742</v>
      </c>
      <c r="G6983" t="str">
        <f t="shared" si="253"/>
        <v>753658</v>
      </c>
      <c r="H6983" s="2">
        <f>10</f>
        <v>10</v>
      </c>
      <c r="I6983" t="s">
        <v>27</v>
      </c>
      <c r="J6983" t="s">
        <v>39</v>
      </c>
      <c r="K6983" t="str">
        <f>"131636"</f>
        <v>131636</v>
      </c>
    </row>
    <row r="6984" spans="1:11" x14ac:dyDescent="0.25">
      <c r="A6984">
        <v>2025</v>
      </c>
      <c r="B6984" t="s">
        <v>6396</v>
      </c>
      <c r="C6984" t="s">
        <v>6397</v>
      </c>
      <c r="D6984" t="s">
        <v>19</v>
      </c>
      <c r="E6984" t="s">
        <v>20</v>
      </c>
      <c r="F6984" t="str">
        <f>"43607-2621"</f>
        <v>43607-2621</v>
      </c>
      <c r="G6984" t="str">
        <f t="shared" si="253"/>
        <v>753658</v>
      </c>
      <c r="H6984" s="2">
        <f>10</f>
        <v>10</v>
      </c>
      <c r="I6984" t="s">
        <v>27</v>
      </c>
      <c r="J6984" t="s">
        <v>39</v>
      </c>
      <c r="K6984" t="str">
        <f>"129403"</f>
        <v>129403</v>
      </c>
    </row>
    <row r="6985" spans="1:11" x14ac:dyDescent="0.25">
      <c r="A6985">
        <v>2025</v>
      </c>
      <c r="B6985" t="s">
        <v>6400</v>
      </c>
      <c r="C6985" t="s">
        <v>6401</v>
      </c>
      <c r="D6985" t="s">
        <v>64</v>
      </c>
      <c r="E6985" t="s">
        <v>20</v>
      </c>
      <c r="F6985" t="str">
        <f>"43566-8605"</f>
        <v>43566-8605</v>
      </c>
      <c r="G6985" t="str">
        <f t="shared" si="253"/>
        <v>753658</v>
      </c>
      <c r="H6985" s="2">
        <f>10</f>
        <v>10</v>
      </c>
      <c r="I6985" t="s">
        <v>27</v>
      </c>
      <c r="J6985" t="s">
        <v>39</v>
      </c>
      <c r="K6985" t="str">
        <f>"129352"</f>
        <v>129352</v>
      </c>
    </row>
    <row r="6986" spans="1:11" x14ac:dyDescent="0.25">
      <c r="A6986">
        <v>2025</v>
      </c>
      <c r="B6986" t="s">
        <v>6404</v>
      </c>
      <c r="C6986" t="s">
        <v>6405</v>
      </c>
      <c r="D6986" t="s">
        <v>19</v>
      </c>
      <c r="E6986" t="s">
        <v>20</v>
      </c>
      <c r="F6986" t="str">
        <f>"43614-2929"</f>
        <v>43614-2929</v>
      </c>
      <c r="G6986" t="str">
        <f t="shared" si="253"/>
        <v>753658</v>
      </c>
      <c r="H6986" s="2">
        <f>10</f>
        <v>10</v>
      </c>
      <c r="I6986" t="s">
        <v>27</v>
      </c>
      <c r="J6986" t="s">
        <v>39</v>
      </c>
      <c r="K6986" t="str">
        <f>"125554"</f>
        <v>125554</v>
      </c>
    </row>
    <row r="6987" spans="1:11" x14ac:dyDescent="0.25">
      <c r="A6987">
        <v>2025</v>
      </c>
      <c r="B6987" t="s">
        <v>6410</v>
      </c>
      <c r="C6987" t="s">
        <v>6411</v>
      </c>
      <c r="D6987" t="s">
        <v>19</v>
      </c>
      <c r="E6987" t="s">
        <v>20</v>
      </c>
      <c r="F6987" t="str">
        <f>"43605-3553"</f>
        <v>43605-3553</v>
      </c>
      <c r="G6987" t="str">
        <f t="shared" si="253"/>
        <v>753658</v>
      </c>
      <c r="H6987" s="2">
        <f>10</f>
        <v>10</v>
      </c>
      <c r="I6987" t="s">
        <v>27</v>
      </c>
      <c r="J6987" t="s">
        <v>39</v>
      </c>
      <c r="K6987" t="str">
        <f>"131650"</f>
        <v>131650</v>
      </c>
    </row>
    <row r="6988" spans="1:11" x14ac:dyDescent="0.25">
      <c r="A6988">
        <v>2025</v>
      </c>
      <c r="B6988" t="s">
        <v>6418</v>
      </c>
      <c r="C6988" t="s">
        <v>6419</v>
      </c>
      <c r="D6988" t="s">
        <v>19</v>
      </c>
      <c r="E6988" t="s">
        <v>20</v>
      </c>
      <c r="F6988" t="str">
        <f>"43611"</f>
        <v>43611</v>
      </c>
      <c r="G6988" t="str">
        <f t="shared" si="253"/>
        <v>753658</v>
      </c>
      <c r="H6988" s="2">
        <f>20</f>
        <v>20</v>
      </c>
      <c r="I6988" t="s">
        <v>27</v>
      </c>
      <c r="J6988" t="s">
        <v>39</v>
      </c>
      <c r="K6988" t="str">
        <f>"128421"</f>
        <v>128421</v>
      </c>
    </row>
    <row r="6989" spans="1:11" x14ac:dyDescent="0.25">
      <c r="A6989">
        <v>2025</v>
      </c>
      <c r="B6989" t="s">
        <v>6420</v>
      </c>
      <c r="C6989" t="s">
        <v>6421</v>
      </c>
      <c r="D6989" t="s">
        <v>19</v>
      </c>
      <c r="E6989" t="s">
        <v>20</v>
      </c>
      <c r="F6989" t="str">
        <f>"43611-2127"</f>
        <v>43611-2127</v>
      </c>
      <c r="G6989" t="str">
        <f t="shared" si="253"/>
        <v>753658</v>
      </c>
      <c r="H6989" s="2">
        <f>30</f>
        <v>30</v>
      </c>
      <c r="I6989" t="s">
        <v>27</v>
      </c>
      <c r="J6989" t="s">
        <v>39</v>
      </c>
      <c r="K6989" t="str">
        <f>"125413"</f>
        <v>125413</v>
      </c>
    </row>
    <row r="6990" spans="1:11" x14ac:dyDescent="0.25">
      <c r="A6990">
        <v>2025</v>
      </c>
      <c r="B6990" t="s">
        <v>6422</v>
      </c>
      <c r="C6990" t="s">
        <v>6423</v>
      </c>
      <c r="D6990" t="s">
        <v>19</v>
      </c>
      <c r="E6990" t="s">
        <v>20</v>
      </c>
      <c r="F6990" t="str">
        <f>"43614-2621"</f>
        <v>43614-2621</v>
      </c>
      <c r="G6990" t="str">
        <f t="shared" si="253"/>
        <v>753658</v>
      </c>
      <c r="H6990" s="2">
        <f>10</f>
        <v>10</v>
      </c>
      <c r="I6990" t="s">
        <v>27</v>
      </c>
      <c r="J6990" t="s">
        <v>39</v>
      </c>
      <c r="K6990" t="str">
        <f>"131894"</f>
        <v>131894</v>
      </c>
    </row>
    <row r="6991" spans="1:11" x14ac:dyDescent="0.25">
      <c r="A6991">
        <v>2025</v>
      </c>
      <c r="B6991" t="s">
        <v>6424</v>
      </c>
      <c r="C6991" t="s">
        <v>6425</v>
      </c>
      <c r="D6991" t="s">
        <v>125</v>
      </c>
      <c r="E6991" t="s">
        <v>20</v>
      </c>
      <c r="F6991" t="str">
        <f>"43537-3701"</f>
        <v>43537-3701</v>
      </c>
      <c r="G6991" t="str">
        <f t="shared" si="253"/>
        <v>753658</v>
      </c>
      <c r="H6991" s="2">
        <f>10</f>
        <v>10</v>
      </c>
      <c r="I6991" t="s">
        <v>27</v>
      </c>
      <c r="J6991" t="s">
        <v>39</v>
      </c>
      <c r="K6991" t="str">
        <f>"127936"</f>
        <v>127936</v>
      </c>
    </row>
    <row r="6992" spans="1:11" x14ac:dyDescent="0.25">
      <c r="A6992">
        <v>2025</v>
      </c>
      <c r="B6992" t="s">
        <v>6438</v>
      </c>
      <c r="C6992" t="s">
        <v>6439</v>
      </c>
      <c r="D6992" t="s">
        <v>105</v>
      </c>
      <c r="E6992" t="s">
        <v>20</v>
      </c>
      <c r="F6992" t="str">
        <f>"43528"</f>
        <v>43528</v>
      </c>
      <c r="G6992" t="str">
        <f t="shared" si="253"/>
        <v>753658</v>
      </c>
      <c r="H6992" s="2">
        <f>20</f>
        <v>20</v>
      </c>
      <c r="I6992" t="s">
        <v>27</v>
      </c>
      <c r="J6992" t="s">
        <v>39</v>
      </c>
      <c r="K6992" t="str">
        <f>"125290"</f>
        <v>125290</v>
      </c>
    </row>
    <row r="6993" spans="1:11" x14ac:dyDescent="0.25">
      <c r="A6993">
        <v>2025</v>
      </c>
      <c r="B6993" t="s">
        <v>6442</v>
      </c>
      <c r="C6993" t="s">
        <v>6443</v>
      </c>
      <c r="D6993" t="s">
        <v>105</v>
      </c>
      <c r="E6993" t="s">
        <v>20</v>
      </c>
      <c r="F6993" t="str">
        <f>"43528-8200"</f>
        <v>43528-8200</v>
      </c>
      <c r="G6993" t="str">
        <f t="shared" si="253"/>
        <v>753658</v>
      </c>
      <c r="H6993" s="2">
        <f>20</f>
        <v>20</v>
      </c>
      <c r="I6993" t="s">
        <v>27</v>
      </c>
      <c r="J6993" t="s">
        <v>39</v>
      </c>
      <c r="K6993" t="str">
        <f>"125947"</f>
        <v>125947</v>
      </c>
    </row>
    <row r="6994" spans="1:11" x14ac:dyDescent="0.25">
      <c r="A6994">
        <v>2025</v>
      </c>
      <c r="B6994" t="s">
        <v>6446</v>
      </c>
      <c r="C6994" t="s">
        <v>6447</v>
      </c>
      <c r="D6994" t="s">
        <v>19</v>
      </c>
      <c r="E6994" t="s">
        <v>20</v>
      </c>
      <c r="F6994" t="str">
        <f>"43615-5936"</f>
        <v>43615-5936</v>
      </c>
      <c r="G6994" t="str">
        <f t="shared" si="253"/>
        <v>753658</v>
      </c>
      <c r="H6994" s="2">
        <f>10</f>
        <v>10</v>
      </c>
      <c r="I6994" t="s">
        <v>27</v>
      </c>
      <c r="J6994" t="s">
        <v>39</v>
      </c>
      <c r="K6994" t="str">
        <f>"125850"</f>
        <v>125850</v>
      </c>
    </row>
    <row r="6995" spans="1:11" x14ac:dyDescent="0.25">
      <c r="A6995">
        <v>2025</v>
      </c>
      <c r="B6995" t="s">
        <v>6448</v>
      </c>
      <c r="C6995" t="s">
        <v>6449</v>
      </c>
      <c r="D6995" t="s">
        <v>497</v>
      </c>
      <c r="E6995" t="s">
        <v>20</v>
      </c>
      <c r="F6995" t="str">
        <f>"43606"</f>
        <v>43606</v>
      </c>
      <c r="G6995" t="str">
        <f>"772209"</f>
        <v>772209</v>
      </c>
      <c r="H6995" s="2">
        <f>6600.75</f>
        <v>6600.75</v>
      </c>
      <c r="I6995" t="s">
        <v>27</v>
      </c>
      <c r="J6995" t="s">
        <v>691</v>
      </c>
      <c r="K6995" t="str">
        <f>"N/A"</f>
        <v>N/A</v>
      </c>
    </row>
    <row r="6996" spans="1:11" x14ac:dyDescent="0.25">
      <c r="A6996">
        <v>2025</v>
      </c>
      <c r="B6996" t="s">
        <v>6467</v>
      </c>
      <c r="C6996" t="s">
        <v>6468</v>
      </c>
      <c r="D6996" t="s">
        <v>6469</v>
      </c>
      <c r="E6996" t="s">
        <v>462</v>
      </c>
      <c r="F6996" t="str">
        <f>"32563"</f>
        <v>32563</v>
      </c>
      <c r="G6996" t="str">
        <f>"751641"</f>
        <v>751641</v>
      </c>
      <c r="H6996" s="2">
        <f>1</f>
        <v>1</v>
      </c>
      <c r="I6996" t="s">
        <v>27</v>
      </c>
      <c r="J6996" t="s">
        <v>219</v>
      </c>
      <c r="K6996" t="str">
        <f>"33013176"</f>
        <v>33013176</v>
      </c>
    </row>
    <row r="6997" spans="1:11" x14ac:dyDescent="0.25">
      <c r="A6997">
        <v>2025</v>
      </c>
      <c r="B6997" t="s">
        <v>6476</v>
      </c>
      <c r="C6997" t="s">
        <v>6477</v>
      </c>
      <c r="D6997" t="s">
        <v>19</v>
      </c>
      <c r="E6997" t="s">
        <v>20</v>
      </c>
      <c r="F6997" t="str">
        <f>"43615"</f>
        <v>43615</v>
      </c>
      <c r="G6997" t="str">
        <f>"759797"</f>
        <v>759797</v>
      </c>
      <c r="H6997" s="2">
        <f>7973.63</f>
        <v>7973.63</v>
      </c>
      <c r="I6997" t="s">
        <v>27</v>
      </c>
      <c r="J6997" t="s">
        <v>239</v>
      </c>
      <c r="K6997" t="str">
        <f>"N/A"</f>
        <v>N/A</v>
      </c>
    </row>
    <row r="6998" spans="1:11" x14ac:dyDescent="0.25">
      <c r="A6998">
        <v>2025</v>
      </c>
      <c r="B6998" t="s">
        <v>6493</v>
      </c>
      <c r="C6998" t="s">
        <v>6492</v>
      </c>
      <c r="D6998" t="s">
        <v>125</v>
      </c>
      <c r="E6998" t="s">
        <v>20</v>
      </c>
      <c r="F6998" t="str">
        <f>"43537-9703"</f>
        <v>43537-9703</v>
      </c>
      <c r="G6998" t="str">
        <f t="shared" ref="G6998:G7009" si="254">"753658"</f>
        <v>753658</v>
      </c>
      <c r="H6998" s="2">
        <f>10</f>
        <v>10</v>
      </c>
      <c r="I6998" t="s">
        <v>27</v>
      </c>
      <c r="J6998" t="s">
        <v>39</v>
      </c>
      <c r="K6998" t="str">
        <f>"126077"</f>
        <v>126077</v>
      </c>
    </row>
    <row r="6999" spans="1:11" x14ac:dyDescent="0.25">
      <c r="A6999">
        <v>2025</v>
      </c>
      <c r="B6999" t="s">
        <v>6503</v>
      </c>
      <c r="C6999" t="s">
        <v>6504</v>
      </c>
      <c r="D6999" t="s">
        <v>105</v>
      </c>
      <c r="E6999" t="s">
        <v>20</v>
      </c>
      <c r="F6999" t="str">
        <f>"43528-9574"</f>
        <v>43528-9574</v>
      </c>
      <c r="G6999" t="str">
        <f t="shared" si="254"/>
        <v>753658</v>
      </c>
      <c r="H6999" s="2">
        <f>30</f>
        <v>30</v>
      </c>
      <c r="I6999" t="s">
        <v>27</v>
      </c>
      <c r="J6999" t="s">
        <v>39</v>
      </c>
      <c r="K6999" t="str">
        <f>"126700"</f>
        <v>126700</v>
      </c>
    </row>
    <row r="7000" spans="1:11" x14ac:dyDescent="0.25">
      <c r="A7000">
        <v>2025</v>
      </c>
      <c r="B7000" t="s">
        <v>6505</v>
      </c>
      <c r="C7000" t="s">
        <v>6506</v>
      </c>
      <c r="D7000" t="s">
        <v>50</v>
      </c>
      <c r="E7000" t="s">
        <v>20</v>
      </c>
      <c r="F7000" t="str">
        <f>"43560-9589"</f>
        <v>43560-9589</v>
      </c>
      <c r="G7000" t="str">
        <f t="shared" si="254"/>
        <v>753658</v>
      </c>
      <c r="H7000" s="2">
        <f>100</f>
        <v>100</v>
      </c>
      <c r="I7000" t="s">
        <v>27</v>
      </c>
      <c r="J7000" t="s">
        <v>39</v>
      </c>
      <c r="K7000" t="str">
        <f>"132030"</f>
        <v>132030</v>
      </c>
    </row>
    <row r="7001" spans="1:11" x14ac:dyDescent="0.25">
      <c r="A7001">
        <v>2025</v>
      </c>
      <c r="B7001" t="s">
        <v>6507</v>
      </c>
      <c r="C7001" t="s">
        <v>6508</v>
      </c>
      <c r="D7001" t="s">
        <v>19</v>
      </c>
      <c r="E7001" t="s">
        <v>20</v>
      </c>
      <c r="F7001" t="str">
        <f>"43614-4132"</f>
        <v>43614-4132</v>
      </c>
      <c r="G7001" t="str">
        <f t="shared" si="254"/>
        <v>753658</v>
      </c>
      <c r="H7001" s="2">
        <f>80</f>
        <v>80</v>
      </c>
      <c r="I7001" t="s">
        <v>27</v>
      </c>
      <c r="J7001" t="s">
        <v>39</v>
      </c>
      <c r="K7001" t="str">
        <f>"126879"</f>
        <v>126879</v>
      </c>
    </row>
    <row r="7002" spans="1:11" x14ac:dyDescent="0.25">
      <c r="A7002">
        <v>2025</v>
      </c>
      <c r="B7002" t="s">
        <v>6515</v>
      </c>
      <c r="C7002" t="s">
        <v>6516</v>
      </c>
      <c r="D7002" t="s">
        <v>19</v>
      </c>
      <c r="E7002" t="s">
        <v>20</v>
      </c>
      <c r="F7002" t="str">
        <f>"43613-3958"</f>
        <v>43613-3958</v>
      </c>
      <c r="G7002" t="str">
        <f t="shared" si="254"/>
        <v>753658</v>
      </c>
      <c r="H7002" s="2">
        <f>10</f>
        <v>10</v>
      </c>
      <c r="I7002" t="s">
        <v>27</v>
      </c>
      <c r="J7002" t="s">
        <v>39</v>
      </c>
      <c r="K7002" t="str">
        <f>"126242"</f>
        <v>126242</v>
      </c>
    </row>
    <row r="7003" spans="1:11" x14ac:dyDescent="0.25">
      <c r="A7003">
        <v>2025</v>
      </c>
      <c r="B7003" t="s">
        <v>6523</v>
      </c>
      <c r="C7003" t="s">
        <v>6524</v>
      </c>
      <c r="D7003" t="s">
        <v>64</v>
      </c>
      <c r="E7003" t="s">
        <v>20</v>
      </c>
      <c r="F7003" t="str">
        <f>"43566-1702"</f>
        <v>43566-1702</v>
      </c>
      <c r="G7003" t="str">
        <f t="shared" si="254"/>
        <v>753658</v>
      </c>
      <c r="H7003" s="2">
        <f>60</f>
        <v>60</v>
      </c>
      <c r="I7003" t="s">
        <v>27</v>
      </c>
      <c r="J7003" t="s">
        <v>39</v>
      </c>
      <c r="K7003" t="str">
        <f>"129030"</f>
        <v>129030</v>
      </c>
    </row>
    <row r="7004" spans="1:11" x14ac:dyDescent="0.25">
      <c r="A7004">
        <v>2025</v>
      </c>
      <c r="B7004" t="s">
        <v>6533</v>
      </c>
      <c r="C7004" t="s">
        <v>6534</v>
      </c>
      <c r="D7004" t="s">
        <v>58</v>
      </c>
      <c r="E7004" t="s">
        <v>20</v>
      </c>
      <c r="F7004" t="str">
        <f>"43616-4479"</f>
        <v>43616-4479</v>
      </c>
      <c r="G7004" t="str">
        <f t="shared" si="254"/>
        <v>753658</v>
      </c>
      <c r="H7004" s="2">
        <f>10</f>
        <v>10</v>
      </c>
      <c r="I7004" t="s">
        <v>27</v>
      </c>
      <c r="J7004" t="s">
        <v>39</v>
      </c>
      <c r="K7004" t="str">
        <f>"128280"</f>
        <v>128280</v>
      </c>
    </row>
    <row r="7005" spans="1:11" x14ac:dyDescent="0.25">
      <c r="A7005">
        <v>2025</v>
      </c>
      <c r="B7005" t="s">
        <v>6543</v>
      </c>
      <c r="C7005" t="s">
        <v>6544</v>
      </c>
      <c r="D7005" t="s">
        <v>19</v>
      </c>
      <c r="E7005" t="s">
        <v>20</v>
      </c>
      <c r="F7005" t="str">
        <f>"43623-2516"</f>
        <v>43623-2516</v>
      </c>
      <c r="G7005" t="str">
        <f t="shared" si="254"/>
        <v>753658</v>
      </c>
      <c r="H7005" s="2">
        <f>20</f>
        <v>20</v>
      </c>
      <c r="I7005" t="s">
        <v>27</v>
      </c>
      <c r="J7005" t="s">
        <v>39</v>
      </c>
      <c r="K7005" t="str">
        <f>"127032"</f>
        <v>127032</v>
      </c>
    </row>
    <row r="7006" spans="1:11" x14ac:dyDescent="0.25">
      <c r="A7006">
        <v>2025</v>
      </c>
      <c r="B7006" t="s">
        <v>6545</v>
      </c>
      <c r="C7006" t="s">
        <v>6546</v>
      </c>
      <c r="D7006" t="s">
        <v>19</v>
      </c>
      <c r="E7006" t="s">
        <v>20</v>
      </c>
      <c r="F7006" t="str">
        <f>"43614-5272"</f>
        <v>43614-5272</v>
      </c>
      <c r="G7006" t="str">
        <f t="shared" si="254"/>
        <v>753658</v>
      </c>
      <c r="H7006" s="2">
        <f>100</f>
        <v>100</v>
      </c>
      <c r="I7006" t="s">
        <v>27</v>
      </c>
      <c r="J7006" t="s">
        <v>39</v>
      </c>
      <c r="K7006" t="str">
        <f>"127551"</f>
        <v>127551</v>
      </c>
    </row>
    <row r="7007" spans="1:11" x14ac:dyDescent="0.25">
      <c r="A7007">
        <v>2025</v>
      </c>
      <c r="B7007" t="s">
        <v>6547</v>
      </c>
      <c r="C7007" t="s">
        <v>6548</v>
      </c>
      <c r="D7007" t="s">
        <v>58</v>
      </c>
      <c r="E7007" t="s">
        <v>20</v>
      </c>
      <c r="F7007" t="str">
        <f>"43616-4467"</f>
        <v>43616-4467</v>
      </c>
      <c r="G7007" t="str">
        <f t="shared" si="254"/>
        <v>753658</v>
      </c>
      <c r="H7007" s="2">
        <f>10</f>
        <v>10</v>
      </c>
      <c r="I7007" t="s">
        <v>27</v>
      </c>
      <c r="J7007" t="s">
        <v>39</v>
      </c>
      <c r="K7007" t="str">
        <f>"126269"</f>
        <v>126269</v>
      </c>
    </row>
    <row r="7008" spans="1:11" x14ac:dyDescent="0.25">
      <c r="A7008">
        <v>2025</v>
      </c>
      <c r="B7008" t="s">
        <v>6573</v>
      </c>
      <c r="C7008" t="s">
        <v>6574</v>
      </c>
      <c r="D7008" t="s">
        <v>125</v>
      </c>
      <c r="E7008" t="s">
        <v>20</v>
      </c>
      <c r="F7008" t="str">
        <f>"43537-9214"</f>
        <v>43537-9214</v>
      </c>
      <c r="G7008" t="str">
        <f t="shared" si="254"/>
        <v>753658</v>
      </c>
      <c r="H7008" s="2">
        <f>60</f>
        <v>60</v>
      </c>
      <c r="I7008" t="s">
        <v>27</v>
      </c>
      <c r="J7008" t="s">
        <v>39</v>
      </c>
      <c r="K7008" t="str">
        <f>"125900"</f>
        <v>125900</v>
      </c>
    </row>
    <row r="7009" spans="1:11" x14ac:dyDescent="0.25">
      <c r="A7009">
        <v>2025</v>
      </c>
      <c r="B7009" t="s">
        <v>6585</v>
      </c>
      <c r="C7009" t="s">
        <v>6586</v>
      </c>
      <c r="D7009" t="s">
        <v>19</v>
      </c>
      <c r="E7009" t="s">
        <v>20</v>
      </c>
      <c r="F7009" t="str">
        <f>"43613"</f>
        <v>43613</v>
      </c>
      <c r="G7009" t="str">
        <f t="shared" si="254"/>
        <v>753658</v>
      </c>
      <c r="H7009" s="2">
        <f>10</f>
        <v>10</v>
      </c>
      <c r="I7009" t="s">
        <v>27</v>
      </c>
      <c r="J7009" t="s">
        <v>39</v>
      </c>
      <c r="K7009" t="str">
        <f>"128810"</f>
        <v>128810</v>
      </c>
    </row>
    <row r="7010" spans="1:11" x14ac:dyDescent="0.25">
      <c r="A7010">
        <v>2025</v>
      </c>
      <c r="B7010" t="s">
        <v>6593</v>
      </c>
      <c r="C7010" t="s">
        <v>6594</v>
      </c>
      <c r="D7010" t="s">
        <v>111</v>
      </c>
      <c r="E7010" t="s">
        <v>20</v>
      </c>
      <c r="F7010" t="str">
        <f>"43220"</f>
        <v>43220</v>
      </c>
      <c r="G7010" t="str">
        <f>"759796"</f>
        <v>759796</v>
      </c>
      <c r="H7010" s="2">
        <f>36.5</f>
        <v>36.5</v>
      </c>
      <c r="I7010" t="s">
        <v>27</v>
      </c>
      <c r="J7010" t="s">
        <v>188</v>
      </c>
      <c r="K7010" t="str">
        <f>"45402"</f>
        <v>45402</v>
      </c>
    </row>
    <row r="7011" spans="1:11" x14ac:dyDescent="0.25">
      <c r="A7011">
        <v>2025</v>
      </c>
      <c r="B7011" t="s">
        <v>6593</v>
      </c>
      <c r="C7011" t="s">
        <v>6594</v>
      </c>
      <c r="D7011" t="s">
        <v>111</v>
      </c>
      <c r="E7011" t="s">
        <v>20</v>
      </c>
      <c r="F7011" t="str">
        <f>"43220"</f>
        <v>43220</v>
      </c>
      <c r="G7011" t="str">
        <f>"759796"</f>
        <v>759796</v>
      </c>
      <c r="H7011" s="2">
        <f>16.75</f>
        <v>16.75</v>
      </c>
      <c r="I7011" t="s">
        <v>27</v>
      </c>
      <c r="J7011" t="s">
        <v>188</v>
      </c>
      <c r="K7011" t="str">
        <f>"44216"</f>
        <v>44216</v>
      </c>
    </row>
    <row r="7012" spans="1:11" x14ac:dyDescent="0.25">
      <c r="A7012">
        <v>2025</v>
      </c>
      <c r="B7012" t="s">
        <v>6602</v>
      </c>
      <c r="C7012" t="s">
        <v>6603</v>
      </c>
      <c r="D7012" t="s">
        <v>19</v>
      </c>
      <c r="E7012" t="s">
        <v>20</v>
      </c>
      <c r="F7012" t="str">
        <f>"43615-2557"</f>
        <v>43615-2557</v>
      </c>
      <c r="G7012" t="str">
        <f>"753658"</f>
        <v>753658</v>
      </c>
      <c r="H7012" s="2">
        <f>10</f>
        <v>10</v>
      </c>
      <c r="I7012" t="s">
        <v>27</v>
      </c>
      <c r="J7012" t="s">
        <v>39</v>
      </c>
      <c r="K7012" t="str">
        <f>"126519"</f>
        <v>126519</v>
      </c>
    </row>
    <row r="7013" spans="1:11" x14ac:dyDescent="0.25">
      <c r="A7013">
        <v>2025</v>
      </c>
      <c r="B7013" t="s">
        <v>6604</v>
      </c>
      <c r="C7013" t="s">
        <v>6605</v>
      </c>
      <c r="D7013" t="s">
        <v>58</v>
      </c>
      <c r="E7013" t="s">
        <v>20</v>
      </c>
      <c r="F7013" t="str">
        <f>"43616"</f>
        <v>43616</v>
      </c>
      <c r="G7013" t="str">
        <f>"Je04082025"</f>
        <v>Je04082025</v>
      </c>
      <c r="H7013" s="2">
        <f>75</f>
        <v>75</v>
      </c>
      <c r="I7013" t="s">
        <v>15</v>
      </c>
      <c r="J7013" t="s">
        <v>24</v>
      </c>
      <c r="K7013" t="str">
        <f>"60145154"</f>
        <v>60145154</v>
      </c>
    </row>
    <row r="7014" spans="1:11" x14ac:dyDescent="0.25">
      <c r="A7014">
        <v>2025</v>
      </c>
      <c r="B7014" t="s">
        <v>6613</v>
      </c>
      <c r="C7014" t="s">
        <v>6614</v>
      </c>
      <c r="D7014" t="s">
        <v>19</v>
      </c>
      <c r="E7014" t="s">
        <v>20</v>
      </c>
      <c r="F7014" t="str">
        <f>"43609"</f>
        <v>43609</v>
      </c>
      <c r="G7014" t="str">
        <f t="shared" ref="G7014:G7026" si="255">"753658"</f>
        <v>753658</v>
      </c>
      <c r="H7014" s="2">
        <f>30</f>
        <v>30</v>
      </c>
      <c r="I7014" t="s">
        <v>27</v>
      </c>
      <c r="J7014" t="s">
        <v>39</v>
      </c>
      <c r="K7014" t="str">
        <f>"126913"</f>
        <v>126913</v>
      </c>
    </row>
    <row r="7015" spans="1:11" x14ac:dyDescent="0.25">
      <c r="A7015">
        <v>2025</v>
      </c>
      <c r="B7015" t="s">
        <v>6628</v>
      </c>
      <c r="C7015" t="s">
        <v>6629</v>
      </c>
      <c r="D7015" t="s">
        <v>19</v>
      </c>
      <c r="E7015" t="s">
        <v>20</v>
      </c>
      <c r="F7015" t="str">
        <f>"43615"</f>
        <v>43615</v>
      </c>
      <c r="G7015" t="str">
        <f t="shared" si="255"/>
        <v>753658</v>
      </c>
      <c r="H7015" s="2">
        <f>10</f>
        <v>10</v>
      </c>
      <c r="I7015" t="s">
        <v>27</v>
      </c>
      <c r="J7015" t="s">
        <v>39</v>
      </c>
      <c r="K7015" t="str">
        <f>"127544"</f>
        <v>127544</v>
      </c>
    </row>
    <row r="7016" spans="1:11" x14ac:dyDescent="0.25">
      <c r="A7016">
        <v>2025</v>
      </c>
      <c r="B7016" t="s">
        <v>6632</v>
      </c>
      <c r="C7016" t="s">
        <v>6633</v>
      </c>
      <c r="D7016" t="s">
        <v>19</v>
      </c>
      <c r="E7016" t="s">
        <v>20</v>
      </c>
      <c r="F7016" t="str">
        <f>"43623-1563"</f>
        <v>43623-1563</v>
      </c>
      <c r="G7016" t="str">
        <f t="shared" si="255"/>
        <v>753658</v>
      </c>
      <c r="H7016" s="2">
        <f>40</f>
        <v>40</v>
      </c>
      <c r="I7016" t="s">
        <v>27</v>
      </c>
      <c r="J7016" t="s">
        <v>39</v>
      </c>
      <c r="K7016" t="str">
        <f>"129380"</f>
        <v>129380</v>
      </c>
    </row>
    <row r="7017" spans="1:11" x14ac:dyDescent="0.25">
      <c r="A7017">
        <v>2025</v>
      </c>
      <c r="B7017" t="s">
        <v>6632</v>
      </c>
      <c r="C7017" t="s">
        <v>6633</v>
      </c>
      <c r="D7017" t="s">
        <v>19</v>
      </c>
      <c r="E7017" t="s">
        <v>20</v>
      </c>
      <c r="F7017" t="str">
        <f>"43623-1563"</f>
        <v>43623-1563</v>
      </c>
      <c r="G7017" t="str">
        <f t="shared" si="255"/>
        <v>753658</v>
      </c>
      <c r="H7017" s="2">
        <f>40</f>
        <v>40</v>
      </c>
      <c r="I7017" t="s">
        <v>27</v>
      </c>
      <c r="J7017" t="s">
        <v>39</v>
      </c>
      <c r="K7017" t="str">
        <f>"129517"</f>
        <v>129517</v>
      </c>
    </row>
    <row r="7018" spans="1:11" x14ac:dyDescent="0.25">
      <c r="A7018">
        <v>2025</v>
      </c>
      <c r="B7018" t="s">
        <v>6642</v>
      </c>
      <c r="C7018" t="s">
        <v>6643</v>
      </c>
      <c r="D7018" t="s">
        <v>58</v>
      </c>
      <c r="E7018" t="s">
        <v>20</v>
      </c>
      <c r="F7018" t="str">
        <f>"43616-2611"</f>
        <v>43616-2611</v>
      </c>
      <c r="G7018" t="str">
        <f t="shared" si="255"/>
        <v>753658</v>
      </c>
      <c r="H7018" s="2">
        <f>30</f>
        <v>30</v>
      </c>
      <c r="I7018" t="s">
        <v>27</v>
      </c>
      <c r="J7018" t="s">
        <v>39</v>
      </c>
      <c r="K7018" t="str">
        <f>"128287"</f>
        <v>128287</v>
      </c>
    </row>
    <row r="7019" spans="1:11" x14ac:dyDescent="0.25">
      <c r="A7019">
        <v>2025</v>
      </c>
      <c r="B7019" t="s">
        <v>6662</v>
      </c>
      <c r="C7019" t="s">
        <v>6663</v>
      </c>
      <c r="D7019" t="s">
        <v>125</v>
      </c>
      <c r="E7019" t="s">
        <v>20</v>
      </c>
      <c r="F7019" t="str">
        <f>"43537-3058"</f>
        <v>43537-3058</v>
      </c>
      <c r="G7019" t="str">
        <f t="shared" si="255"/>
        <v>753658</v>
      </c>
      <c r="H7019" s="2">
        <f>10</f>
        <v>10</v>
      </c>
      <c r="I7019" t="s">
        <v>27</v>
      </c>
      <c r="J7019" t="s">
        <v>39</v>
      </c>
      <c r="K7019" t="str">
        <f>"131088"</f>
        <v>131088</v>
      </c>
    </row>
    <row r="7020" spans="1:11" x14ac:dyDescent="0.25">
      <c r="A7020">
        <v>2025</v>
      </c>
      <c r="B7020" t="s">
        <v>6664</v>
      </c>
      <c r="C7020" t="s">
        <v>6665</v>
      </c>
      <c r="D7020" t="s">
        <v>19</v>
      </c>
      <c r="E7020" t="s">
        <v>20</v>
      </c>
      <c r="F7020" t="str">
        <f>"43606-6606"</f>
        <v>43606-6606</v>
      </c>
      <c r="G7020" t="str">
        <f t="shared" si="255"/>
        <v>753658</v>
      </c>
      <c r="H7020" s="2">
        <f>20</f>
        <v>20</v>
      </c>
      <c r="I7020" t="s">
        <v>27</v>
      </c>
      <c r="J7020" t="s">
        <v>39</v>
      </c>
      <c r="K7020" t="str">
        <f>"126497"</f>
        <v>126497</v>
      </c>
    </row>
    <row r="7021" spans="1:11" x14ac:dyDescent="0.25">
      <c r="A7021">
        <v>2025</v>
      </c>
      <c r="B7021" t="s">
        <v>6673</v>
      </c>
      <c r="C7021" t="s">
        <v>6674</v>
      </c>
      <c r="D7021" t="s">
        <v>19</v>
      </c>
      <c r="E7021" t="s">
        <v>20</v>
      </c>
      <c r="F7021" t="str">
        <f>"43614-5119"</f>
        <v>43614-5119</v>
      </c>
      <c r="G7021" t="str">
        <f t="shared" si="255"/>
        <v>753658</v>
      </c>
      <c r="H7021" s="2">
        <f>10</f>
        <v>10</v>
      </c>
      <c r="I7021" t="s">
        <v>27</v>
      </c>
      <c r="J7021" t="s">
        <v>39</v>
      </c>
      <c r="K7021" t="str">
        <f>"127062"</f>
        <v>127062</v>
      </c>
    </row>
    <row r="7022" spans="1:11" x14ac:dyDescent="0.25">
      <c r="A7022">
        <v>2025</v>
      </c>
      <c r="B7022" t="s">
        <v>6675</v>
      </c>
      <c r="C7022" t="s">
        <v>6676</v>
      </c>
      <c r="D7022" t="s">
        <v>19</v>
      </c>
      <c r="E7022" t="s">
        <v>20</v>
      </c>
      <c r="F7022" t="str">
        <f>"43615-3433"</f>
        <v>43615-3433</v>
      </c>
      <c r="G7022" t="str">
        <f t="shared" si="255"/>
        <v>753658</v>
      </c>
      <c r="H7022" s="2">
        <f>20</f>
        <v>20</v>
      </c>
      <c r="I7022" t="s">
        <v>27</v>
      </c>
      <c r="J7022" t="s">
        <v>39</v>
      </c>
      <c r="K7022" t="str">
        <f>"128371"</f>
        <v>128371</v>
      </c>
    </row>
    <row r="7023" spans="1:11" x14ac:dyDescent="0.25">
      <c r="A7023">
        <v>2025</v>
      </c>
      <c r="B7023" t="s">
        <v>6685</v>
      </c>
      <c r="C7023" t="s">
        <v>6686</v>
      </c>
      <c r="D7023" t="s">
        <v>19</v>
      </c>
      <c r="E7023" t="s">
        <v>20</v>
      </c>
      <c r="F7023" t="str">
        <f>"43609-2470"</f>
        <v>43609-2470</v>
      </c>
      <c r="G7023" t="str">
        <f t="shared" si="255"/>
        <v>753658</v>
      </c>
      <c r="H7023" s="2">
        <f>10</f>
        <v>10</v>
      </c>
      <c r="I7023" t="s">
        <v>27</v>
      </c>
      <c r="J7023" t="s">
        <v>39</v>
      </c>
      <c r="K7023" t="str">
        <f>"125395"</f>
        <v>125395</v>
      </c>
    </row>
    <row r="7024" spans="1:11" x14ac:dyDescent="0.25">
      <c r="A7024">
        <v>2025</v>
      </c>
      <c r="B7024" t="s">
        <v>6694</v>
      </c>
      <c r="C7024" t="s">
        <v>6695</v>
      </c>
      <c r="D7024" t="s">
        <v>19</v>
      </c>
      <c r="E7024" t="s">
        <v>20</v>
      </c>
      <c r="F7024" t="str">
        <f>"43615-6735"</f>
        <v>43615-6735</v>
      </c>
      <c r="G7024" t="str">
        <f t="shared" si="255"/>
        <v>753658</v>
      </c>
      <c r="H7024" s="2">
        <f>10</f>
        <v>10</v>
      </c>
      <c r="I7024" t="s">
        <v>27</v>
      </c>
      <c r="J7024" t="s">
        <v>39</v>
      </c>
      <c r="K7024" t="str">
        <f>"126098"</f>
        <v>126098</v>
      </c>
    </row>
    <row r="7025" spans="1:11" x14ac:dyDescent="0.25">
      <c r="A7025">
        <v>2025</v>
      </c>
      <c r="B7025" t="s">
        <v>6714</v>
      </c>
      <c r="C7025" t="s">
        <v>6715</v>
      </c>
      <c r="D7025" t="s">
        <v>19</v>
      </c>
      <c r="E7025" t="s">
        <v>20</v>
      </c>
      <c r="F7025" t="str">
        <f>"43605-3538"</f>
        <v>43605-3538</v>
      </c>
      <c r="G7025" t="str">
        <f t="shared" si="255"/>
        <v>753658</v>
      </c>
      <c r="H7025" s="2">
        <f>10</f>
        <v>10</v>
      </c>
      <c r="I7025" t="s">
        <v>27</v>
      </c>
      <c r="J7025" t="s">
        <v>39</v>
      </c>
      <c r="K7025" t="str">
        <f>"128352"</f>
        <v>128352</v>
      </c>
    </row>
    <row r="7026" spans="1:11" x14ac:dyDescent="0.25">
      <c r="A7026">
        <v>2025</v>
      </c>
      <c r="B7026" t="s">
        <v>6716</v>
      </c>
      <c r="C7026" t="s">
        <v>6717</v>
      </c>
      <c r="D7026" t="s">
        <v>50</v>
      </c>
      <c r="E7026" t="s">
        <v>20</v>
      </c>
      <c r="F7026" t="str">
        <f>"43560-2943"</f>
        <v>43560-2943</v>
      </c>
      <c r="G7026" t="str">
        <f t="shared" si="255"/>
        <v>753658</v>
      </c>
      <c r="H7026" s="2">
        <f>60</f>
        <v>60</v>
      </c>
      <c r="I7026" t="s">
        <v>27</v>
      </c>
      <c r="J7026" t="s">
        <v>39</v>
      </c>
      <c r="K7026" t="str">
        <f>"131064"</f>
        <v>131064</v>
      </c>
    </row>
    <row r="7027" spans="1:11" x14ac:dyDescent="0.25">
      <c r="A7027">
        <v>2025</v>
      </c>
      <c r="B7027" t="s">
        <v>6727</v>
      </c>
      <c r="C7027" t="s">
        <v>6728</v>
      </c>
      <c r="D7027" t="s">
        <v>50</v>
      </c>
      <c r="E7027" t="s">
        <v>20</v>
      </c>
      <c r="F7027" t="str">
        <f>"43560"</f>
        <v>43560</v>
      </c>
      <c r="G7027" t="str">
        <f>"Je12092025"</f>
        <v>Je12092025</v>
      </c>
      <c r="H7027" s="2">
        <f>20</f>
        <v>20</v>
      </c>
      <c r="I7027" t="s">
        <v>15</v>
      </c>
      <c r="J7027" t="s">
        <v>909</v>
      </c>
      <c r="K7027" t="str">
        <f>"60170293"</f>
        <v>60170293</v>
      </c>
    </row>
    <row r="7028" spans="1:11" x14ac:dyDescent="0.25">
      <c r="A7028">
        <v>2025</v>
      </c>
      <c r="B7028" t="s">
        <v>6729</v>
      </c>
      <c r="C7028" t="s">
        <v>6730</v>
      </c>
      <c r="D7028" t="s">
        <v>19</v>
      </c>
      <c r="E7028" t="s">
        <v>20</v>
      </c>
      <c r="F7028" t="str">
        <f>"43612-2146"</f>
        <v>43612-2146</v>
      </c>
      <c r="G7028" t="str">
        <f>"753658"</f>
        <v>753658</v>
      </c>
      <c r="H7028" s="2">
        <f>10</f>
        <v>10</v>
      </c>
      <c r="I7028" t="s">
        <v>27</v>
      </c>
      <c r="J7028" t="s">
        <v>39</v>
      </c>
      <c r="K7028" t="str">
        <f>"128718"</f>
        <v>128718</v>
      </c>
    </row>
    <row r="7029" spans="1:11" x14ac:dyDescent="0.25">
      <c r="A7029">
        <v>2025</v>
      </c>
      <c r="B7029" t="s">
        <v>6745</v>
      </c>
      <c r="C7029" t="s">
        <v>6746</v>
      </c>
      <c r="D7029" t="s">
        <v>58</v>
      </c>
      <c r="E7029" t="s">
        <v>20</v>
      </c>
      <c r="F7029" t="str">
        <f>"43616-3827"</f>
        <v>43616-3827</v>
      </c>
      <c r="G7029" t="str">
        <f>"753658"</f>
        <v>753658</v>
      </c>
      <c r="H7029" s="2">
        <f>10</f>
        <v>10</v>
      </c>
      <c r="I7029" t="s">
        <v>27</v>
      </c>
      <c r="J7029" t="s">
        <v>39</v>
      </c>
      <c r="K7029" t="str">
        <f>"129587"</f>
        <v>129587</v>
      </c>
    </row>
    <row r="7030" spans="1:11" x14ac:dyDescent="0.25">
      <c r="A7030">
        <v>2025</v>
      </c>
      <c r="B7030" t="s">
        <v>6747</v>
      </c>
      <c r="C7030" t="s">
        <v>6748</v>
      </c>
      <c r="D7030" t="s">
        <v>19</v>
      </c>
      <c r="E7030" t="s">
        <v>20</v>
      </c>
      <c r="F7030" t="str">
        <f>"43615"</f>
        <v>43615</v>
      </c>
      <c r="G7030" t="str">
        <f>"759797"</f>
        <v>759797</v>
      </c>
      <c r="H7030" s="2">
        <f>5384.09</f>
        <v>5384.09</v>
      </c>
      <c r="I7030" t="s">
        <v>27</v>
      </c>
      <c r="J7030" t="s">
        <v>239</v>
      </c>
      <c r="K7030" t="str">
        <f>"N/A"</f>
        <v>N/A</v>
      </c>
    </row>
    <row r="7031" spans="1:11" x14ac:dyDescent="0.25">
      <c r="A7031">
        <v>2025</v>
      </c>
      <c r="B7031" t="s">
        <v>6749</v>
      </c>
      <c r="C7031" t="s">
        <v>6750</v>
      </c>
      <c r="D7031" t="s">
        <v>125</v>
      </c>
      <c r="E7031" t="s">
        <v>20</v>
      </c>
      <c r="F7031" t="str">
        <f>"43537-9773"</f>
        <v>43537-9773</v>
      </c>
      <c r="G7031" t="str">
        <f>"753658"</f>
        <v>753658</v>
      </c>
      <c r="H7031" s="2">
        <f>20</f>
        <v>20</v>
      </c>
      <c r="I7031" t="s">
        <v>27</v>
      </c>
      <c r="J7031" t="s">
        <v>39</v>
      </c>
      <c r="K7031" t="str">
        <f>"128367"</f>
        <v>128367</v>
      </c>
    </row>
    <row r="7032" spans="1:11" x14ac:dyDescent="0.25">
      <c r="A7032">
        <v>2025</v>
      </c>
      <c r="B7032" t="s">
        <v>6751</v>
      </c>
      <c r="C7032" t="s">
        <v>6752</v>
      </c>
      <c r="D7032" t="s">
        <v>1074</v>
      </c>
      <c r="E7032" t="s">
        <v>20</v>
      </c>
      <c r="F7032" t="str">
        <f>"43551"</f>
        <v>43551</v>
      </c>
      <c r="G7032" t="str">
        <f>"759796"</f>
        <v>759796</v>
      </c>
      <c r="H7032" s="2">
        <f>6.94</f>
        <v>6.94</v>
      </c>
      <c r="I7032" t="s">
        <v>27</v>
      </c>
      <c r="J7032" t="s">
        <v>188</v>
      </c>
      <c r="K7032" t="str">
        <f>"46735"</f>
        <v>46735</v>
      </c>
    </row>
    <row r="7033" spans="1:11" x14ac:dyDescent="0.25">
      <c r="A7033">
        <v>2025</v>
      </c>
      <c r="B7033" t="s">
        <v>6753</v>
      </c>
      <c r="C7033" t="s">
        <v>3770</v>
      </c>
      <c r="D7033" t="s">
        <v>19</v>
      </c>
      <c r="E7033" t="s">
        <v>20</v>
      </c>
      <c r="F7033" t="str">
        <f>"43609-1130"</f>
        <v>43609-1130</v>
      </c>
      <c r="G7033" t="str">
        <f>"753658"</f>
        <v>753658</v>
      </c>
      <c r="H7033" s="2">
        <f>20</f>
        <v>20</v>
      </c>
      <c r="I7033" t="s">
        <v>27</v>
      </c>
      <c r="J7033" t="s">
        <v>39</v>
      </c>
      <c r="K7033" t="str">
        <f>"126930"</f>
        <v>126930</v>
      </c>
    </row>
    <row r="7034" spans="1:11" x14ac:dyDescent="0.25">
      <c r="A7034">
        <v>2025</v>
      </c>
      <c r="B7034" t="s">
        <v>6767</v>
      </c>
      <c r="C7034" t="s">
        <v>6768</v>
      </c>
      <c r="D7034" t="s">
        <v>125</v>
      </c>
      <c r="E7034" t="s">
        <v>20</v>
      </c>
      <c r="F7034" t="str">
        <f>"43537-7806"</f>
        <v>43537-7806</v>
      </c>
      <c r="G7034" t="str">
        <f>"753658"</f>
        <v>753658</v>
      </c>
      <c r="H7034" s="2">
        <f>10</f>
        <v>10</v>
      </c>
      <c r="I7034" t="s">
        <v>27</v>
      </c>
      <c r="J7034" t="s">
        <v>39</v>
      </c>
      <c r="K7034" t="str">
        <f>"129386"</f>
        <v>129386</v>
      </c>
    </row>
    <row r="7035" spans="1:11" x14ac:dyDescent="0.25">
      <c r="A7035">
        <v>2025</v>
      </c>
      <c r="B7035" t="s">
        <v>6775</v>
      </c>
      <c r="C7035" t="s">
        <v>1004</v>
      </c>
      <c r="D7035" t="s">
        <v>1005</v>
      </c>
      <c r="E7035" t="s">
        <v>20</v>
      </c>
      <c r="F7035" t="str">
        <f t="shared" ref="F7035:F7043" si="256">"44139"</f>
        <v>44139</v>
      </c>
      <c r="G7035" t="str">
        <f t="shared" ref="G7035:G7045" si="257">"759796"</f>
        <v>759796</v>
      </c>
      <c r="H7035" s="2">
        <f>203.93</f>
        <v>203.93</v>
      </c>
      <c r="I7035" t="s">
        <v>27</v>
      </c>
      <c r="J7035" t="s">
        <v>188</v>
      </c>
      <c r="K7035" t="str">
        <f>"46565"</f>
        <v>46565</v>
      </c>
    </row>
    <row r="7036" spans="1:11" x14ac:dyDescent="0.25">
      <c r="A7036">
        <v>2025</v>
      </c>
      <c r="B7036" t="s">
        <v>6778</v>
      </c>
      <c r="C7036" t="s">
        <v>1004</v>
      </c>
      <c r="D7036" t="s">
        <v>1005</v>
      </c>
      <c r="E7036" t="s">
        <v>20</v>
      </c>
      <c r="F7036" t="str">
        <f t="shared" si="256"/>
        <v>44139</v>
      </c>
      <c r="G7036" t="str">
        <f t="shared" si="257"/>
        <v>759796</v>
      </c>
      <c r="H7036" s="2">
        <f>233.75</f>
        <v>233.75</v>
      </c>
      <c r="I7036" t="s">
        <v>27</v>
      </c>
      <c r="J7036" t="s">
        <v>188</v>
      </c>
      <c r="K7036" t="str">
        <f>"45610"</f>
        <v>45610</v>
      </c>
    </row>
    <row r="7037" spans="1:11" x14ac:dyDescent="0.25">
      <c r="A7037">
        <v>2025</v>
      </c>
      <c r="B7037" t="s">
        <v>6779</v>
      </c>
      <c r="C7037" t="s">
        <v>1004</v>
      </c>
      <c r="D7037" t="s">
        <v>1005</v>
      </c>
      <c r="E7037" t="s">
        <v>20</v>
      </c>
      <c r="F7037" t="str">
        <f t="shared" si="256"/>
        <v>44139</v>
      </c>
      <c r="G7037" t="str">
        <f t="shared" si="257"/>
        <v>759796</v>
      </c>
      <c r="H7037" s="2">
        <f>131.5</f>
        <v>131.5</v>
      </c>
      <c r="I7037" t="s">
        <v>27</v>
      </c>
      <c r="J7037" t="s">
        <v>188</v>
      </c>
      <c r="K7037" t="str">
        <f>"45723"</f>
        <v>45723</v>
      </c>
    </row>
    <row r="7038" spans="1:11" x14ac:dyDescent="0.25">
      <c r="A7038">
        <v>2025</v>
      </c>
      <c r="B7038" t="s">
        <v>6779</v>
      </c>
      <c r="C7038" t="s">
        <v>1004</v>
      </c>
      <c r="D7038" t="s">
        <v>1005</v>
      </c>
      <c r="E7038" t="s">
        <v>20</v>
      </c>
      <c r="F7038" t="str">
        <f t="shared" si="256"/>
        <v>44139</v>
      </c>
      <c r="G7038" t="str">
        <f t="shared" si="257"/>
        <v>759796</v>
      </c>
      <c r="H7038" s="2">
        <f>133.6</f>
        <v>133.6</v>
      </c>
      <c r="I7038" t="s">
        <v>27</v>
      </c>
      <c r="J7038" t="s">
        <v>188</v>
      </c>
      <c r="K7038" t="str">
        <f>"43938"</f>
        <v>43938</v>
      </c>
    </row>
    <row r="7039" spans="1:11" x14ac:dyDescent="0.25">
      <c r="A7039">
        <v>2025</v>
      </c>
      <c r="B7039" t="s">
        <v>6779</v>
      </c>
      <c r="C7039" t="s">
        <v>1004</v>
      </c>
      <c r="D7039" t="s">
        <v>1005</v>
      </c>
      <c r="E7039" t="s">
        <v>20</v>
      </c>
      <c r="F7039" t="str">
        <f t="shared" si="256"/>
        <v>44139</v>
      </c>
      <c r="G7039" t="str">
        <f t="shared" si="257"/>
        <v>759796</v>
      </c>
      <c r="H7039" s="2">
        <f>98.72</f>
        <v>98.72</v>
      </c>
      <c r="I7039" t="s">
        <v>27</v>
      </c>
      <c r="J7039" t="s">
        <v>188</v>
      </c>
      <c r="K7039" t="str">
        <f>"43930"</f>
        <v>43930</v>
      </c>
    </row>
    <row r="7040" spans="1:11" x14ac:dyDescent="0.25">
      <c r="A7040">
        <v>2025</v>
      </c>
      <c r="B7040" t="s">
        <v>6779</v>
      </c>
      <c r="C7040" t="s">
        <v>1004</v>
      </c>
      <c r="D7040" t="s">
        <v>1005</v>
      </c>
      <c r="E7040" t="s">
        <v>20</v>
      </c>
      <c r="F7040" t="str">
        <f t="shared" si="256"/>
        <v>44139</v>
      </c>
      <c r="G7040" t="str">
        <f t="shared" si="257"/>
        <v>759796</v>
      </c>
      <c r="H7040" s="2">
        <f>550</f>
        <v>550</v>
      </c>
      <c r="I7040" t="s">
        <v>27</v>
      </c>
      <c r="J7040" t="s">
        <v>188</v>
      </c>
      <c r="K7040" t="str">
        <f>"44254"</f>
        <v>44254</v>
      </c>
    </row>
    <row r="7041" spans="1:11" x14ac:dyDescent="0.25">
      <c r="A7041">
        <v>2025</v>
      </c>
      <c r="B7041" t="s">
        <v>6779</v>
      </c>
      <c r="C7041" t="s">
        <v>1004</v>
      </c>
      <c r="D7041" t="s">
        <v>1005</v>
      </c>
      <c r="E7041" t="s">
        <v>20</v>
      </c>
      <c r="F7041" t="str">
        <f t="shared" si="256"/>
        <v>44139</v>
      </c>
      <c r="G7041" t="str">
        <f t="shared" si="257"/>
        <v>759796</v>
      </c>
      <c r="H7041" s="2">
        <f>550</f>
        <v>550</v>
      </c>
      <c r="I7041" t="s">
        <v>27</v>
      </c>
      <c r="J7041" t="s">
        <v>188</v>
      </c>
      <c r="K7041" t="str">
        <f>"44331"</f>
        <v>44331</v>
      </c>
    </row>
    <row r="7042" spans="1:11" x14ac:dyDescent="0.25">
      <c r="A7042">
        <v>2025</v>
      </c>
      <c r="B7042" t="s">
        <v>6779</v>
      </c>
      <c r="C7042" t="s">
        <v>1004</v>
      </c>
      <c r="D7042" t="s">
        <v>1005</v>
      </c>
      <c r="E7042" t="s">
        <v>20</v>
      </c>
      <c r="F7042" t="str">
        <f t="shared" si="256"/>
        <v>44139</v>
      </c>
      <c r="G7042" t="str">
        <f t="shared" si="257"/>
        <v>759796</v>
      </c>
      <c r="H7042" s="2">
        <f>548.55</f>
        <v>548.54999999999995</v>
      </c>
      <c r="I7042" t="s">
        <v>27</v>
      </c>
      <c r="J7042" t="s">
        <v>188</v>
      </c>
      <c r="K7042" t="str">
        <f>"44346"</f>
        <v>44346</v>
      </c>
    </row>
    <row r="7043" spans="1:11" x14ac:dyDescent="0.25">
      <c r="A7043">
        <v>2025</v>
      </c>
      <c r="B7043" t="s">
        <v>6779</v>
      </c>
      <c r="C7043" t="s">
        <v>1004</v>
      </c>
      <c r="D7043" t="s">
        <v>1005</v>
      </c>
      <c r="E7043" t="s">
        <v>20</v>
      </c>
      <c r="F7043" t="str">
        <f t="shared" si="256"/>
        <v>44139</v>
      </c>
      <c r="G7043" t="str">
        <f t="shared" si="257"/>
        <v>759796</v>
      </c>
      <c r="H7043" s="2">
        <f>550</f>
        <v>550</v>
      </c>
      <c r="I7043" t="s">
        <v>27</v>
      </c>
      <c r="J7043" t="s">
        <v>188</v>
      </c>
      <c r="K7043" t="str">
        <f>"45239"</f>
        <v>45239</v>
      </c>
    </row>
    <row r="7044" spans="1:11" x14ac:dyDescent="0.25">
      <c r="A7044">
        <v>2025</v>
      </c>
      <c r="B7044" t="s">
        <v>6779</v>
      </c>
      <c r="C7044" t="s">
        <v>1933</v>
      </c>
      <c r="D7044" t="s">
        <v>1163</v>
      </c>
      <c r="E7044" t="s">
        <v>20</v>
      </c>
      <c r="F7044" t="str">
        <f>"45243"</f>
        <v>45243</v>
      </c>
      <c r="G7044" t="str">
        <f t="shared" si="257"/>
        <v>759796</v>
      </c>
      <c r="H7044" s="2">
        <f>550</f>
        <v>550</v>
      </c>
      <c r="I7044" t="s">
        <v>27</v>
      </c>
      <c r="J7044" t="s">
        <v>188</v>
      </c>
      <c r="K7044" t="str">
        <f>"45241"</f>
        <v>45241</v>
      </c>
    </row>
    <row r="7045" spans="1:11" x14ac:dyDescent="0.25">
      <c r="A7045">
        <v>2025</v>
      </c>
      <c r="B7045" t="s">
        <v>6780</v>
      </c>
      <c r="C7045" t="s">
        <v>1004</v>
      </c>
      <c r="D7045" t="s">
        <v>1005</v>
      </c>
      <c r="E7045" t="s">
        <v>20</v>
      </c>
      <c r="F7045" t="str">
        <f>"44139"</f>
        <v>44139</v>
      </c>
      <c r="G7045" t="str">
        <f t="shared" si="257"/>
        <v>759796</v>
      </c>
      <c r="H7045" s="2">
        <f>228.55</f>
        <v>228.55</v>
      </c>
      <c r="I7045" t="s">
        <v>27</v>
      </c>
      <c r="J7045" t="s">
        <v>188</v>
      </c>
      <c r="K7045" t="str">
        <f>"45124"</f>
        <v>45124</v>
      </c>
    </row>
    <row r="7046" spans="1:11" x14ac:dyDescent="0.25">
      <c r="A7046">
        <v>2025</v>
      </c>
      <c r="B7046" t="s">
        <v>6783</v>
      </c>
      <c r="C7046" t="s">
        <v>6784</v>
      </c>
      <c r="D7046" t="s">
        <v>50</v>
      </c>
      <c r="E7046" t="s">
        <v>20</v>
      </c>
      <c r="F7046" t="str">
        <f>"43560-3117"</f>
        <v>43560-3117</v>
      </c>
      <c r="G7046" t="str">
        <f t="shared" ref="G7046:G7054" si="258">"753658"</f>
        <v>753658</v>
      </c>
      <c r="H7046" s="2">
        <f>20</f>
        <v>20</v>
      </c>
      <c r="I7046" t="s">
        <v>27</v>
      </c>
      <c r="J7046" t="s">
        <v>39</v>
      </c>
      <c r="K7046" t="str">
        <f>"127499"</f>
        <v>127499</v>
      </c>
    </row>
    <row r="7047" spans="1:11" x14ac:dyDescent="0.25">
      <c r="A7047">
        <v>2025</v>
      </c>
      <c r="B7047" t="s">
        <v>6791</v>
      </c>
      <c r="C7047" t="s">
        <v>6792</v>
      </c>
      <c r="D7047" t="s">
        <v>19</v>
      </c>
      <c r="E7047" t="s">
        <v>20</v>
      </c>
      <c r="F7047" t="str">
        <f>"43607-2408"</f>
        <v>43607-2408</v>
      </c>
      <c r="G7047" t="str">
        <f t="shared" si="258"/>
        <v>753658</v>
      </c>
      <c r="H7047" s="2">
        <f>10</f>
        <v>10</v>
      </c>
      <c r="I7047" t="s">
        <v>27</v>
      </c>
      <c r="J7047" t="s">
        <v>39</v>
      </c>
      <c r="K7047" t="str">
        <f>"126819"</f>
        <v>126819</v>
      </c>
    </row>
    <row r="7048" spans="1:11" x14ac:dyDescent="0.25">
      <c r="A7048">
        <v>2025</v>
      </c>
      <c r="B7048" t="s">
        <v>6795</v>
      </c>
      <c r="C7048" t="s">
        <v>6796</v>
      </c>
      <c r="D7048" t="s">
        <v>19</v>
      </c>
      <c r="E7048" t="s">
        <v>20</v>
      </c>
      <c r="F7048" t="str">
        <f>"43612-1238"</f>
        <v>43612-1238</v>
      </c>
      <c r="G7048" t="str">
        <f t="shared" si="258"/>
        <v>753658</v>
      </c>
      <c r="H7048" s="2">
        <f>20</f>
        <v>20</v>
      </c>
      <c r="I7048" t="s">
        <v>27</v>
      </c>
      <c r="J7048" t="s">
        <v>39</v>
      </c>
      <c r="K7048" t="str">
        <f>"131794"</f>
        <v>131794</v>
      </c>
    </row>
    <row r="7049" spans="1:11" x14ac:dyDescent="0.25">
      <c r="A7049">
        <v>2025</v>
      </c>
      <c r="B7049" t="s">
        <v>6804</v>
      </c>
      <c r="C7049" t="s">
        <v>6805</v>
      </c>
      <c r="D7049" t="s">
        <v>19</v>
      </c>
      <c r="E7049" t="s">
        <v>20</v>
      </c>
      <c r="F7049" t="str">
        <f>"43614"</f>
        <v>43614</v>
      </c>
      <c r="G7049" t="str">
        <f t="shared" si="258"/>
        <v>753658</v>
      </c>
      <c r="H7049" s="2">
        <f>10</f>
        <v>10</v>
      </c>
      <c r="I7049" t="s">
        <v>27</v>
      </c>
      <c r="J7049" t="s">
        <v>39</v>
      </c>
      <c r="K7049" t="str">
        <f>"128557"</f>
        <v>128557</v>
      </c>
    </row>
    <row r="7050" spans="1:11" x14ac:dyDescent="0.25">
      <c r="A7050">
        <v>2025</v>
      </c>
      <c r="B7050" t="s">
        <v>6814</v>
      </c>
      <c r="C7050" t="s">
        <v>6815</v>
      </c>
      <c r="D7050" t="s">
        <v>19</v>
      </c>
      <c r="E7050" t="s">
        <v>20</v>
      </c>
      <c r="F7050" t="str">
        <f>"43606-3320"</f>
        <v>43606-3320</v>
      </c>
      <c r="G7050" t="str">
        <f t="shared" si="258"/>
        <v>753658</v>
      </c>
      <c r="H7050" s="2">
        <f>10</f>
        <v>10</v>
      </c>
      <c r="I7050" t="s">
        <v>27</v>
      </c>
      <c r="J7050" t="s">
        <v>39</v>
      </c>
      <c r="K7050" t="str">
        <f>"128709"</f>
        <v>128709</v>
      </c>
    </row>
    <row r="7051" spans="1:11" x14ac:dyDescent="0.25">
      <c r="A7051">
        <v>2025</v>
      </c>
      <c r="B7051" t="s">
        <v>6816</v>
      </c>
      <c r="C7051" t="s">
        <v>6817</v>
      </c>
      <c r="D7051" t="s">
        <v>899</v>
      </c>
      <c r="E7051" t="s">
        <v>20</v>
      </c>
      <c r="F7051" t="str">
        <f>"43412-9731"</f>
        <v>43412-9731</v>
      </c>
      <c r="G7051" t="str">
        <f t="shared" si="258"/>
        <v>753658</v>
      </c>
      <c r="H7051" s="2">
        <f>10</f>
        <v>10</v>
      </c>
      <c r="I7051" t="s">
        <v>27</v>
      </c>
      <c r="J7051" t="s">
        <v>39</v>
      </c>
      <c r="K7051" t="str">
        <f>"127997"</f>
        <v>127997</v>
      </c>
    </row>
    <row r="7052" spans="1:11" x14ac:dyDescent="0.25">
      <c r="A7052">
        <v>2025</v>
      </c>
      <c r="B7052" t="s">
        <v>6821</v>
      </c>
      <c r="C7052" t="s">
        <v>6822</v>
      </c>
      <c r="D7052" t="s">
        <v>19</v>
      </c>
      <c r="E7052" t="s">
        <v>20</v>
      </c>
      <c r="F7052" t="str">
        <f>"43613-3725"</f>
        <v>43613-3725</v>
      </c>
      <c r="G7052" t="str">
        <f t="shared" si="258"/>
        <v>753658</v>
      </c>
      <c r="H7052" s="2">
        <f>10</f>
        <v>10</v>
      </c>
      <c r="I7052" t="s">
        <v>27</v>
      </c>
      <c r="J7052" t="s">
        <v>39</v>
      </c>
      <c r="K7052" t="str">
        <f>"129426"</f>
        <v>129426</v>
      </c>
    </row>
    <row r="7053" spans="1:11" x14ac:dyDescent="0.25">
      <c r="A7053">
        <v>2025</v>
      </c>
      <c r="B7053" t="s">
        <v>6827</v>
      </c>
      <c r="C7053" t="s">
        <v>6828</v>
      </c>
      <c r="D7053" t="s">
        <v>19</v>
      </c>
      <c r="E7053" t="s">
        <v>20</v>
      </c>
      <c r="F7053" t="str">
        <f>"43605-2431"</f>
        <v>43605-2431</v>
      </c>
      <c r="G7053" t="str">
        <f t="shared" si="258"/>
        <v>753658</v>
      </c>
      <c r="H7053" s="2">
        <f>10</f>
        <v>10</v>
      </c>
      <c r="I7053" t="s">
        <v>27</v>
      </c>
      <c r="J7053" t="s">
        <v>39</v>
      </c>
      <c r="K7053" t="str">
        <f>"126323"</f>
        <v>126323</v>
      </c>
    </row>
    <row r="7054" spans="1:11" x14ac:dyDescent="0.25">
      <c r="A7054">
        <v>2025</v>
      </c>
      <c r="B7054" t="s">
        <v>6829</v>
      </c>
      <c r="C7054" t="s">
        <v>6830</v>
      </c>
      <c r="D7054" t="s">
        <v>19</v>
      </c>
      <c r="E7054" t="s">
        <v>20</v>
      </c>
      <c r="F7054" t="str">
        <f>"43614"</f>
        <v>43614</v>
      </c>
      <c r="G7054" t="str">
        <f t="shared" si="258"/>
        <v>753658</v>
      </c>
      <c r="H7054" s="2">
        <f>10</f>
        <v>10</v>
      </c>
      <c r="I7054" t="s">
        <v>27</v>
      </c>
      <c r="J7054" t="s">
        <v>39</v>
      </c>
      <c r="K7054" t="str">
        <f>"128814"</f>
        <v>128814</v>
      </c>
    </row>
    <row r="7055" spans="1:11" x14ac:dyDescent="0.25">
      <c r="A7055">
        <v>2025</v>
      </c>
      <c r="B7055" t="s">
        <v>6837</v>
      </c>
      <c r="C7055" t="s">
        <v>6838</v>
      </c>
      <c r="D7055" t="s">
        <v>19</v>
      </c>
      <c r="E7055" t="s">
        <v>20</v>
      </c>
      <c r="F7055" t="str">
        <f>"43615"</f>
        <v>43615</v>
      </c>
      <c r="G7055" t="str">
        <f>"751641"</f>
        <v>751641</v>
      </c>
      <c r="H7055" s="2">
        <f>2.42</f>
        <v>2.42</v>
      </c>
      <c r="I7055" t="s">
        <v>27</v>
      </c>
      <c r="J7055" t="s">
        <v>219</v>
      </c>
      <c r="K7055" t="str">
        <f>"22027049"</f>
        <v>22027049</v>
      </c>
    </row>
    <row r="7056" spans="1:11" x14ac:dyDescent="0.25">
      <c r="A7056">
        <v>2025</v>
      </c>
      <c r="B7056" t="s">
        <v>6839</v>
      </c>
      <c r="C7056" t="s">
        <v>6840</v>
      </c>
      <c r="D7056" t="s">
        <v>19</v>
      </c>
      <c r="E7056" t="s">
        <v>20</v>
      </c>
      <c r="F7056" t="str">
        <f>"43608-1245"</f>
        <v>43608-1245</v>
      </c>
      <c r="G7056" t="str">
        <f>"753658"</f>
        <v>753658</v>
      </c>
      <c r="H7056" s="2">
        <f>20</f>
        <v>20</v>
      </c>
      <c r="I7056" t="s">
        <v>27</v>
      </c>
      <c r="J7056" t="s">
        <v>39</v>
      </c>
      <c r="K7056" t="str">
        <f>"127423"</f>
        <v>127423</v>
      </c>
    </row>
    <row r="7057" spans="1:11" x14ac:dyDescent="0.25">
      <c r="A7057">
        <v>2025</v>
      </c>
      <c r="B7057" t="s">
        <v>6843</v>
      </c>
      <c r="C7057" t="s">
        <v>6844</v>
      </c>
      <c r="D7057" t="s">
        <v>19</v>
      </c>
      <c r="E7057" t="s">
        <v>20</v>
      </c>
      <c r="F7057" t="str">
        <f>"43613-4713"</f>
        <v>43613-4713</v>
      </c>
      <c r="G7057" t="str">
        <f>"753658"</f>
        <v>753658</v>
      </c>
      <c r="H7057" s="2">
        <f>10</f>
        <v>10</v>
      </c>
      <c r="I7057" t="s">
        <v>27</v>
      </c>
      <c r="J7057" t="s">
        <v>39</v>
      </c>
      <c r="K7057" t="str">
        <f>"130952"</f>
        <v>130952</v>
      </c>
    </row>
    <row r="7058" spans="1:11" x14ac:dyDescent="0.25">
      <c r="A7058">
        <v>2025</v>
      </c>
      <c r="B7058" t="s">
        <v>6849</v>
      </c>
      <c r="C7058" t="s">
        <v>3412</v>
      </c>
      <c r="D7058" t="s">
        <v>125</v>
      </c>
      <c r="E7058" t="s">
        <v>20</v>
      </c>
      <c r="F7058" t="str">
        <f>"43537"</f>
        <v>43537</v>
      </c>
      <c r="G7058" t="str">
        <f>"759796"</f>
        <v>759796</v>
      </c>
      <c r="H7058" s="2">
        <f>200</f>
        <v>200</v>
      </c>
      <c r="I7058" t="s">
        <v>27</v>
      </c>
      <c r="J7058" t="s">
        <v>188</v>
      </c>
      <c r="K7058" t="str">
        <f>"45118"</f>
        <v>45118</v>
      </c>
    </row>
    <row r="7059" spans="1:11" x14ac:dyDescent="0.25">
      <c r="A7059">
        <v>2025</v>
      </c>
      <c r="B7059" t="s">
        <v>6870</v>
      </c>
      <c r="C7059" t="s">
        <v>6871</v>
      </c>
      <c r="D7059" t="s">
        <v>120</v>
      </c>
      <c r="E7059" t="s">
        <v>20</v>
      </c>
      <c r="F7059" t="str">
        <f>"43522"</f>
        <v>43522</v>
      </c>
      <c r="G7059" t="str">
        <f>"Je12092025"</f>
        <v>Je12092025</v>
      </c>
      <c r="H7059" s="2">
        <f>213</f>
        <v>213</v>
      </c>
      <c r="I7059" t="s">
        <v>15</v>
      </c>
      <c r="J7059" t="s">
        <v>909</v>
      </c>
      <c r="K7059" t="str">
        <f>"60170311"</f>
        <v>60170311</v>
      </c>
    </row>
    <row r="7060" spans="1:11" x14ac:dyDescent="0.25">
      <c r="A7060">
        <v>2025</v>
      </c>
      <c r="B7060" t="s">
        <v>6872</v>
      </c>
      <c r="C7060" t="s">
        <v>6873</v>
      </c>
      <c r="D7060" t="s">
        <v>19</v>
      </c>
      <c r="E7060" t="s">
        <v>20</v>
      </c>
      <c r="F7060" t="str">
        <f>"43614-2935"</f>
        <v>43614-2935</v>
      </c>
      <c r="G7060" t="str">
        <f>"753658"</f>
        <v>753658</v>
      </c>
      <c r="H7060" s="2">
        <f>10</f>
        <v>10</v>
      </c>
      <c r="I7060" t="s">
        <v>27</v>
      </c>
      <c r="J7060" t="s">
        <v>39</v>
      </c>
      <c r="K7060" t="str">
        <f>"127809"</f>
        <v>127809</v>
      </c>
    </row>
    <row r="7061" spans="1:11" x14ac:dyDescent="0.25">
      <c r="A7061">
        <v>2025</v>
      </c>
      <c r="B7061" t="s">
        <v>6916</v>
      </c>
      <c r="C7061" t="s">
        <v>6917</v>
      </c>
      <c r="D7061" t="s">
        <v>19</v>
      </c>
      <c r="E7061" t="s">
        <v>20</v>
      </c>
      <c r="F7061" t="str">
        <f>"43615-5150"</f>
        <v>43615-5150</v>
      </c>
      <c r="G7061" t="str">
        <f>"753658"</f>
        <v>753658</v>
      </c>
      <c r="H7061" s="2">
        <f>40</f>
        <v>40</v>
      </c>
      <c r="I7061" t="s">
        <v>27</v>
      </c>
      <c r="J7061" t="s">
        <v>39</v>
      </c>
      <c r="K7061" t="str">
        <f>"127074"</f>
        <v>127074</v>
      </c>
    </row>
    <row r="7062" spans="1:11" x14ac:dyDescent="0.25">
      <c r="A7062">
        <v>2025</v>
      </c>
      <c r="B7062" t="s">
        <v>6929</v>
      </c>
      <c r="C7062" t="s">
        <v>895</v>
      </c>
      <c r="D7062" t="s">
        <v>895</v>
      </c>
      <c r="E7062" t="s">
        <v>4982</v>
      </c>
      <c r="F7062" t="str">
        <f>"99999"</f>
        <v>99999</v>
      </c>
      <c r="G7062" t="str">
        <f>"776045"</f>
        <v>776045</v>
      </c>
      <c r="H7062" s="2">
        <f>5000</f>
        <v>5000</v>
      </c>
      <c r="I7062" t="s">
        <v>1416</v>
      </c>
      <c r="J7062" t="s">
        <v>6930</v>
      </c>
      <c r="K7062" t="str">
        <f>"28091"</f>
        <v>28091</v>
      </c>
    </row>
    <row r="7063" spans="1:11" x14ac:dyDescent="0.25">
      <c r="A7063">
        <v>2025</v>
      </c>
      <c r="B7063" t="s">
        <v>6935</v>
      </c>
      <c r="C7063" t="s">
        <v>6936</v>
      </c>
      <c r="D7063" t="s">
        <v>50</v>
      </c>
      <c r="E7063" t="s">
        <v>20</v>
      </c>
      <c r="F7063" t="str">
        <f>"43560-2845"</f>
        <v>43560-2845</v>
      </c>
      <c r="G7063" t="str">
        <f t="shared" ref="G7063:G7071" si="259">"753658"</f>
        <v>753658</v>
      </c>
      <c r="H7063" s="2">
        <f>10</f>
        <v>10</v>
      </c>
      <c r="I7063" t="s">
        <v>27</v>
      </c>
      <c r="J7063" t="s">
        <v>39</v>
      </c>
      <c r="K7063" t="str">
        <f>"128757"</f>
        <v>128757</v>
      </c>
    </row>
    <row r="7064" spans="1:11" x14ac:dyDescent="0.25">
      <c r="A7064">
        <v>2025</v>
      </c>
      <c r="B7064" t="s">
        <v>6939</v>
      </c>
      <c r="C7064" t="s">
        <v>6940</v>
      </c>
      <c r="D7064" t="s">
        <v>19</v>
      </c>
      <c r="E7064" t="s">
        <v>20</v>
      </c>
      <c r="F7064" t="str">
        <f>"43606-3760"</f>
        <v>43606-3760</v>
      </c>
      <c r="G7064" t="str">
        <f t="shared" si="259"/>
        <v>753658</v>
      </c>
      <c r="H7064" s="2">
        <f>20</f>
        <v>20</v>
      </c>
      <c r="I7064" t="s">
        <v>27</v>
      </c>
      <c r="J7064" t="s">
        <v>39</v>
      </c>
      <c r="K7064" t="str">
        <f>"131016"</f>
        <v>131016</v>
      </c>
    </row>
    <row r="7065" spans="1:11" x14ac:dyDescent="0.25">
      <c r="A7065">
        <v>2025</v>
      </c>
      <c r="B7065" t="s">
        <v>6953</v>
      </c>
      <c r="C7065" t="s">
        <v>6954</v>
      </c>
      <c r="D7065" t="s">
        <v>58</v>
      </c>
      <c r="E7065" t="s">
        <v>20</v>
      </c>
      <c r="F7065" t="str">
        <f>"43616-1513"</f>
        <v>43616-1513</v>
      </c>
      <c r="G7065" t="str">
        <f t="shared" si="259"/>
        <v>753658</v>
      </c>
      <c r="H7065" s="2">
        <f>30</f>
        <v>30</v>
      </c>
      <c r="I7065" t="s">
        <v>27</v>
      </c>
      <c r="J7065" t="s">
        <v>39</v>
      </c>
      <c r="K7065" t="str">
        <f>"131324"</f>
        <v>131324</v>
      </c>
    </row>
    <row r="7066" spans="1:11" x14ac:dyDescent="0.25">
      <c r="A7066">
        <v>2025</v>
      </c>
      <c r="B7066" t="s">
        <v>6957</v>
      </c>
      <c r="C7066" t="s">
        <v>6958</v>
      </c>
      <c r="D7066" t="s">
        <v>50</v>
      </c>
      <c r="E7066" t="s">
        <v>20</v>
      </c>
      <c r="F7066" t="str">
        <f>"43560-3331"</f>
        <v>43560-3331</v>
      </c>
      <c r="G7066" t="str">
        <f t="shared" si="259"/>
        <v>753658</v>
      </c>
      <c r="H7066" s="2">
        <f>20</f>
        <v>20</v>
      </c>
      <c r="I7066" t="s">
        <v>27</v>
      </c>
      <c r="J7066" t="s">
        <v>39</v>
      </c>
      <c r="K7066" t="str">
        <f>"128097"</f>
        <v>128097</v>
      </c>
    </row>
    <row r="7067" spans="1:11" x14ac:dyDescent="0.25">
      <c r="A7067">
        <v>2025</v>
      </c>
      <c r="B7067" t="s">
        <v>6971</v>
      </c>
      <c r="C7067" t="s">
        <v>2305</v>
      </c>
      <c r="D7067" t="s">
        <v>19</v>
      </c>
      <c r="E7067" t="s">
        <v>20</v>
      </c>
      <c r="F7067" t="str">
        <f>"43606-1861"</f>
        <v>43606-1861</v>
      </c>
      <c r="G7067" t="str">
        <f t="shared" si="259"/>
        <v>753658</v>
      </c>
      <c r="H7067" s="2">
        <f>10</f>
        <v>10</v>
      </c>
      <c r="I7067" t="s">
        <v>27</v>
      </c>
      <c r="J7067" t="s">
        <v>39</v>
      </c>
      <c r="K7067" t="str">
        <f>"126834"</f>
        <v>126834</v>
      </c>
    </row>
    <row r="7068" spans="1:11" x14ac:dyDescent="0.25">
      <c r="A7068">
        <v>2025</v>
      </c>
      <c r="B7068" t="s">
        <v>6986</v>
      </c>
      <c r="C7068" t="s">
        <v>6987</v>
      </c>
      <c r="D7068" t="s">
        <v>19</v>
      </c>
      <c r="E7068" t="s">
        <v>20</v>
      </c>
      <c r="F7068" t="str">
        <f>"43607-1554"</f>
        <v>43607-1554</v>
      </c>
      <c r="G7068" t="str">
        <f t="shared" si="259"/>
        <v>753658</v>
      </c>
      <c r="H7068" s="2">
        <f>80</f>
        <v>80</v>
      </c>
      <c r="I7068" t="s">
        <v>27</v>
      </c>
      <c r="J7068" t="s">
        <v>39</v>
      </c>
      <c r="K7068" t="str">
        <f>"125611"</f>
        <v>125611</v>
      </c>
    </row>
    <row r="7069" spans="1:11" x14ac:dyDescent="0.25">
      <c r="A7069">
        <v>2025</v>
      </c>
      <c r="B7069" t="s">
        <v>6992</v>
      </c>
      <c r="C7069" t="s">
        <v>6993</v>
      </c>
      <c r="D7069" t="s">
        <v>323</v>
      </c>
      <c r="E7069" t="s">
        <v>20</v>
      </c>
      <c r="F7069" t="str">
        <f>"43571-9264"</f>
        <v>43571-9264</v>
      </c>
      <c r="G7069" t="str">
        <f t="shared" si="259"/>
        <v>753658</v>
      </c>
      <c r="H7069" s="2">
        <f>10</f>
        <v>10</v>
      </c>
      <c r="I7069" t="s">
        <v>27</v>
      </c>
      <c r="J7069" t="s">
        <v>39</v>
      </c>
      <c r="K7069" t="str">
        <f>"126752"</f>
        <v>126752</v>
      </c>
    </row>
    <row r="7070" spans="1:11" x14ac:dyDescent="0.25">
      <c r="A7070">
        <v>2025</v>
      </c>
      <c r="B7070" t="s">
        <v>7002</v>
      </c>
      <c r="C7070" t="s">
        <v>7003</v>
      </c>
      <c r="D7070" t="s">
        <v>19</v>
      </c>
      <c r="E7070" t="s">
        <v>20</v>
      </c>
      <c r="F7070" t="str">
        <f>"43606-3753"</f>
        <v>43606-3753</v>
      </c>
      <c r="G7070" t="str">
        <f t="shared" si="259"/>
        <v>753658</v>
      </c>
      <c r="H7070" s="2">
        <f>50</f>
        <v>50</v>
      </c>
      <c r="I7070" t="s">
        <v>27</v>
      </c>
      <c r="J7070" t="s">
        <v>39</v>
      </c>
      <c r="K7070" t="str">
        <f>"128739"</f>
        <v>128739</v>
      </c>
    </row>
    <row r="7071" spans="1:11" x14ac:dyDescent="0.25">
      <c r="A7071">
        <v>2025</v>
      </c>
      <c r="B7071" t="s">
        <v>7004</v>
      </c>
      <c r="C7071" t="s">
        <v>7005</v>
      </c>
      <c r="D7071" t="s">
        <v>58</v>
      </c>
      <c r="E7071" t="s">
        <v>20</v>
      </c>
      <c r="F7071" t="str">
        <f>"43616-5805"</f>
        <v>43616-5805</v>
      </c>
      <c r="G7071" t="str">
        <f t="shared" si="259"/>
        <v>753658</v>
      </c>
      <c r="H7071" s="2">
        <f>20</f>
        <v>20</v>
      </c>
      <c r="I7071" t="s">
        <v>27</v>
      </c>
      <c r="J7071" t="s">
        <v>39</v>
      </c>
      <c r="K7071" t="str">
        <f>"127173"</f>
        <v>127173</v>
      </c>
    </row>
    <row r="7072" spans="1:11" x14ac:dyDescent="0.25">
      <c r="A7072">
        <v>2025</v>
      </c>
      <c r="B7072" t="s">
        <v>7006</v>
      </c>
      <c r="C7072" t="s">
        <v>7007</v>
      </c>
      <c r="D7072" t="s">
        <v>19</v>
      </c>
      <c r="E7072" t="s">
        <v>20</v>
      </c>
      <c r="F7072" t="str">
        <f>"43614"</f>
        <v>43614</v>
      </c>
      <c r="G7072" t="str">
        <f>"Je12092025"</f>
        <v>Je12092025</v>
      </c>
      <c r="H7072" s="2">
        <f>20</f>
        <v>20</v>
      </c>
      <c r="I7072" t="s">
        <v>15</v>
      </c>
      <c r="J7072" t="s">
        <v>909</v>
      </c>
      <c r="K7072" t="str">
        <f>"60170346"</f>
        <v>60170346</v>
      </c>
    </row>
    <row r="7073" spans="1:11" x14ac:dyDescent="0.25">
      <c r="A7073">
        <v>2025</v>
      </c>
      <c r="B7073" t="s">
        <v>7010</v>
      </c>
      <c r="C7073" t="s">
        <v>7011</v>
      </c>
      <c r="D7073" t="s">
        <v>19</v>
      </c>
      <c r="E7073" t="s">
        <v>20</v>
      </c>
      <c r="F7073" t="str">
        <f>"43603"</f>
        <v>43603</v>
      </c>
      <c r="G7073" t="str">
        <f>"Je07082025"</f>
        <v>Je07082025</v>
      </c>
      <c r="H7073" s="2">
        <f>1705</f>
        <v>1705</v>
      </c>
      <c r="I7073" t="s">
        <v>15</v>
      </c>
      <c r="J7073" t="s">
        <v>185</v>
      </c>
      <c r="K7073" t="str">
        <f>"60154215"</f>
        <v>60154215</v>
      </c>
    </row>
    <row r="7074" spans="1:11" x14ac:dyDescent="0.25">
      <c r="A7074">
        <v>2025</v>
      </c>
      <c r="B7074" t="s">
        <v>7024</v>
      </c>
      <c r="C7074" t="s">
        <v>7025</v>
      </c>
      <c r="D7074" t="s">
        <v>19</v>
      </c>
      <c r="E7074" t="s">
        <v>20</v>
      </c>
      <c r="F7074" t="str">
        <f>"43613"</f>
        <v>43613</v>
      </c>
      <c r="G7074" t="str">
        <f>"753658"</f>
        <v>753658</v>
      </c>
      <c r="H7074" s="2">
        <f>10</f>
        <v>10</v>
      </c>
      <c r="I7074" t="s">
        <v>27</v>
      </c>
      <c r="J7074" t="s">
        <v>39</v>
      </c>
      <c r="K7074" t="str">
        <f>"126185"</f>
        <v>126185</v>
      </c>
    </row>
    <row r="7075" spans="1:11" x14ac:dyDescent="0.25">
      <c r="A7075">
        <v>2025</v>
      </c>
      <c r="B7075" t="s">
        <v>7038</v>
      </c>
      <c r="C7075" t="s">
        <v>7039</v>
      </c>
      <c r="D7075" t="s">
        <v>19</v>
      </c>
      <c r="E7075" t="s">
        <v>20</v>
      </c>
      <c r="F7075" t="str">
        <f>"43605"</f>
        <v>43605</v>
      </c>
      <c r="G7075" t="str">
        <f>"751639"</f>
        <v>751639</v>
      </c>
      <c r="H7075" s="2">
        <f>1.5</f>
        <v>1.5</v>
      </c>
      <c r="I7075" t="s">
        <v>27</v>
      </c>
      <c r="J7075" t="s">
        <v>96</v>
      </c>
      <c r="K7075" t="str">
        <f>"334928"</f>
        <v>334928</v>
      </c>
    </row>
    <row r="7076" spans="1:11" x14ac:dyDescent="0.25">
      <c r="A7076">
        <v>2025</v>
      </c>
      <c r="B7076" t="s">
        <v>7044</v>
      </c>
      <c r="C7076" t="s">
        <v>7045</v>
      </c>
      <c r="D7076" t="s">
        <v>125</v>
      </c>
      <c r="E7076" t="s">
        <v>20</v>
      </c>
      <c r="F7076" t="str">
        <f>"43537-3115"</f>
        <v>43537-3115</v>
      </c>
      <c r="G7076" t="str">
        <f>"753658"</f>
        <v>753658</v>
      </c>
      <c r="H7076" s="2">
        <f>30</f>
        <v>30</v>
      </c>
      <c r="I7076" t="s">
        <v>27</v>
      </c>
      <c r="J7076" t="s">
        <v>39</v>
      </c>
      <c r="K7076" t="str">
        <f>"126932"</f>
        <v>126932</v>
      </c>
    </row>
    <row r="7077" spans="1:11" x14ac:dyDescent="0.25">
      <c r="A7077">
        <v>2025</v>
      </c>
      <c r="B7077" t="s">
        <v>7046</v>
      </c>
      <c r="C7077" t="s">
        <v>7047</v>
      </c>
      <c r="D7077" t="s">
        <v>19</v>
      </c>
      <c r="E7077" t="s">
        <v>20</v>
      </c>
      <c r="F7077" t="str">
        <f>"43623-1362"</f>
        <v>43623-1362</v>
      </c>
      <c r="G7077" t="str">
        <f>"753658"</f>
        <v>753658</v>
      </c>
      <c r="H7077" s="2">
        <f>10</f>
        <v>10</v>
      </c>
      <c r="I7077" t="s">
        <v>27</v>
      </c>
      <c r="J7077" t="s">
        <v>39</v>
      </c>
      <c r="K7077" t="str">
        <f>"128281"</f>
        <v>128281</v>
      </c>
    </row>
    <row r="7078" spans="1:11" x14ac:dyDescent="0.25">
      <c r="A7078">
        <v>2025</v>
      </c>
      <c r="B7078" t="s">
        <v>7048</v>
      </c>
      <c r="C7078" t="s">
        <v>7049</v>
      </c>
      <c r="D7078" t="s">
        <v>19</v>
      </c>
      <c r="E7078" t="s">
        <v>20</v>
      </c>
      <c r="F7078" t="str">
        <f>"43613-2323"</f>
        <v>43613-2323</v>
      </c>
      <c r="G7078" t="str">
        <f>"753658"</f>
        <v>753658</v>
      </c>
      <c r="H7078" s="2">
        <f>10</f>
        <v>10</v>
      </c>
      <c r="I7078" t="s">
        <v>27</v>
      </c>
      <c r="J7078" t="s">
        <v>39</v>
      </c>
      <c r="K7078" t="str">
        <f>"126385"</f>
        <v>126385</v>
      </c>
    </row>
    <row r="7079" spans="1:11" x14ac:dyDescent="0.25">
      <c r="A7079">
        <v>2025</v>
      </c>
      <c r="B7079" t="s">
        <v>7050</v>
      </c>
      <c r="C7079" t="s">
        <v>7051</v>
      </c>
      <c r="D7079" t="s">
        <v>323</v>
      </c>
      <c r="E7079" t="s">
        <v>20</v>
      </c>
      <c r="F7079" t="str">
        <f>"43571"</f>
        <v>43571</v>
      </c>
      <c r="G7079" t="str">
        <f>"753658"</f>
        <v>753658</v>
      </c>
      <c r="H7079" s="2">
        <f>20</f>
        <v>20</v>
      </c>
      <c r="I7079" t="s">
        <v>27</v>
      </c>
      <c r="J7079" t="s">
        <v>39</v>
      </c>
      <c r="K7079" t="str">
        <f>"127922"</f>
        <v>127922</v>
      </c>
    </row>
    <row r="7080" spans="1:11" x14ac:dyDescent="0.25">
      <c r="A7080">
        <v>2025</v>
      </c>
      <c r="B7080" t="s">
        <v>7081</v>
      </c>
      <c r="C7080" t="s">
        <v>1004</v>
      </c>
      <c r="D7080" t="s">
        <v>1005</v>
      </c>
      <c r="E7080" t="s">
        <v>20</v>
      </c>
      <c r="F7080" t="str">
        <f>"44139"</f>
        <v>44139</v>
      </c>
      <c r="G7080" t="str">
        <f>"759796"</f>
        <v>759796</v>
      </c>
      <c r="H7080" s="2">
        <f>195.2</f>
        <v>195.2</v>
      </c>
      <c r="I7080" t="s">
        <v>27</v>
      </c>
      <c r="J7080" t="s">
        <v>188</v>
      </c>
      <c r="K7080" t="str">
        <f>"45093"</f>
        <v>45093</v>
      </c>
    </row>
    <row r="7081" spans="1:11" x14ac:dyDescent="0.25">
      <c r="A7081">
        <v>2025</v>
      </c>
      <c r="B7081" t="s">
        <v>7081</v>
      </c>
      <c r="C7081" t="s">
        <v>1004</v>
      </c>
      <c r="D7081" t="s">
        <v>1005</v>
      </c>
      <c r="E7081" t="s">
        <v>20</v>
      </c>
      <c r="F7081" t="str">
        <f>"44139"</f>
        <v>44139</v>
      </c>
      <c r="G7081" t="str">
        <f>"759796"</f>
        <v>759796</v>
      </c>
      <c r="H7081" s="2">
        <f>536.55</f>
        <v>536.54999999999995</v>
      </c>
      <c r="I7081" t="s">
        <v>27</v>
      </c>
      <c r="J7081" t="s">
        <v>188</v>
      </c>
      <c r="K7081" t="str">
        <f>"45014"</f>
        <v>45014</v>
      </c>
    </row>
    <row r="7082" spans="1:11" x14ac:dyDescent="0.25">
      <c r="A7082">
        <v>2025</v>
      </c>
      <c r="B7082" t="s">
        <v>7081</v>
      </c>
      <c r="C7082" t="s">
        <v>1004</v>
      </c>
      <c r="D7082" t="s">
        <v>1005</v>
      </c>
      <c r="E7082" t="s">
        <v>20</v>
      </c>
      <c r="F7082" t="str">
        <f>"44139"</f>
        <v>44139</v>
      </c>
      <c r="G7082" t="str">
        <f>"759796"</f>
        <v>759796</v>
      </c>
      <c r="H7082" s="2">
        <f>136.75</f>
        <v>136.75</v>
      </c>
      <c r="I7082" t="s">
        <v>27</v>
      </c>
      <c r="J7082" t="s">
        <v>188</v>
      </c>
      <c r="K7082" t="str">
        <f>"46152"</f>
        <v>46152</v>
      </c>
    </row>
    <row r="7083" spans="1:11" x14ac:dyDescent="0.25">
      <c r="A7083">
        <v>2025</v>
      </c>
      <c r="B7083" t="s">
        <v>7084</v>
      </c>
      <c r="C7083" t="s">
        <v>7085</v>
      </c>
      <c r="D7083" t="s">
        <v>19</v>
      </c>
      <c r="E7083" t="s">
        <v>20</v>
      </c>
      <c r="F7083" t="str">
        <f>"43615-2711"</f>
        <v>43615-2711</v>
      </c>
      <c r="G7083" t="str">
        <f>"753658"</f>
        <v>753658</v>
      </c>
      <c r="H7083" s="2">
        <f>10</f>
        <v>10</v>
      </c>
      <c r="I7083" t="s">
        <v>27</v>
      </c>
      <c r="J7083" t="s">
        <v>39</v>
      </c>
      <c r="K7083" t="str">
        <f>"126765"</f>
        <v>126765</v>
      </c>
    </row>
    <row r="7084" spans="1:11" x14ac:dyDescent="0.25">
      <c r="A7084">
        <v>2025</v>
      </c>
      <c r="B7084" t="s">
        <v>7094</v>
      </c>
      <c r="C7084" t="s">
        <v>1139</v>
      </c>
      <c r="D7084" t="s">
        <v>19</v>
      </c>
      <c r="E7084" t="s">
        <v>20</v>
      </c>
      <c r="F7084" t="str">
        <f>"44406"</f>
        <v>44406</v>
      </c>
      <c r="G7084" t="str">
        <f>"759796"</f>
        <v>759796</v>
      </c>
      <c r="H7084" s="2">
        <f>20</f>
        <v>20</v>
      </c>
      <c r="I7084" t="s">
        <v>27</v>
      </c>
      <c r="J7084" t="s">
        <v>188</v>
      </c>
      <c r="K7084" t="str">
        <f>"45842"</f>
        <v>45842</v>
      </c>
    </row>
    <row r="7085" spans="1:11" x14ac:dyDescent="0.25">
      <c r="A7085">
        <v>2025</v>
      </c>
      <c r="B7085" t="s">
        <v>7105</v>
      </c>
      <c r="C7085" t="s">
        <v>7107</v>
      </c>
      <c r="D7085" t="s">
        <v>105</v>
      </c>
      <c r="E7085" t="s">
        <v>20</v>
      </c>
      <c r="F7085" t="str">
        <f>"43528"</f>
        <v>43528</v>
      </c>
      <c r="G7085" t="str">
        <f>"759796"</f>
        <v>759796</v>
      </c>
      <c r="H7085" s="2">
        <f>20</f>
        <v>20</v>
      </c>
      <c r="I7085" t="s">
        <v>27</v>
      </c>
      <c r="J7085" t="s">
        <v>188</v>
      </c>
      <c r="K7085" t="str">
        <f>"45031"</f>
        <v>45031</v>
      </c>
    </row>
    <row r="7086" spans="1:11" x14ac:dyDescent="0.25">
      <c r="A7086">
        <v>2025</v>
      </c>
      <c r="B7086" t="s">
        <v>7105</v>
      </c>
      <c r="C7086" t="s">
        <v>7107</v>
      </c>
      <c r="D7086" t="s">
        <v>105</v>
      </c>
      <c r="E7086" t="s">
        <v>20</v>
      </c>
      <c r="F7086" t="str">
        <f>"43528"</f>
        <v>43528</v>
      </c>
      <c r="G7086" t="str">
        <f>"759796"</f>
        <v>759796</v>
      </c>
      <c r="H7086" s="2">
        <f>25</f>
        <v>25</v>
      </c>
      <c r="I7086" t="s">
        <v>27</v>
      </c>
      <c r="J7086" t="s">
        <v>188</v>
      </c>
      <c r="K7086" t="str">
        <f>"45032"</f>
        <v>45032</v>
      </c>
    </row>
    <row r="7087" spans="1:11" x14ac:dyDescent="0.25">
      <c r="A7087">
        <v>2025</v>
      </c>
      <c r="B7087" t="s">
        <v>7111</v>
      </c>
      <c r="C7087" t="s">
        <v>7112</v>
      </c>
      <c r="D7087" t="s">
        <v>19</v>
      </c>
      <c r="E7087" t="s">
        <v>20</v>
      </c>
      <c r="F7087" t="str">
        <f>"43605-1343"</f>
        <v>43605-1343</v>
      </c>
      <c r="G7087" t="str">
        <f>"753658"</f>
        <v>753658</v>
      </c>
      <c r="H7087" s="2">
        <f>90</f>
        <v>90</v>
      </c>
      <c r="I7087" t="s">
        <v>27</v>
      </c>
      <c r="J7087" t="s">
        <v>39</v>
      </c>
      <c r="K7087" t="str">
        <f>"126602"</f>
        <v>126602</v>
      </c>
    </row>
    <row r="7088" spans="1:11" x14ac:dyDescent="0.25">
      <c r="A7088">
        <v>2025</v>
      </c>
      <c r="B7088" t="s">
        <v>7126</v>
      </c>
      <c r="C7088" t="s">
        <v>7127</v>
      </c>
      <c r="D7088" t="s">
        <v>125</v>
      </c>
      <c r="E7088" t="s">
        <v>20</v>
      </c>
      <c r="F7088" t="str">
        <f>"43537-3756"</f>
        <v>43537-3756</v>
      </c>
      <c r="G7088" t="str">
        <f>"753658"</f>
        <v>753658</v>
      </c>
      <c r="H7088" s="2">
        <f>10</f>
        <v>10</v>
      </c>
      <c r="I7088" t="s">
        <v>27</v>
      </c>
      <c r="J7088" t="s">
        <v>39</v>
      </c>
      <c r="K7088" t="str">
        <f>"127817"</f>
        <v>127817</v>
      </c>
    </row>
    <row r="7089" spans="1:11" x14ac:dyDescent="0.25">
      <c r="A7089">
        <v>2025</v>
      </c>
      <c r="B7089" t="s">
        <v>7130</v>
      </c>
      <c r="C7089" t="s">
        <v>7131</v>
      </c>
      <c r="D7089" t="s">
        <v>19</v>
      </c>
      <c r="E7089" t="s">
        <v>20</v>
      </c>
      <c r="F7089" t="str">
        <f>"43615-3369"</f>
        <v>43615-3369</v>
      </c>
      <c r="G7089" t="str">
        <f>"753658"</f>
        <v>753658</v>
      </c>
      <c r="H7089" s="2">
        <f>20</f>
        <v>20</v>
      </c>
      <c r="I7089" t="s">
        <v>27</v>
      </c>
      <c r="J7089" t="s">
        <v>39</v>
      </c>
      <c r="K7089" t="str">
        <f>"128647"</f>
        <v>128647</v>
      </c>
    </row>
    <row r="7090" spans="1:11" x14ac:dyDescent="0.25">
      <c r="A7090">
        <v>2025</v>
      </c>
      <c r="B7090" t="s">
        <v>7134</v>
      </c>
      <c r="C7090" t="s">
        <v>7135</v>
      </c>
      <c r="D7090" t="s">
        <v>19</v>
      </c>
      <c r="E7090" t="s">
        <v>20</v>
      </c>
      <c r="F7090" t="str">
        <f>"43610"</f>
        <v>43610</v>
      </c>
      <c r="G7090" t="str">
        <f>"751639"</f>
        <v>751639</v>
      </c>
      <c r="H7090" s="2">
        <f>12.9</f>
        <v>12.9</v>
      </c>
      <c r="I7090" t="s">
        <v>27</v>
      </c>
      <c r="J7090" t="s">
        <v>96</v>
      </c>
      <c r="K7090" t="str">
        <f>"334939"</f>
        <v>334939</v>
      </c>
    </row>
    <row r="7091" spans="1:11" x14ac:dyDescent="0.25">
      <c r="A7091">
        <v>2025</v>
      </c>
      <c r="B7091" t="s">
        <v>7140</v>
      </c>
      <c r="C7091" t="s">
        <v>7141</v>
      </c>
      <c r="D7091" t="s">
        <v>19</v>
      </c>
      <c r="E7091" t="s">
        <v>20</v>
      </c>
      <c r="F7091" t="str">
        <f>"43615-4713"</f>
        <v>43615-4713</v>
      </c>
      <c r="G7091" t="str">
        <f>"753658"</f>
        <v>753658</v>
      </c>
      <c r="H7091" s="2">
        <f>20</f>
        <v>20</v>
      </c>
      <c r="I7091" t="s">
        <v>27</v>
      </c>
      <c r="J7091" t="s">
        <v>39</v>
      </c>
      <c r="K7091" t="str">
        <f>"127716"</f>
        <v>127716</v>
      </c>
    </row>
    <row r="7092" spans="1:11" x14ac:dyDescent="0.25">
      <c r="A7092">
        <v>2025</v>
      </c>
      <c r="B7092" t="s">
        <v>7146</v>
      </c>
      <c r="C7092" t="s">
        <v>7147</v>
      </c>
      <c r="D7092" t="s">
        <v>19</v>
      </c>
      <c r="E7092" t="s">
        <v>20</v>
      </c>
      <c r="F7092" t="str">
        <f>"43615-8241"</f>
        <v>43615-8241</v>
      </c>
      <c r="G7092" t="str">
        <f>"753658"</f>
        <v>753658</v>
      </c>
      <c r="H7092" s="2">
        <f>10</f>
        <v>10</v>
      </c>
      <c r="I7092" t="s">
        <v>27</v>
      </c>
      <c r="J7092" t="s">
        <v>39</v>
      </c>
      <c r="K7092" t="str">
        <f>"127590"</f>
        <v>127590</v>
      </c>
    </row>
    <row r="7093" spans="1:11" x14ac:dyDescent="0.25">
      <c r="A7093">
        <v>2025</v>
      </c>
      <c r="B7093" t="s">
        <v>7148</v>
      </c>
      <c r="C7093" t="s">
        <v>7149</v>
      </c>
      <c r="D7093" t="s">
        <v>58</v>
      </c>
      <c r="E7093" t="s">
        <v>20</v>
      </c>
      <c r="F7093" t="str">
        <f>"43616"</f>
        <v>43616</v>
      </c>
      <c r="G7093" t="str">
        <f>"759796"</f>
        <v>759796</v>
      </c>
      <c r="H7093" s="2">
        <f>20</f>
        <v>20</v>
      </c>
      <c r="I7093" t="s">
        <v>27</v>
      </c>
      <c r="J7093" t="s">
        <v>188</v>
      </c>
      <c r="K7093" t="str">
        <f>"46453"</f>
        <v>46453</v>
      </c>
    </row>
    <row r="7094" spans="1:11" x14ac:dyDescent="0.25">
      <c r="A7094">
        <v>2025</v>
      </c>
      <c r="B7094" t="s">
        <v>7150</v>
      </c>
      <c r="C7094" t="s">
        <v>7151</v>
      </c>
      <c r="D7094" t="s">
        <v>19</v>
      </c>
      <c r="E7094" t="s">
        <v>20</v>
      </c>
      <c r="F7094" t="str">
        <f>"43603"</f>
        <v>43603</v>
      </c>
      <c r="G7094" t="str">
        <f>"759796"</f>
        <v>759796</v>
      </c>
      <c r="H7094" s="2">
        <f>200</f>
        <v>200</v>
      </c>
      <c r="I7094" t="s">
        <v>27</v>
      </c>
      <c r="J7094" t="s">
        <v>188</v>
      </c>
      <c r="K7094" t="str">
        <f>"46062"</f>
        <v>46062</v>
      </c>
    </row>
    <row r="7095" spans="1:11" x14ac:dyDescent="0.25">
      <c r="A7095">
        <v>2025</v>
      </c>
      <c r="B7095" t="s">
        <v>7160</v>
      </c>
      <c r="C7095" t="s">
        <v>7161</v>
      </c>
      <c r="D7095" t="s">
        <v>58</v>
      </c>
      <c r="E7095" t="s">
        <v>20</v>
      </c>
      <c r="F7095" t="str">
        <f>"43616-5617"</f>
        <v>43616-5617</v>
      </c>
      <c r="G7095" t="str">
        <f>"753658"</f>
        <v>753658</v>
      </c>
      <c r="H7095" s="2">
        <f>10</f>
        <v>10</v>
      </c>
      <c r="I7095" t="s">
        <v>27</v>
      </c>
      <c r="J7095" t="s">
        <v>39</v>
      </c>
      <c r="K7095" t="str">
        <f>"131913"</f>
        <v>131913</v>
      </c>
    </row>
    <row r="7096" spans="1:11" x14ac:dyDescent="0.25">
      <c r="A7096">
        <v>2025</v>
      </c>
      <c r="B7096" t="s">
        <v>7162</v>
      </c>
      <c r="C7096" t="s">
        <v>7163</v>
      </c>
      <c r="D7096" t="s">
        <v>58</v>
      </c>
      <c r="E7096" t="s">
        <v>20</v>
      </c>
      <c r="F7096" t="str">
        <f>"43616-2707"</f>
        <v>43616-2707</v>
      </c>
      <c r="G7096" t="str">
        <f>"753658"</f>
        <v>753658</v>
      </c>
      <c r="H7096" s="2">
        <f>10</f>
        <v>10</v>
      </c>
      <c r="I7096" t="s">
        <v>27</v>
      </c>
      <c r="J7096" t="s">
        <v>39</v>
      </c>
      <c r="K7096" t="str">
        <f>"129305"</f>
        <v>129305</v>
      </c>
    </row>
    <row r="7097" spans="1:11" x14ac:dyDescent="0.25">
      <c r="A7097">
        <v>2025</v>
      </c>
      <c r="B7097" t="s">
        <v>7169</v>
      </c>
      <c r="C7097" t="s">
        <v>7170</v>
      </c>
      <c r="D7097" t="s">
        <v>19</v>
      </c>
      <c r="E7097" t="s">
        <v>20</v>
      </c>
      <c r="F7097" t="str">
        <f>"43605-1252"</f>
        <v>43605-1252</v>
      </c>
      <c r="G7097" t="str">
        <f>"753658"</f>
        <v>753658</v>
      </c>
      <c r="H7097" s="2">
        <f>20</f>
        <v>20</v>
      </c>
      <c r="I7097" t="s">
        <v>27</v>
      </c>
      <c r="J7097" t="s">
        <v>39</v>
      </c>
      <c r="K7097" t="str">
        <f>"126718"</f>
        <v>126718</v>
      </c>
    </row>
    <row r="7098" spans="1:11" x14ac:dyDescent="0.25">
      <c r="A7098">
        <v>2025</v>
      </c>
      <c r="B7098" t="s">
        <v>7214</v>
      </c>
      <c r="C7098" t="s">
        <v>7215</v>
      </c>
      <c r="D7098" t="s">
        <v>50</v>
      </c>
      <c r="E7098" t="s">
        <v>20</v>
      </c>
      <c r="F7098" t="str">
        <f>"43560-3238"</f>
        <v>43560-3238</v>
      </c>
      <c r="G7098" t="str">
        <f>"753658"</f>
        <v>753658</v>
      </c>
      <c r="H7098" s="2">
        <f>20</f>
        <v>20</v>
      </c>
      <c r="I7098" t="s">
        <v>27</v>
      </c>
      <c r="J7098" t="s">
        <v>39</v>
      </c>
      <c r="K7098" t="str">
        <f>"131784"</f>
        <v>131784</v>
      </c>
    </row>
    <row r="7099" spans="1:11" x14ac:dyDescent="0.25">
      <c r="A7099">
        <v>2025</v>
      </c>
      <c r="B7099" t="s">
        <v>7224</v>
      </c>
      <c r="C7099" t="s">
        <v>7225</v>
      </c>
      <c r="D7099" t="s">
        <v>64</v>
      </c>
      <c r="E7099" t="s">
        <v>20</v>
      </c>
      <c r="F7099" t="str">
        <f>"43566-1520"</f>
        <v>43566-1520</v>
      </c>
      <c r="G7099" t="str">
        <f>"753658"</f>
        <v>753658</v>
      </c>
      <c r="H7099" s="2">
        <f>10</f>
        <v>10</v>
      </c>
      <c r="I7099" t="s">
        <v>27</v>
      </c>
      <c r="J7099" t="s">
        <v>39</v>
      </c>
      <c r="K7099" t="str">
        <f>"129601"</f>
        <v>129601</v>
      </c>
    </row>
    <row r="7100" spans="1:11" x14ac:dyDescent="0.25">
      <c r="A7100">
        <v>2025</v>
      </c>
      <c r="B7100" t="s">
        <v>7232</v>
      </c>
      <c r="C7100" t="s">
        <v>7233</v>
      </c>
      <c r="D7100" t="s">
        <v>19</v>
      </c>
      <c r="E7100" t="s">
        <v>20</v>
      </c>
      <c r="F7100" t="str">
        <f>"43606"</f>
        <v>43606</v>
      </c>
      <c r="G7100" t="str">
        <f>"740128"</f>
        <v>740128</v>
      </c>
      <c r="H7100" s="2">
        <f>12.1</f>
        <v>12.1</v>
      </c>
      <c r="I7100" t="s">
        <v>148</v>
      </c>
      <c r="J7100" t="s">
        <v>7234</v>
      </c>
      <c r="K7100" t="str">
        <f>"27417"</f>
        <v>27417</v>
      </c>
    </row>
    <row r="7101" spans="1:11" x14ac:dyDescent="0.25">
      <c r="A7101">
        <v>2025</v>
      </c>
      <c r="B7101" t="s">
        <v>7240</v>
      </c>
      <c r="C7101" t="s">
        <v>7241</v>
      </c>
      <c r="D7101" t="s">
        <v>64</v>
      </c>
      <c r="E7101" t="s">
        <v>20</v>
      </c>
      <c r="F7101" t="str">
        <f>"43566-1152"</f>
        <v>43566-1152</v>
      </c>
      <c r="G7101" t="str">
        <f t="shared" ref="G7101:G7115" si="260">"753658"</f>
        <v>753658</v>
      </c>
      <c r="H7101" s="2">
        <f>20</f>
        <v>20</v>
      </c>
      <c r="I7101" t="s">
        <v>27</v>
      </c>
      <c r="J7101" t="s">
        <v>39</v>
      </c>
      <c r="K7101" t="str">
        <f>"126618"</f>
        <v>126618</v>
      </c>
    </row>
    <row r="7102" spans="1:11" x14ac:dyDescent="0.25">
      <c r="A7102">
        <v>2025</v>
      </c>
      <c r="B7102" t="s">
        <v>7242</v>
      </c>
      <c r="C7102" t="s">
        <v>1582</v>
      </c>
      <c r="D7102" t="s">
        <v>164</v>
      </c>
      <c r="E7102" t="s">
        <v>20</v>
      </c>
      <c r="F7102" t="str">
        <f>"43558-9456"</f>
        <v>43558-9456</v>
      </c>
      <c r="G7102" t="str">
        <f t="shared" si="260"/>
        <v>753658</v>
      </c>
      <c r="H7102" s="2">
        <f>20</f>
        <v>20</v>
      </c>
      <c r="I7102" t="s">
        <v>27</v>
      </c>
      <c r="J7102" t="s">
        <v>39</v>
      </c>
      <c r="K7102" t="str">
        <f>"125527"</f>
        <v>125527</v>
      </c>
    </row>
    <row r="7103" spans="1:11" x14ac:dyDescent="0.25">
      <c r="A7103">
        <v>2025</v>
      </c>
      <c r="B7103" t="s">
        <v>7252</v>
      </c>
      <c r="C7103" t="s">
        <v>7253</v>
      </c>
      <c r="D7103" t="s">
        <v>19</v>
      </c>
      <c r="E7103" t="s">
        <v>20</v>
      </c>
      <c r="F7103" t="str">
        <f>"43614-2807"</f>
        <v>43614-2807</v>
      </c>
      <c r="G7103" t="str">
        <f t="shared" si="260"/>
        <v>753658</v>
      </c>
      <c r="H7103" s="2">
        <f>20</f>
        <v>20</v>
      </c>
      <c r="I7103" t="s">
        <v>27</v>
      </c>
      <c r="J7103" t="s">
        <v>39</v>
      </c>
      <c r="K7103" t="str">
        <f>"132061"</f>
        <v>132061</v>
      </c>
    </row>
    <row r="7104" spans="1:11" x14ac:dyDescent="0.25">
      <c r="A7104">
        <v>2025</v>
      </c>
      <c r="B7104" t="s">
        <v>7294</v>
      </c>
      <c r="C7104" t="s">
        <v>7295</v>
      </c>
      <c r="D7104" t="s">
        <v>19</v>
      </c>
      <c r="E7104" t="s">
        <v>20</v>
      </c>
      <c r="F7104" t="str">
        <f>"43605-3503"</f>
        <v>43605-3503</v>
      </c>
      <c r="G7104" t="str">
        <f t="shared" si="260"/>
        <v>753658</v>
      </c>
      <c r="H7104" s="2">
        <f>10</f>
        <v>10</v>
      </c>
      <c r="I7104" t="s">
        <v>27</v>
      </c>
      <c r="J7104" t="s">
        <v>39</v>
      </c>
      <c r="K7104" t="str">
        <f>"128227"</f>
        <v>128227</v>
      </c>
    </row>
    <row r="7105" spans="1:11" x14ac:dyDescent="0.25">
      <c r="A7105">
        <v>2025</v>
      </c>
      <c r="B7105" t="s">
        <v>7324</v>
      </c>
      <c r="C7105" t="s">
        <v>5318</v>
      </c>
      <c r="D7105" t="s">
        <v>19</v>
      </c>
      <c r="E7105" t="s">
        <v>20</v>
      </c>
      <c r="F7105" t="str">
        <f>"43615-1605"</f>
        <v>43615-1605</v>
      </c>
      <c r="G7105" t="str">
        <f t="shared" si="260"/>
        <v>753658</v>
      </c>
      <c r="H7105" s="2">
        <f>10</f>
        <v>10</v>
      </c>
      <c r="I7105" t="s">
        <v>27</v>
      </c>
      <c r="J7105" t="s">
        <v>39</v>
      </c>
      <c r="K7105" t="str">
        <f>"128083"</f>
        <v>128083</v>
      </c>
    </row>
    <row r="7106" spans="1:11" x14ac:dyDescent="0.25">
      <c r="A7106">
        <v>2025</v>
      </c>
      <c r="B7106" t="s">
        <v>7350</v>
      </c>
      <c r="C7106" t="s">
        <v>7347</v>
      </c>
      <c r="D7106" t="s">
        <v>19</v>
      </c>
      <c r="E7106" t="s">
        <v>20</v>
      </c>
      <c r="F7106" t="str">
        <f>"43613-5325"</f>
        <v>43613-5325</v>
      </c>
      <c r="G7106" t="str">
        <f t="shared" si="260"/>
        <v>753658</v>
      </c>
      <c r="H7106" s="2">
        <f>30</f>
        <v>30</v>
      </c>
      <c r="I7106" t="s">
        <v>27</v>
      </c>
      <c r="J7106" t="s">
        <v>39</v>
      </c>
      <c r="K7106" t="str">
        <f>"131325"</f>
        <v>131325</v>
      </c>
    </row>
    <row r="7107" spans="1:11" x14ac:dyDescent="0.25">
      <c r="A7107">
        <v>2025</v>
      </c>
      <c r="B7107" t="s">
        <v>7351</v>
      </c>
      <c r="C7107" t="s">
        <v>7352</v>
      </c>
      <c r="D7107" t="s">
        <v>19</v>
      </c>
      <c r="E7107" t="s">
        <v>20</v>
      </c>
      <c r="F7107" t="str">
        <f>"43614-4548"</f>
        <v>43614-4548</v>
      </c>
      <c r="G7107" t="str">
        <f t="shared" si="260"/>
        <v>753658</v>
      </c>
      <c r="H7107" s="2">
        <f>10</f>
        <v>10</v>
      </c>
      <c r="I7107" t="s">
        <v>27</v>
      </c>
      <c r="J7107" t="s">
        <v>39</v>
      </c>
      <c r="K7107" t="str">
        <f>"129775"</f>
        <v>129775</v>
      </c>
    </row>
    <row r="7108" spans="1:11" x14ac:dyDescent="0.25">
      <c r="A7108">
        <v>2025</v>
      </c>
      <c r="B7108" t="s">
        <v>7358</v>
      </c>
      <c r="C7108" t="s">
        <v>7359</v>
      </c>
      <c r="D7108" t="s">
        <v>19</v>
      </c>
      <c r="E7108" t="s">
        <v>20</v>
      </c>
      <c r="F7108" t="str">
        <f>"43607"</f>
        <v>43607</v>
      </c>
      <c r="G7108" t="str">
        <f t="shared" si="260"/>
        <v>753658</v>
      </c>
      <c r="H7108" s="2">
        <f>10</f>
        <v>10</v>
      </c>
      <c r="I7108" t="s">
        <v>27</v>
      </c>
      <c r="J7108" t="s">
        <v>39</v>
      </c>
      <c r="K7108" t="str">
        <f>"128562"</f>
        <v>128562</v>
      </c>
    </row>
    <row r="7109" spans="1:11" x14ac:dyDescent="0.25">
      <c r="A7109">
        <v>2025</v>
      </c>
      <c r="B7109" t="s">
        <v>7378</v>
      </c>
      <c r="C7109" t="s">
        <v>7379</v>
      </c>
      <c r="D7109" t="s">
        <v>58</v>
      </c>
      <c r="E7109" t="s">
        <v>20</v>
      </c>
      <c r="F7109" t="str">
        <f>"43616-3947"</f>
        <v>43616-3947</v>
      </c>
      <c r="G7109" t="str">
        <f t="shared" si="260"/>
        <v>753658</v>
      </c>
      <c r="H7109" s="2">
        <f>10</f>
        <v>10</v>
      </c>
      <c r="I7109" t="s">
        <v>27</v>
      </c>
      <c r="J7109" t="s">
        <v>39</v>
      </c>
      <c r="K7109" t="str">
        <f>"129630"</f>
        <v>129630</v>
      </c>
    </row>
    <row r="7110" spans="1:11" x14ac:dyDescent="0.25">
      <c r="A7110">
        <v>2025</v>
      </c>
      <c r="B7110" t="s">
        <v>7391</v>
      </c>
      <c r="C7110" t="s">
        <v>7392</v>
      </c>
      <c r="D7110" t="s">
        <v>125</v>
      </c>
      <c r="E7110" t="s">
        <v>20</v>
      </c>
      <c r="F7110" t="str">
        <f>"43537-1174"</f>
        <v>43537-1174</v>
      </c>
      <c r="G7110" t="str">
        <f t="shared" si="260"/>
        <v>753658</v>
      </c>
      <c r="H7110" s="2">
        <f>30</f>
        <v>30</v>
      </c>
      <c r="I7110" t="s">
        <v>27</v>
      </c>
      <c r="J7110" t="s">
        <v>39</v>
      </c>
      <c r="K7110" t="str">
        <f>"127138"</f>
        <v>127138</v>
      </c>
    </row>
    <row r="7111" spans="1:11" x14ac:dyDescent="0.25">
      <c r="A7111">
        <v>2025</v>
      </c>
      <c r="B7111" t="s">
        <v>7399</v>
      </c>
      <c r="C7111" t="s">
        <v>7400</v>
      </c>
      <c r="D7111" t="s">
        <v>19</v>
      </c>
      <c r="E7111" t="s">
        <v>20</v>
      </c>
      <c r="F7111" t="str">
        <f>"43623-1156"</f>
        <v>43623-1156</v>
      </c>
      <c r="G7111" t="str">
        <f t="shared" si="260"/>
        <v>753658</v>
      </c>
      <c r="H7111" s="2">
        <f>20</f>
        <v>20</v>
      </c>
      <c r="I7111" t="s">
        <v>27</v>
      </c>
      <c r="J7111" t="s">
        <v>39</v>
      </c>
      <c r="K7111" t="str">
        <f>"130030"</f>
        <v>130030</v>
      </c>
    </row>
    <row r="7112" spans="1:11" x14ac:dyDescent="0.25">
      <c r="A7112">
        <v>2025</v>
      </c>
      <c r="B7112" t="s">
        <v>7401</v>
      </c>
      <c r="C7112" t="s">
        <v>7402</v>
      </c>
      <c r="D7112" t="s">
        <v>19</v>
      </c>
      <c r="E7112" t="s">
        <v>20</v>
      </c>
      <c r="F7112" t="str">
        <f>"43623-4129"</f>
        <v>43623-4129</v>
      </c>
      <c r="G7112" t="str">
        <f t="shared" si="260"/>
        <v>753658</v>
      </c>
      <c r="H7112" s="2">
        <f>40</f>
        <v>40</v>
      </c>
      <c r="I7112" t="s">
        <v>27</v>
      </c>
      <c r="J7112" t="s">
        <v>39</v>
      </c>
      <c r="K7112" t="str">
        <f>"129848"</f>
        <v>129848</v>
      </c>
    </row>
    <row r="7113" spans="1:11" x14ac:dyDescent="0.25">
      <c r="A7113">
        <v>2025</v>
      </c>
      <c r="B7113" t="s">
        <v>7403</v>
      </c>
      <c r="C7113" t="s">
        <v>7404</v>
      </c>
      <c r="D7113" t="s">
        <v>19</v>
      </c>
      <c r="E7113" t="s">
        <v>20</v>
      </c>
      <c r="F7113" t="str">
        <f>"43606-2627"</f>
        <v>43606-2627</v>
      </c>
      <c r="G7113" t="str">
        <f t="shared" si="260"/>
        <v>753658</v>
      </c>
      <c r="H7113" s="2">
        <f>10</f>
        <v>10</v>
      </c>
      <c r="I7113" t="s">
        <v>27</v>
      </c>
      <c r="J7113" t="s">
        <v>39</v>
      </c>
      <c r="K7113" t="str">
        <f>"130936"</f>
        <v>130936</v>
      </c>
    </row>
    <row r="7114" spans="1:11" x14ac:dyDescent="0.25">
      <c r="A7114">
        <v>2025</v>
      </c>
      <c r="B7114" t="s">
        <v>7407</v>
      </c>
      <c r="C7114" t="s">
        <v>5941</v>
      </c>
      <c r="D7114" t="s">
        <v>19</v>
      </c>
      <c r="E7114" t="s">
        <v>20</v>
      </c>
      <c r="F7114" t="str">
        <f>"43612-3145"</f>
        <v>43612-3145</v>
      </c>
      <c r="G7114" t="str">
        <f t="shared" si="260"/>
        <v>753658</v>
      </c>
      <c r="H7114" s="2">
        <f>10</f>
        <v>10</v>
      </c>
      <c r="I7114" t="s">
        <v>27</v>
      </c>
      <c r="J7114" t="s">
        <v>39</v>
      </c>
      <c r="K7114" t="str">
        <f>"131689"</f>
        <v>131689</v>
      </c>
    </row>
    <row r="7115" spans="1:11" x14ac:dyDescent="0.25">
      <c r="A7115">
        <v>2025</v>
      </c>
      <c r="B7115" t="s">
        <v>7412</v>
      </c>
      <c r="C7115" t="s">
        <v>7413</v>
      </c>
      <c r="D7115" t="s">
        <v>19</v>
      </c>
      <c r="E7115" t="s">
        <v>20</v>
      </c>
      <c r="F7115" t="str">
        <f>"43623-3848"</f>
        <v>43623-3848</v>
      </c>
      <c r="G7115" t="str">
        <f t="shared" si="260"/>
        <v>753658</v>
      </c>
      <c r="H7115" s="2">
        <f>20</f>
        <v>20</v>
      </c>
      <c r="I7115" t="s">
        <v>27</v>
      </c>
      <c r="J7115" t="s">
        <v>39</v>
      </c>
      <c r="K7115" t="str">
        <f>"129877"</f>
        <v>129877</v>
      </c>
    </row>
    <row r="7116" spans="1:11" x14ac:dyDescent="0.25">
      <c r="A7116">
        <v>2025</v>
      </c>
      <c r="B7116" t="s">
        <v>7416</v>
      </c>
      <c r="C7116" t="s">
        <v>7417</v>
      </c>
      <c r="D7116" t="s">
        <v>111</v>
      </c>
      <c r="E7116" t="s">
        <v>20</v>
      </c>
      <c r="F7116" t="str">
        <f>"43219"</f>
        <v>43219</v>
      </c>
      <c r="G7116" t="str">
        <f>"759796"</f>
        <v>759796</v>
      </c>
      <c r="H7116" s="2">
        <f>550</f>
        <v>550</v>
      </c>
      <c r="I7116" t="s">
        <v>27</v>
      </c>
      <c r="J7116" t="s">
        <v>188</v>
      </c>
      <c r="K7116" t="str">
        <f>"43687"</f>
        <v>43687</v>
      </c>
    </row>
    <row r="7117" spans="1:11" x14ac:dyDescent="0.25">
      <c r="A7117">
        <v>2025</v>
      </c>
      <c r="B7117" t="s">
        <v>7442</v>
      </c>
      <c r="C7117" t="s">
        <v>7443</v>
      </c>
      <c r="D7117" t="s">
        <v>50</v>
      </c>
      <c r="E7117" t="s">
        <v>20</v>
      </c>
      <c r="F7117" t="str">
        <f>"43560"</f>
        <v>43560</v>
      </c>
      <c r="G7117" t="str">
        <f t="shared" ref="G7117:G7123" si="261">"753658"</f>
        <v>753658</v>
      </c>
      <c r="H7117" s="2">
        <f>10</f>
        <v>10</v>
      </c>
      <c r="I7117" t="s">
        <v>27</v>
      </c>
      <c r="J7117" t="s">
        <v>39</v>
      </c>
      <c r="K7117" t="str">
        <f>"128705"</f>
        <v>128705</v>
      </c>
    </row>
    <row r="7118" spans="1:11" x14ac:dyDescent="0.25">
      <c r="A7118">
        <v>2025</v>
      </c>
      <c r="B7118" t="s">
        <v>7452</v>
      </c>
      <c r="C7118" t="s">
        <v>7453</v>
      </c>
      <c r="D7118" t="s">
        <v>50</v>
      </c>
      <c r="E7118" t="s">
        <v>20</v>
      </c>
      <c r="F7118" t="str">
        <f>"43560-9462"</f>
        <v>43560-9462</v>
      </c>
      <c r="G7118" t="str">
        <f t="shared" si="261"/>
        <v>753658</v>
      </c>
      <c r="H7118" s="2">
        <f>30</f>
        <v>30</v>
      </c>
      <c r="I7118" t="s">
        <v>27</v>
      </c>
      <c r="J7118" t="s">
        <v>39</v>
      </c>
      <c r="K7118" t="str">
        <f>"127285"</f>
        <v>127285</v>
      </c>
    </row>
    <row r="7119" spans="1:11" x14ac:dyDescent="0.25">
      <c r="A7119">
        <v>2025</v>
      </c>
      <c r="B7119" t="s">
        <v>7460</v>
      </c>
      <c r="C7119" t="s">
        <v>7461</v>
      </c>
      <c r="D7119" t="s">
        <v>50</v>
      </c>
      <c r="E7119" t="s">
        <v>20</v>
      </c>
      <c r="F7119" t="str">
        <f>"43560-9203"</f>
        <v>43560-9203</v>
      </c>
      <c r="G7119" t="str">
        <f t="shared" si="261"/>
        <v>753658</v>
      </c>
      <c r="H7119" s="2">
        <f>20</f>
        <v>20</v>
      </c>
      <c r="I7119" t="s">
        <v>27</v>
      </c>
      <c r="J7119" t="s">
        <v>39</v>
      </c>
      <c r="K7119" t="str">
        <f>"126682"</f>
        <v>126682</v>
      </c>
    </row>
    <row r="7120" spans="1:11" x14ac:dyDescent="0.25">
      <c r="A7120">
        <v>2025</v>
      </c>
      <c r="B7120" t="s">
        <v>7464</v>
      </c>
      <c r="C7120" t="s">
        <v>7465</v>
      </c>
      <c r="D7120" t="s">
        <v>164</v>
      </c>
      <c r="E7120" t="s">
        <v>20</v>
      </c>
      <c r="F7120" t="str">
        <f>"43558-8661"</f>
        <v>43558-8661</v>
      </c>
      <c r="G7120" t="str">
        <f t="shared" si="261"/>
        <v>753658</v>
      </c>
      <c r="H7120" s="2">
        <f>20</f>
        <v>20</v>
      </c>
      <c r="I7120" t="s">
        <v>27</v>
      </c>
      <c r="J7120" t="s">
        <v>39</v>
      </c>
      <c r="K7120" t="str">
        <f>"130893"</f>
        <v>130893</v>
      </c>
    </row>
    <row r="7121" spans="1:11" x14ac:dyDescent="0.25">
      <c r="A7121">
        <v>2025</v>
      </c>
      <c r="B7121" t="s">
        <v>7466</v>
      </c>
      <c r="C7121" t="s">
        <v>7467</v>
      </c>
      <c r="D7121" t="s">
        <v>19</v>
      </c>
      <c r="E7121" t="s">
        <v>20</v>
      </c>
      <c r="F7121" t="str">
        <f>"43612-3119"</f>
        <v>43612-3119</v>
      </c>
      <c r="G7121" t="str">
        <f t="shared" si="261"/>
        <v>753658</v>
      </c>
      <c r="H7121" s="2">
        <f>10</f>
        <v>10</v>
      </c>
      <c r="I7121" t="s">
        <v>27</v>
      </c>
      <c r="J7121" t="s">
        <v>39</v>
      </c>
      <c r="K7121" t="str">
        <f>"126584"</f>
        <v>126584</v>
      </c>
    </row>
    <row r="7122" spans="1:11" x14ac:dyDescent="0.25">
      <c r="A7122">
        <v>2025</v>
      </c>
      <c r="B7122" t="s">
        <v>7468</v>
      </c>
      <c r="C7122" t="s">
        <v>7469</v>
      </c>
      <c r="D7122" t="s">
        <v>45</v>
      </c>
      <c r="E7122" t="s">
        <v>20</v>
      </c>
      <c r="F7122" t="str">
        <f>"43542-8601"</f>
        <v>43542-8601</v>
      </c>
      <c r="G7122" t="str">
        <f t="shared" si="261"/>
        <v>753658</v>
      </c>
      <c r="H7122" s="2">
        <f>10</f>
        <v>10</v>
      </c>
      <c r="I7122" t="s">
        <v>27</v>
      </c>
      <c r="J7122" t="s">
        <v>39</v>
      </c>
      <c r="K7122" t="str">
        <f>"126505"</f>
        <v>126505</v>
      </c>
    </row>
    <row r="7123" spans="1:11" x14ac:dyDescent="0.25">
      <c r="A7123">
        <v>2025</v>
      </c>
      <c r="B7123" t="s">
        <v>7476</v>
      </c>
      <c r="C7123" t="s">
        <v>7477</v>
      </c>
      <c r="D7123" t="s">
        <v>19</v>
      </c>
      <c r="E7123" t="s">
        <v>20</v>
      </c>
      <c r="F7123" t="str">
        <f>"43611-2469"</f>
        <v>43611-2469</v>
      </c>
      <c r="G7123" t="str">
        <f t="shared" si="261"/>
        <v>753658</v>
      </c>
      <c r="H7123" s="2">
        <f>10</f>
        <v>10</v>
      </c>
      <c r="I7123" t="s">
        <v>27</v>
      </c>
      <c r="J7123" t="s">
        <v>39</v>
      </c>
      <c r="K7123" t="str">
        <f>"131845"</f>
        <v>131845</v>
      </c>
    </row>
    <row r="7124" spans="1:11" x14ac:dyDescent="0.25">
      <c r="A7124">
        <v>2025</v>
      </c>
      <c r="B7124" t="s">
        <v>7482</v>
      </c>
      <c r="C7124" t="s">
        <v>1101</v>
      </c>
      <c r="D7124" t="s">
        <v>1005</v>
      </c>
      <c r="E7124" t="s">
        <v>20</v>
      </c>
      <c r="F7124" t="str">
        <f>"44139"</f>
        <v>44139</v>
      </c>
      <c r="G7124" t="str">
        <f>"759796"</f>
        <v>759796</v>
      </c>
      <c r="H7124" s="2">
        <f>63.15</f>
        <v>63.15</v>
      </c>
      <c r="I7124" t="s">
        <v>27</v>
      </c>
      <c r="J7124" t="s">
        <v>188</v>
      </c>
      <c r="K7124" t="str">
        <f>"45513"</f>
        <v>45513</v>
      </c>
    </row>
    <row r="7125" spans="1:11" x14ac:dyDescent="0.25">
      <c r="A7125">
        <v>2025</v>
      </c>
      <c r="B7125" t="s">
        <v>7483</v>
      </c>
      <c r="C7125" t="s">
        <v>1004</v>
      </c>
      <c r="D7125" t="s">
        <v>1005</v>
      </c>
      <c r="E7125" t="s">
        <v>20</v>
      </c>
      <c r="F7125" t="str">
        <f>"44139"</f>
        <v>44139</v>
      </c>
      <c r="G7125" t="str">
        <f>"759796"</f>
        <v>759796</v>
      </c>
      <c r="H7125" s="2">
        <f>203.4</f>
        <v>203.4</v>
      </c>
      <c r="I7125" t="s">
        <v>27</v>
      </c>
      <c r="J7125" t="s">
        <v>188</v>
      </c>
      <c r="K7125" t="str">
        <f>"45266"</f>
        <v>45266</v>
      </c>
    </row>
    <row r="7126" spans="1:11" x14ac:dyDescent="0.25">
      <c r="A7126">
        <v>2025</v>
      </c>
      <c r="B7126" t="s">
        <v>7484</v>
      </c>
      <c r="C7126" t="s">
        <v>7485</v>
      </c>
      <c r="D7126" t="s">
        <v>19</v>
      </c>
      <c r="E7126" t="s">
        <v>20</v>
      </c>
      <c r="F7126" t="str">
        <f>"43604"</f>
        <v>43604</v>
      </c>
      <c r="G7126" t="str">
        <f>"759796"</f>
        <v>759796</v>
      </c>
      <c r="H7126" s="2">
        <f>20.25</f>
        <v>20.25</v>
      </c>
      <c r="I7126" t="s">
        <v>27</v>
      </c>
      <c r="J7126" t="s">
        <v>188</v>
      </c>
      <c r="K7126" t="str">
        <f>"46026"</f>
        <v>46026</v>
      </c>
    </row>
    <row r="7127" spans="1:11" x14ac:dyDescent="0.25">
      <c r="A7127">
        <v>2025</v>
      </c>
      <c r="B7127" t="s">
        <v>7484</v>
      </c>
      <c r="C7127" t="s">
        <v>3565</v>
      </c>
      <c r="D7127" t="s">
        <v>19</v>
      </c>
      <c r="E7127" t="s">
        <v>20</v>
      </c>
      <c r="F7127" t="str">
        <f>"43604"</f>
        <v>43604</v>
      </c>
      <c r="G7127" t="str">
        <f>"759796"</f>
        <v>759796</v>
      </c>
      <c r="H7127" s="2">
        <f>92</f>
        <v>92</v>
      </c>
      <c r="I7127" t="s">
        <v>27</v>
      </c>
      <c r="J7127" t="s">
        <v>188</v>
      </c>
      <c r="K7127" t="str">
        <f>"46374"</f>
        <v>46374</v>
      </c>
    </row>
    <row r="7128" spans="1:11" x14ac:dyDescent="0.25">
      <c r="A7128">
        <v>2025</v>
      </c>
      <c r="B7128" t="s">
        <v>7491</v>
      </c>
      <c r="C7128" t="s">
        <v>7492</v>
      </c>
      <c r="D7128" t="s">
        <v>125</v>
      </c>
      <c r="E7128" t="s">
        <v>20</v>
      </c>
      <c r="F7128" t="str">
        <f>"43537-2538"</f>
        <v>43537-2538</v>
      </c>
      <c r="G7128" t="str">
        <f>"753658"</f>
        <v>753658</v>
      </c>
      <c r="H7128" s="2">
        <f>40</f>
        <v>40</v>
      </c>
      <c r="I7128" t="s">
        <v>27</v>
      </c>
      <c r="J7128" t="s">
        <v>39</v>
      </c>
      <c r="K7128" t="str">
        <f>"125706"</f>
        <v>125706</v>
      </c>
    </row>
    <row r="7129" spans="1:11" x14ac:dyDescent="0.25">
      <c r="A7129">
        <v>2025</v>
      </c>
      <c r="B7129" t="s">
        <v>7493</v>
      </c>
      <c r="C7129" t="s">
        <v>7494</v>
      </c>
      <c r="D7129" t="s">
        <v>19</v>
      </c>
      <c r="E7129" t="s">
        <v>20</v>
      </c>
      <c r="F7129" t="str">
        <f>"43613-5003"</f>
        <v>43613-5003</v>
      </c>
      <c r="G7129" t="str">
        <f>"753658"</f>
        <v>753658</v>
      </c>
      <c r="H7129" s="2">
        <f>20</f>
        <v>20</v>
      </c>
      <c r="I7129" t="s">
        <v>27</v>
      </c>
      <c r="J7129" t="s">
        <v>39</v>
      </c>
      <c r="K7129" t="str">
        <f>"130857"</f>
        <v>130857</v>
      </c>
    </row>
    <row r="7130" spans="1:11" x14ac:dyDescent="0.25">
      <c r="A7130">
        <v>2025</v>
      </c>
      <c r="B7130" t="s">
        <v>7497</v>
      </c>
      <c r="C7130" t="s">
        <v>7498</v>
      </c>
      <c r="D7130" t="s">
        <v>125</v>
      </c>
      <c r="E7130" t="s">
        <v>20</v>
      </c>
      <c r="F7130" t="str">
        <f>"43537-9228"</f>
        <v>43537-9228</v>
      </c>
      <c r="G7130" t="str">
        <f>"753658"</f>
        <v>753658</v>
      </c>
      <c r="H7130" s="2">
        <f>20</f>
        <v>20</v>
      </c>
      <c r="I7130" t="s">
        <v>27</v>
      </c>
      <c r="J7130" t="s">
        <v>39</v>
      </c>
      <c r="K7130" t="str">
        <f>"129191"</f>
        <v>129191</v>
      </c>
    </row>
    <row r="7131" spans="1:11" x14ac:dyDescent="0.25">
      <c r="A7131">
        <v>2025</v>
      </c>
      <c r="B7131" t="s">
        <v>7514</v>
      </c>
      <c r="C7131" t="s">
        <v>7515</v>
      </c>
      <c r="D7131" t="s">
        <v>899</v>
      </c>
      <c r="E7131" t="s">
        <v>20</v>
      </c>
      <c r="F7131" t="str">
        <f>"43412-9419"</f>
        <v>43412-9419</v>
      </c>
      <c r="G7131" t="str">
        <f>"753658"</f>
        <v>753658</v>
      </c>
      <c r="H7131" s="2">
        <f>60</f>
        <v>60</v>
      </c>
      <c r="I7131" t="s">
        <v>27</v>
      </c>
      <c r="J7131" t="s">
        <v>39</v>
      </c>
      <c r="K7131" t="str">
        <f>"131137"</f>
        <v>131137</v>
      </c>
    </row>
    <row r="7132" spans="1:11" x14ac:dyDescent="0.25">
      <c r="A7132">
        <v>2025</v>
      </c>
      <c r="B7132" t="s">
        <v>7516</v>
      </c>
      <c r="C7132" t="s">
        <v>7517</v>
      </c>
      <c r="D7132" t="s">
        <v>19</v>
      </c>
      <c r="E7132" t="s">
        <v>20</v>
      </c>
      <c r="F7132" t="str">
        <f>"43605-2302"</f>
        <v>43605-2302</v>
      </c>
      <c r="G7132" t="str">
        <f>"753658"</f>
        <v>753658</v>
      </c>
      <c r="H7132" s="2">
        <f>10</f>
        <v>10</v>
      </c>
      <c r="I7132" t="s">
        <v>27</v>
      </c>
      <c r="J7132" t="s">
        <v>39</v>
      </c>
      <c r="K7132" t="str">
        <f>"126802"</f>
        <v>126802</v>
      </c>
    </row>
    <row r="7133" spans="1:11" x14ac:dyDescent="0.25">
      <c r="A7133">
        <v>2025</v>
      </c>
      <c r="B7133" t="s">
        <v>7525</v>
      </c>
      <c r="C7133" t="s">
        <v>7526</v>
      </c>
      <c r="D7133" t="s">
        <v>19</v>
      </c>
      <c r="E7133" t="s">
        <v>20</v>
      </c>
      <c r="F7133" t="str">
        <f>"43623"</f>
        <v>43623</v>
      </c>
      <c r="G7133" t="str">
        <f>"759796"</f>
        <v>759796</v>
      </c>
      <c r="H7133" s="2">
        <f>257.88</f>
        <v>257.88</v>
      </c>
      <c r="I7133" t="s">
        <v>27</v>
      </c>
      <c r="J7133" t="s">
        <v>188</v>
      </c>
      <c r="K7133" t="str">
        <f>"45070"</f>
        <v>45070</v>
      </c>
    </row>
    <row r="7134" spans="1:11" x14ac:dyDescent="0.25">
      <c r="A7134">
        <v>2025</v>
      </c>
      <c r="B7134" t="s">
        <v>7531</v>
      </c>
      <c r="C7134" t="s">
        <v>7532</v>
      </c>
      <c r="D7134" t="s">
        <v>45</v>
      </c>
      <c r="E7134" t="s">
        <v>20</v>
      </c>
      <c r="F7134" t="str">
        <f>"43542-9791"</f>
        <v>43542-9791</v>
      </c>
      <c r="G7134" t="str">
        <f>"753658"</f>
        <v>753658</v>
      </c>
      <c r="H7134" s="2">
        <f>60</f>
        <v>60</v>
      </c>
      <c r="I7134" t="s">
        <v>27</v>
      </c>
      <c r="J7134" t="s">
        <v>39</v>
      </c>
      <c r="K7134" t="str">
        <f>"127391"</f>
        <v>127391</v>
      </c>
    </row>
    <row r="7135" spans="1:11" x14ac:dyDescent="0.25">
      <c r="A7135">
        <v>2025</v>
      </c>
      <c r="B7135" t="s">
        <v>7533</v>
      </c>
      <c r="C7135" t="s">
        <v>7534</v>
      </c>
      <c r="D7135" t="s">
        <v>50</v>
      </c>
      <c r="E7135" t="s">
        <v>20</v>
      </c>
      <c r="F7135" t="str">
        <f>"43560-9783"</f>
        <v>43560-9783</v>
      </c>
      <c r="G7135" t="str">
        <f>"753658"</f>
        <v>753658</v>
      </c>
      <c r="H7135" s="2">
        <f>20</f>
        <v>20</v>
      </c>
      <c r="I7135" t="s">
        <v>27</v>
      </c>
      <c r="J7135" t="s">
        <v>39</v>
      </c>
      <c r="K7135" t="str">
        <f>"126072"</f>
        <v>126072</v>
      </c>
    </row>
    <row r="7136" spans="1:11" x14ac:dyDescent="0.25">
      <c r="A7136">
        <v>2025</v>
      </c>
      <c r="B7136" t="s">
        <v>7557</v>
      </c>
      <c r="C7136" t="s">
        <v>7558</v>
      </c>
      <c r="D7136" t="s">
        <v>19</v>
      </c>
      <c r="E7136" t="s">
        <v>20</v>
      </c>
      <c r="F7136" t="str">
        <f>"43611"</f>
        <v>43611</v>
      </c>
      <c r="G7136" t="str">
        <f>"759796"</f>
        <v>759796</v>
      </c>
      <c r="H7136" s="2">
        <f>81.05</f>
        <v>81.05</v>
      </c>
      <c r="I7136" t="s">
        <v>27</v>
      </c>
      <c r="J7136" t="s">
        <v>188</v>
      </c>
      <c r="K7136" t="str">
        <f>"46020"</f>
        <v>46020</v>
      </c>
    </row>
    <row r="7137" spans="1:11" x14ac:dyDescent="0.25">
      <c r="A7137">
        <v>2025</v>
      </c>
      <c r="B7137" t="s">
        <v>7579</v>
      </c>
      <c r="C7137" t="s">
        <v>7580</v>
      </c>
      <c r="D7137" t="s">
        <v>19</v>
      </c>
      <c r="E7137" t="s">
        <v>20</v>
      </c>
      <c r="F7137" t="str">
        <f>"43613-3914"</f>
        <v>43613-3914</v>
      </c>
      <c r="G7137" t="str">
        <f>"753658"</f>
        <v>753658</v>
      </c>
      <c r="H7137" s="2">
        <f>20</f>
        <v>20</v>
      </c>
      <c r="I7137" t="s">
        <v>27</v>
      </c>
      <c r="J7137" t="s">
        <v>39</v>
      </c>
      <c r="K7137" t="str">
        <f>"128358"</f>
        <v>128358</v>
      </c>
    </row>
    <row r="7138" spans="1:11" x14ac:dyDescent="0.25">
      <c r="A7138">
        <v>2025</v>
      </c>
      <c r="B7138" t="s">
        <v>7581</v>
      </c>
      <c r="C7138" t="s">
        <v>7582</v>
      </c>
      <c r="D7138" t="s">
        <v>383</v>
      </c>
      <c r="E7138" t="s">
        <v>20</v>
      </c>
      <c r="F7138" t="str">
        <f>"44333"</f>
        <v>44333</v>
      </c>
      <c r="G7138" t="str">
        <f>"759796"</f>
        <v>759796</v>
      </c>
      <c r="H7138" s="2">
        <f>12</f>
        <v>12</v>
      </c>
      <c r="I7138" t="s">
        <v>27</v>
      </c>
      <c r="J7138" t="s">
        <v>188</v>
      </c>
      <c r="K7138" t="str">
        <f>"44193"</f>
        <v>44193</v>
      </c>
    </row>
    <row r="7139" spans="1:11" x14ac:dyDescent="0.25">
      <c r="A7139">
        <v>2025</v>
      </c>
      <c r="B7139" t="s">
        <v>7583</v>
      </c>
      <c r="C7139" t="s">
        <v>7584</v>
      </c>
      <c r="D7139" t="s">
        <v>50</v>
      </c>
      <c r="E7139" t="s">
        <v>20</v>
      </c>
      <c r="F7139" t="str">
        <f>"43560-3356"</f>
        <v>43560-3356</v>
      </c>
      <c r="G7139" t="str">
        <f>"753658"</f>
        <v>753658</v>
      </c>
      <c r="H7139" s="2">
        <f>30</f>
        <v>30</v>
      </c>
      <c r="I7139" t="s">
        <v>27</v>
      </c>
      <c r="J7139" t="s">
        <v>39</v>
      </c>
      <c r="K7139" t="str">
        <f>"126241"</f>
        <v>126241</v>
      </c>
    </row>
    <row r="7140" spans="1:11" x14ac:dyDescent="0.25">
      <c r="A7140">
        <v>2025</v>
      </c>
      <c r="B7140" t="s">
        <v>7587</v>
      </c>
      <c r="C7140" t="s">
        <v>4152</v>
      </c>
      <c r="D7140" t="s">
        <v>105</v>
      </c>
      <c r="E7140" t="s">
        <v>20</v>
      </c>
      <c r="F7140" t="str">
        <f>"43528"</f>
        <v>43528</v>
      </c>
      <c r="G7140" t="str">
        <f>"759796"</f>
        <v>759796</v>
      </c>
      <c r="H7140" s="2">
        <f>20</f>
        <v>20</v>
      </c>
      <c r="I7140" t="s">
        <v>27</v>
      </c>
      <c r="J7140" t="s">
        <v>188</v>
      </c>
      <c r="K7140" t="str">
        <f>"43710"</f>
        <v>43710</v>
      </c>
    </row>
    <row r="7141" spans="1:11" x14ac:dyDescent="0.25">
      <c r="A7141">
        <v>2025</v>
      </c>
      <c r="B7141" t="s">
        <v>7588</v>
      </c>
      <c r="C7141" t="s">
        <v>7589</v>
      </c>
      <c r="D7141" t="s">
        <v>105</v>
      </c>
      <c r="E7141" t="s">
        <v>20</v>
      </c>
      <c r="F7141" t="str">
        <f>"43528-8489"</f>
        <v>43528-8489</v>
      </c>
      <c r="G7141" t="str">
        <f t="shared" ref="G7141:G7148" si="262">"753658"</f>
        <v>753658</v>
      </c>
      <c r="H7141" s="2">
        <f>5</f>
        <v>5</v>
      </c>
      <c r="I7141" t="s">
        <v>27</v>
      </c>
      <c r="J7141" t="s">
        <v>39</v>
      </c>
      <c r="K7141" t="str">
        <f>"129070"</f>
        <v>129070</v>
      </c>
    </row>
    <row r="7142" spans="1:11" x14ac:dyDescent="0.25">
      <c r="A7142">
        <v>2025</v>
      </c>
      <c r="B7142" t="s">
        <v>7601</v>
      </c>
      <c r="C7142" t="s">
        <v>7602</v>
      </c>
      <c r="D7142" t="s">
        <v>19</v>
      </c>
      <c r="E7142" t="s">
        <v>20</v>
      </c>
      <c r="F7142" t="str">
        <f>"43612"</f>
        <v>43612</v>
      </c>
      <c r="G7142" t="str">
        <f t="shared" si="262"/>
        <v>753658</v>
      </c>
      <c r="H7142" s="2">
        <f>10</f>
        <v>10</v>
      </c>
      <c r="I7142" t="s">
        <v>27</v>
      </c>
      <c r="J7142" t="s">
        <v>39</v>
      </c>
      <c r="K7142" t="str">
        <f>"125744"</f>
        <v>125744</v>
      </c>
    </row>
    <row r="7143" spans="1:11" x14ac:dyDescent="0.25">
      <c r="A7143">
        <v>2025</v>
      </c>
      <c r="B7143" t="s">
        <v>7605</v>
      </c>
      <c r="C7143" t="s">
        <v>7606</v>
      </c>
      <c r="D7143" t="s">
        <v>45</v>
      </c>
      <c r="E7143" t="s">
        <v>20</v>
      </c>
      <c r="F7143" t="str">
        <f>"43542-9568"</f>
        <v>43542-9568</v>
      </c>
      <c r="G7143" t="str">
        <f t="shared" si="262"/>
        <v>753658</v>
      </c>
      <c r="H7143" s="2">
        <f>100</f>
        <v>100</v>
      </c>
      <c r="I7143" t="s">
        <v>27</v>
      </c>
      <c r="J7143" t="s">
        <v>39</v>
      </c>
      <c r="K7143" t="str">
        <f>"127609"</f>
        <v>127609</v>
      </c>
    </row>
    <row r="7144" spans="1:11" x14ac:dyDescent="0.25">
      <c r="A7144">
        <v>2025</v>
      </c>
      <c r="B7144" t="s">
        <v>7605</v>
      </c>
      <c r="C7144" t="s">
        <v>7606</v>
      </c>
      <c r="D7144" t="s">
        <v>45</v>
      </c>
      <c r="E7144" t="s">
        <v>20</v>
      </c>
      <c r="F7144" t="str">
        <f>"43542-9568"</f>
        <v>43542-9568</v>
      </c>
      <c r="G7144" t="str">
        <f t="shared" si="262"/>
        <v>753658</v>
      </c>
      <c r="H7144" s="2">
        <f>20</f>
        <v>20</v>
      </c>
      <c r="I7144" t="s">
        <v>27</v>
      </c>
      <c r="J7144" t="s">
        <v>39</v>
      </c>
      <c r="K7144" t="str">
        <f>"127765"</f>
        <v>127765</v>
      </c>
    </row>
    <row r="7145" spans="1:11" x14ac:dyDescent="0.25">
      <c r="A7145">
        <v>2025</v>
      </c>
      <c r="B7145" t="s">
        <v>7609</v>
      </c>
      <c r="C7145" t="s">
        <v>7610</v>
      </c>
      <c r="D7145" t="s">
        <v>64</v>
      </c>
      <c r="E7145" t="s">
        <v>20</v>
      </c>
      <c r="F7145" t="str">
        <f>"43566-9447"</f>
        <v>43566-9447</v>
      </c>
      <c r="G7145" t="str">
        <f t="shared" si="262"/>
        <v>753658</v>
      </c>
      <c r="H7145" s="2">
        <f>10</f>
        <v>10</v>
      </c>
      <c r="I7145" t="s">
        <v>27</v>
      </c>
      <c r="J7145" t="s">
        <v>39</v>
      </c>
      <c r="K7145" t="str">
        <f>"129511"</f>
        <v>129511</v>
      </c>
    </row>
    <row r="7146" spans="1:11" x14ac:dyDescent="0.25">
      <c r="A7146">
        <v>2025</v>
      </c>
      <c r="B7146" t="s">
        <v>7611</v>
      </c>
      <c r="C7146" t="s">
        <v>7612</v>
      </c>
      <c r="D7146" t="s">
        <v>105</v>
      </c>
      <c r="E7146" t="s">
        <v>20</v>
      </c>
      <c r="F7146" t="str">
        <f>"43528-8997"</f>
        <v>43528-8997</v>
      </c>
      <c r="G7146" t="str">
        <f t="shared" si="262"/>
        <v>753658</v>
      </c>
      <c r="H7146" s="2">
        <f>10</f>
        <v>10</v>
      </c>
      <c r="I7146" t="s">
        <v>27</v>
      </c>
      <c r="J7146" t="s">
        <v>39</v>
      </c>
      <c r="K7146" t="str">
        <f>"128681"</f>
        <v>128681</v>
      </c>
    </row>
    <row r="7147" spans="1:11" x14ac:dyDescent="0.25">
      <c r="A7147">
        <v>2025</v>
      </c>
      <c r="B7147" t="s">
        <v>7613</v>
      </c>
      <c r="C7147" t="s">
        <v>7614</v>
      </c>
      <c r="D7147" t="s">
        <v>125</v>
      </c>
      <c r="E7147" t="s">
        <v>20</v>
      </c>
      <c r="F7147" t="str">
        <f>"43537"</f>
        <v>43537</v>
      </c>
      <c r="G7147" t="str">
        <f t="shared" si="262"/>
        <v>753658</v>
      </c>
      <c r="H7147" s="2">
        <f>10</f>
        <v>10</v>
      </c>
      <c r="I7147" t="s">
        <v>27</v>
      </c>
      <c r="J7147" t="s">
        <v>39</v>
      </c>
      <c r="K7147" t="str">
        <f>"129712"</f>
        <v>129712</v>
      </c>
    </row>
    <row r="7148" spans="1:11" x14ac:dyDescent="0.25">
      <c r="A7148">
        <v>2025</v>
      </c>
      <c r="B7148" t="s">
        <v>7615</v>
      </c>
      <c r="C7148" t="s">
        <v>6488</v>
      </c>
      <c r="D7148" t="s">
        <v>19</v>
      </c>
      <c r="E7148" t="s">
        <v>20</v>
      </c>
      <c r="F7148" t="str">
        <f>"43615-6431"</f>
        <v>43615-6431</v>
      </c>
      <c r="G7148" t="str">
        <f t="shared" si="262"/>
        <v>753658</v>
      </c>
      <c r="H7148" s="2">
        <f>10</f>
        <v>10</v>
      </c>
      <c r="I7148" t="s">
        <v>27</v>
      </c>
      <c r="J7148" t="s">
        <v>39</v>
      </c>
      <c r="K7148" t="str">
        <f>"129684"</f>
        <v>129684</v>
      </c>
    </row>
    <row r="7149" spans="1:11" x14ac:dyDescent="0.25">
      <c r="A7149">
        <v>2025</v>
      </c>
      <c r="B7149" t="s">
        <v>7620</v>
      </c>
      <c r="C7149" t="s">
        <v>7621</v>
      </c>
      <c r="D7149" t="s">
        <v>19</v>
      </c>
      <c r="E7149" t="s">
        <v>20</v>
      </c>
      <c r="F7149" t="str">
        <f>"43609"</f>
        <v>43609</v>
      </c>
      <c r="G7149" t="str">
        <f>"Je12092025"</f>
        <v>Je12092025</v>
      </c>
      <c r="H7149" s="2">
        <f>774.15</f>
        <v>774.15</v>
      </c>
      <c r="I7149" t="s">
        <v>15</v>
      </c>
      <c r="J7149" t="s">
        <v>909</v>
      </c>
      <c r="K7149" t="str">
        <f>"60171418"</f>
        <v>60171418</v>
      </c>
    </row>
    <row r="7150" spans="1:11" x14ac:dyDescent="0.25">
      <c r="A7150">
        <v>2025</v>
      </c>
      <c r="B7150" t="s">
        <v>7632</v>
      </c>
      <c r="C7150" t="s">
        <v>7633</v>
      </c>
      <c r="D7150" t="s">
        <v>19</v>
      </c>
      <c r="E7150" t="s">
        <v>20</v>
      </c>
      <c r="F7150" t="str">
        <f>"43623"</f>
        <v>43623</v>
      </c>
      <c r="G7150" t="str">
        <f>"Je12092025"</f>
        <v>Je12092025</v>
      </c>
      <c r="H7150" s="2">
        <f>36.16</f>
        <v>36.159999999999997</v>
      </c>
      <c r="I7150" t="s">
        <v>15</v>
      </c>
      <c r="J7150" t="s">
        <v>909</v>
      </c>
      <c r="K7150" t="str">
        <f>"60169258"</f>
        <v>60169258</v>
      </c>
    </row>
    <row r="7151" spans="1:11" x14ac:dyDescent="0.25">
      <c r="A7151">
        <v>2025</v>
      </c>
      <c r="B7151" t="s">
        <v>7636</v>
      </c>
      <c r="C7151" t="s">
        <v>7637</v>
      </c>
      <c r="D7151" t="s">
        <v>19</v>
      </c>
      <c r="E7151" t="s">
        <v>20</v>
      </c>
      <c r="F7151" t="str">
        <f>"43607"</f>
        <v>43607</v>
      </c>
      <c r="G7151" t="str">
        <f>"753658"</f>
        <v>753658</v>
      </c>
      <c r="H7151" s="2">
        <f>10</f>
        <v>10</v>
      </c>
      <c r="I7151" t="s">
        <v>27</v>
      </c>
      <c r="J7151" t="s">
        <v>39</v>
      </c>
      <c r="K7151" t="str">
        <f>"125213"</f>
        <v>125213</v>
      </c>
    </row>
    <row r="7152" spans="1:11" x14ac:dyDescent="0.25">
      <c r="A7152">
        <v>2025</v>
      </c>
      <c r="B7152" t="s">
        <v>7640</v>
      </c>
      <c r="C7152" t="s">
        <v>7641</v>
      </c>
      <c r="D7152" t="s">
        <v>19</v>
      </c>
      <c r="E7152" t="s">
        <v>20</v>
      </c>
      <c r="F7152" t="str">
        <f>"43617-1235"</f>
        <v>43617-1235</v>
      </c>
      <c r="G7152" t="str">
        <f>"753658"</f>
        <v>753658</v>
      </c>
      <c r="H7152" s="2">
        <f>20</f>
        <v>20</v>
      </c>
      <c r="I7152" t="s">
        <v>27</v>
      </c>
      <c r="J7152" t="s">
        <v>39</v>
      </c>
      <c r="K7152" t="str">
        <f>"131526"</f>
        <v>131526</v>
      </c>
    </row>
    <row r="7153" spans="1:11" x14ac:dyDescent="0.25">
      <c r="A7153">
        <v>2025</v>
      </c>
      <c r="B7153" t="s">
        <v>7642</v>
      </c>
      <c r="C7153" t="s">
        <v>7643</v>
      </c>
      <c r="D7153" t="s">
        <v>19</v>
      </c>
      <c r="E7153" t="s">
        <v>20</v>
      </c>
      <c r="F7153" t="str">
        <f>"43606-2047"</f>
        <v>43606-2047</v>
      </c>
      <c r="G7153" t="str">
        <f>"753658"</f>
        <v>753658</v>
      </c>
      <c r="H7153" s="2">
        <f>20</f>
        <v>20</v>
      </c>
      <c r="I7153" t="s">
        <v>27</v>
      </c>
      <c r="J7153" t="s">
        <v>39</v>
      </c>
      <c r="K7153" t="str">
        <f>"131993"</f>
        <v>131993</v>
      </c>
    </row>
    <row r="7154" spans="1:11" x14ac:dyDescent="0.25">
      <c r="A7154">
        <v>2025</v>
      </c>
      <c r="B7154" t="s">
        <v>7646</v>
      </c>
      <c r="C7154" t="s">
        <v>7647</v>
      </c>
      <c r="D7154" t="s">
        <v>19</v>
      </c>
      <c r="E7154" t="s">
        <v>20</v>
      </c>
      <c r="F7154" t="str">
        <f>"43611-1938"</f>
        <v>43611-1938</v>
      </c>
      <c r="G7154" t="str">
        <f>"753658"</f>
        <v>753658</v>
      </c>
      <c r="H7154" s="2">
        <f>20</f>
        <v>20</v>
      </c>
      <c r="I7154" t="s">
        <v>27</v>
      </c>
      <c r="J7154" t="s">
        <v>39</v>
      </c>
      <c r="K7154" t="str">
        <f>"126440"</f>
        <v>126440</v>
      </c>
    </row>
    <row r="7155" spans="1:11" x14ac:dyDescent="0.25">
      <c r="A7155">
        <v>2025</v>
      </c>
      <c r="B7155" t="s">
        <v>7654</v>
      </c>
      <c r="C7155" t="s">
        <v>7655</v>
      </c>
      <c r="D7155" t="s">
        <v>7656</v>
      </c>
      <c r="E7155" t="s">
        <v>600</v>
      </c>
      <c r="F7155" t="str">
        <f>"40031"</f>
        <v>40031</v>
      </c>
      <c r="G7155" t="str">
        <f>"751641"</f>
        <v>751641</v>
      </c>
      <c r="H7155" s="2">
        <f>15</f>
        <v>15</v>
      </c>
      <c r="I7155" t="s">
        <v>27</v>
      </c>
      <c r="J7155" t="s">
        <v>219</v>
      </c>
      <c r="K7155" t="str">
        <f>"11004720"</f>
        <v>11004720</v>
      </c>
    </row>
    <row r="7156" spans="1:11" x14ac:dyDescent="0.25">
      <c r="A7156">
        <v>2025</v>
      </c>
      <c r="B7156" t="s">
        <v>7663</v>
      </c>
      <c r="C7156" t="s">
        <v>7664</v>
      </c>
      <c r="D7156" t="s">
        <v>125</v>
      </c>
      <c r="E7156" t="s">
        <v>20</v>
      </c>
      <c r="F7156" t="str">
        <f>"43537-2409"</f>
        <v>43537-2409</v>
      </c>
      <c r="G7156" t="str">
        <f t="shared" ref="G7156:G7170" si="263">"753658"</f>
        <v>753658</v>
      </c>
      <c r="H7156" s="2">
        <f>20</f>
        <v>20</v>
      </c>
      <c r="I7156" t="s">
        <v>27</v>
      </c>
      <c r="J7156" t="s">
        <v>39</v>
      </c>
      <c r="K7156" t="str">
        <f>"127071"</f>
        <v>127071</v>
      </c>
    </row>
    <row r="7157" spans="1:11" x14ac:dyDescent="0.25">
      <c r="A7157">
        <v>2025</v>
      </c>
      <c r="B7157" t="s">
        <v>7665</v>
      </c>
      <c r="C7157" t="s">
        <v>7666</v>
      </c>
      <c r="D7157" t="s">
        <v>125</v>
      </c>
      <c r="E7157" t="s">
        <v>20</v>
      </c>
      <c r="F7157" t="str">
        <f>"43537-3899"</f>
        <v>43537-3899</v>
      </c>
      <c r="G7157" t="str">
        <f t="shared" si="263"/>
        <v>753658</v>
      </c>
      <c r="H7157" s="2">
        <f>20</f>
        <v>20</v>
      </c>
      <c r="I7157" t="s">
        <v>27</v>
      </c>
      <c r="J7157" t="s">
        <v>39</v>
      </c>
      <c r="K7157" t="str">
        <f>"130054"</f>
        <v>130054</v>
      </c>
    </row>
    <row r="7158" spans="1:11" x14ac:dyDescent="0.25">
      <c r="A7158">
        <v>2025</v>
      </c>
      <c r="B7158" t="s">
        <v>7667</v>
      </c>
      <c r="C7158" t="s">
        <v>7668</v>
      </c>
      <c r="D7158" t="s">
        <v>19</v>
      </c>
      <c r="E7158" t="s">
        <v>20</v>
      </c>
      <c r="F7158" t="str">
        <f>"43612-4514"</f>
        <v>43612-4514</v>
      </c>
      <c r="G7158" t="str">
        <f t="shared" si="263"/>
        <v>753658</v>
      </c>
      <c r="H7158" s="2">
        <f>20</f>
        <v>20</v>
      </c>
      <c r="I7158" t="s">
        <v>27</v>
      </c>
      <c r="J7158" t="s">
        <v>39</v>
      </c>
      <c r="K7158" t="str">
        <f>"130085"</f>
        <v>130085</v>
      </c>
    </row>
    <row r="7159" spans="1:11" x14ac:dyDescent="0.25">
      <c r="A7159">
        <v>2025</v>
      </c>
      <c r="B7159" t="s">
        <v>7669</v>
      </c>
      <c r="C7159" t="s">
        <v>7670</v>
      </c>
      <c r="D7159" t="s">
        <v>19</v>
      </c>
      <c r="E7159" t="s">
        <v>20</v>
      </c>
      <c r="F7159" t="str">
        <f>"43614"</f>
        <v>43614</v>
      </c>
      <c r="G7159" t="str">
        <f t="shared" si="263"/>
        <v>753658</v>
      </c>
      <c r="H7159" s="2">
        <f>10</f>
        <v>10</v>
      </c>
      <c r="I7159" t="s">
        <v>27</v>
      </c>
      <c r="J7159" t="s">
        <v>39</v>
      </c>
      <c r="K7159" t="str">
        <f>"128927"</f>
        <v>128927</v>
      </c>
    </row>
    <row r="7160" spans="1:11" x14ac:dyDescent="0.25">
      <c r="A7160">
        <v>2025</v>
      </c>
      <c r="B7160" t="s">
        <v>7677</v>
      </c>
      <c r="C7160" t="s">
        <v>7678</v>
      </c>
      <c r="D7160" t="s">
        <v>50</v>
      </c>
      <c r="E7160" t="s">
        <v>20</v>
      </c>
      <c r="F7160" t="str">
        <f>"43560-1409"</f>
        <v>43560-1409</v>
      </c>
      <c r="G7160" t="str">
        <f t="shared" si="263"/>
        <v>753658</v>
      </c>
      <c r="H7160" s="2">
        <f>10</f>
        <v>10</v>
      </c>
      <c r="I7160" t="s">
        <v>27</v>
      </c>
      <c r="J7160" t="s">
        <v>39</v>
      </c>
      <c r="K7160" t="str">
        <f>"128804"</f>
        <v>128804</v>
      </c>
    </row>
    <row r="7161" spans="1:11" x14ac:dyDescent="0.25">
      <c r="A7161">
        <v>2025</v>
      </c>
      <c r="B7161" t="s">
        <v>7679</v>
      </c>
      <c r="C7161" t="s">
        <v>6993</v>
      </c>
      <c r="D7161" t="s">
        <v>323</v>
      </c>
      <c r="E7161" t="s">
        <v>20</v>
      </c>
      <c r="F7161" t="str">
        <f>"43571-9264"</f>
        <v>43571-9264</v>
      </c>
      <c r="G7161" t="str">
        <f t="shared" si="263"/>
        <v>753658</v>
      </c>
      <c r="H7161" s="2">
        <f>10</f>
        <v>10</v>
      </c>
      <c r="I7161" t="s">
        <v>27</v>
      </c>
      <c r="J7161" t="s">
        <v>39</v>
      </c>
      <c r="K7161" t="str">
        <f>"128412"</f>
        <v>128412</v>
      </c>
    </row>
    <row r="7162" spans="1:11" x14ac:dyDescent="0.25">
      <c r="A7162">
        <v>2025</v>
      </c>
      <c r="B7162" t="s">
        <v>7701</v>
      </c>
      <c r="C7162" t="s">
        <v>7702</v>
      </c>
      <c r="D7162" t="s">
        <v>50</v>
      </c>
      <c r="E7162" t="s">
        <v>20</v>
      </c>
      <c r="F7162" t="str">
        <f>"43560-1189"</f>
        <v>43560-1189</v>
      </c>
      <c r="G7162" t="str">
        <f t="shared" si="263"/>
        <v>753658</v>
      </c>
      <c r="H7162" s="2">
        <f>10</f>
        <v>10</v>
      </c>
      <c r="I7162" t="s">
        <v>27</v>
      </c>
      <c r="J7162" t="s">
        <v>39</v>
      </c>
      <c r="K7162" t="str">
        <f>"127605"</f>
        <v>127605</v>
      </c>
    </row>
    <row r="7163" spans="1:11" x14ac:dyDescent="0.25">
      <c r="A7163">
        <v>2025</v>
      </c>
      <c r="B7163" t="s">
        <v>7720</v>
      </c>
      <c r="C7163" t="s">
        <v>7721</v>
      </c>
      <c r="D7163" t="s">
        <v>19</v>
      </c>
      <c r="E7163" t="s">
        <v>20</v>
      </c>
      <c r="F7163" t="str">
        <f>"43612-2256"</f>
        <v>43612-2256</v>
      </c>
      <c r="G7163" t="str">
        <f t="shared" si="263"/>
        <v>753658</v>
      </c>
      <c r="H7163" s="2">
        <f>10</f>
        <v>10</v>
      </c>
      <c r="I7163" t="s">
        <v>27</v>
      </c>
      <c r="J7163" t="s">
        <v>39</v>
      </c>
      <c r="K7163" t="str">
        <f>"128892"</f>
        <v>128892</v>
      </c>
    </row>
    <row r="7164" spans="1:11" x14ac:dyDescent="0.25">
      <c r="A7164">
        <v>2025</v>
      </c>
      <c r="B7164" t="s">
        <v>7732</v>
      </c>
      <c r="C7164" t="s">
        <v>7733</v>
      </c>
      <c r="D7164" t="s">
        <v>105</v>
      </c>
      <c r="E7164" t="s">
        <v>20</v>
      </c>
      <c r="F7164" t="str">
        <f>"43528-9108"</f>
        <v>43528-9108</v>
      </c>
      <c r="G7164" t="str">
        <f t="shared" si="263"/>
        <v>753658</v>
      </c>
      <c r="H7164" s="2">
        <f>20</f>
        <v>20</v>
      </c>
      <c r="I7164" t="s">
        <v>27</v>
      </c>
      <c r="J7164" t="s">
        <v>39</v>
      </c>
      <c r="K7164" t="str">
        <f>"131339"</f>
        <v>131339</v>
      </c>
    </row>
    <row r="7165" spans="1:11" x14ac:dyDescent="0.25">
      <c r="A7165">
        <v>2025</v>
      </c>
      <c r="B7165" t="s">
        <v>7740</v>
      </c>
      <c r="C7165" t="s">
        <v>7741</v>
      </c>
      <c r="D7165" t="s">
        <v>125</v>
      </c>
      <c r="E7165" t="s">
        <v>20</v>
      </c>
      <c r="F7165" t="str">
        <f>"43537-4525"</f>
        <v>43537-4525</v>
      </c>
      <c r="G7165" t="str">
        <f t="shared" si="263"/>
        <v>753658</v>
      </c>
      <c r="H7165" s="2">
        <f>30</f>
        <v>30</v>
      </c>
      <c r="I7165" t="s">
        <v>27</v>
      </c>
      <c r="J7165" t="s">
        <v>39</v>
      </c>
      <c r="K7165" t="str">
        <f>"132053"</f>
        <v>132053</v>
      </c>
    </row>
    <row r="7166" spans="1:11" x14ac:dyDescent="0.25">
      <c r="A7166">
        <v>2025</v>
      </c>
      <c r="B7166" t="s">
        <v>7743</v>
      </c>
      <c r="C7166" t="s">
        <v>7744</v>
      </c>
      <c r="D7166" t="s">
        <v>64</v>
      </c>
      <c r="E7166" t="s">
        <v>20</v>
      </c>
      <c r="F7166" t="str">
        <f>"43566-1368"</f>
        <v>43566-1368</v>
      </c>
      <c r="G7166" t="str">
        <f t="shared" si="263"/>
        <v>753658</v>
      </c>
      <c r="H7166" s="2">
        <f>10</f>
        <v>10</v>
      </c>
      <c r="I7166" t="s">
        <v>27</v>
      </c>
      <c r="J7166" t="s">
        <v>39</v>
      </c>
      <c r="K7166" t="str">
        <f>"126089"</f>
        <v>126089</v>
      </c>
    </row>
    <row r="7167" spans="1:11" x14ac:dyDescent="0.25">
      <c r="A7167">
        <v>2025</v>
      </c>
      <c r="B7167" t="s">
        <v>7784</v>
      </c>
      <c r="C7167" t="s">
        <v>7785</v>
      </c>
      <c r="D7167" t="s">
        <v>58</v>
      </c>
      <c r="E7167" t="s">
        <v>20</v>
      </c>
      <c r="F7167" t="str">
        <f>"43616-4141"</f>
        <v>43616-4141</v>
      </c>
      <c r="G7167" t="str">
        <f t="shared" si="263"/>
        <v>753658</v>
      </c>
      <c r="H7167" s="2">
        <f>30</f>
        <v>30</v>
      </c>
      <c r="I7167" t="s">
        <v>27</v>
      </c>
      <c r="J7167" t="s">
        <v>39</v>
      </c>
      <c r="K7167" t="str">
        <f>"126900"</f>
        <v>126900</v>
      </c>
    </row>
    <row r="7168" spans="1:11" x14ac:dyDescent="0.25">
      <c r="A7168">
        <v>2025</v>
      </c>
      <c r="B7168" t="s">
        <v>7795</v>
      </c>
      <c r="C7168" t="s">
        <v>7796</v>
      </c>
      <c r="D7168" t="s">
        <v>125</v>
      </c>
      <c r="E7168" t="s">
        <v>20</v>
      </c>
      <c r="F7168" t="str">
        <f>"43537-9045"</f>
        <v>43537-9045</v>
      </c>
      <c r="G7168" t="str">
        <f t="shared" si="263"/>
        <v>753658</v>
      </c>
      <c r="H7168" s="2">
        <f>100</f>
        <v>100</v>
      </c>
      <c r="I7168" t="s">
        <v>27</v>
      </c>
      <c r="J7168" t="s">
        <v>39</v>
      </c>
      <c r="K7168" t="str">
        <f>"131303"</f>
        <v>131303</v>
      </c>
    </row>
    <row r="7169" spans="1:11" x14ac:dyDescent="0.25">
      <c r="A7169">
        <v>2025</v>
      </c>
      <c r="B7169" t="s">
        <v>7795</v>
      </c>
      <c r="C7169" t="s">
        <v>7796</v>
      </c>
      <c r="D7169" t="s">
        <v>125</v>
      </c>
      <c r="E7169" t="s">
        <v>20</v>
      </c>
      <c r="F7169" t="str">
        <f>"43537-9045"</f>
        <v>43537-9045</v>
      </c>
      <c r="G7169" t="str">
        <f t="shared" si="263"/>
        <v>753658</v>
      </c>
      <c r="H7169" s="2">
        <f>60</f>
        <v>60</v>
      </c>
      <c r="I7169" t="s">
        <v>27</v>
      </c>
      <c r="J7169" t="s">
        <v>39</v>
      </c>
      <c r="K7169" t="str">
        <f>"131520"</f>
        <v>131520</v>
      </c>
    </row>
    <row r="7170" spans="1:11" x14ac:dyDescent="0.25">
      <c r="A7170">
        <v>2025</v>
      </c>
      <c r="B7170" t="s">
        <v>7797</v>
      </c>
      <c r="C7170" t="s">
        <v>7798</v>
      </c>
      <c r="D7170" t="s">
        <v>125</v>
      </c>
      <c r="E7170" t="s">
        <v>20</v>
      </c>
      <c r="F7170" t="str">
        <f>"43537-9316"</f>
        <v>43537-9316</v>
      </c>
      <c r="G7170" t="str">
        <f t="shared" si="263"/>
        <v>753658</v>
      </c>
      <c r="H7170" s="2">
        <f>20</f>
        <v>20</v>
      </c>
      <c r="I7170" t="s">
        <v>27</v>
      </c>
      <c r="J7170" t="s">
        <v>39</v>
      </c>
      <c r="K7170" t="str">
        <f>"130818"</f>
        <v>130818</v>
      </c>
    </row>
    <row r="7171" spans="1:11" x14ac:dyDescent="0.25">
      <c r="A7171">
        <v>2025</v>
      </c>
      <c r="B7171" t="s">
        <v>7799</v>
      </c>
      <c r="C7171" t="s">
        <v>7800</v>
      </c>
      <c r="D7171" t="s">
        <v>125</v>
      </c>
      <c r="E7171" t="s">
        <v>20</v>
      </c>
      <c r="F7171" t="str">
        <f>"43537"</f>
        <v>43537</v>
      </c>
      <c r="G7171" t="str">
        <f>"759797"</f>
        <v>759797</v>
      </c>
      <c r="H7171" s="2">
        <f>115.53</f>
        <v>115.53</v>
      </c>
      <c r="I7171" t="s">
        <v>27</v>
      </c>
      <c r="J7171" t="s">
        <v>239</v>
      </c>
      <c r="K7171" t="str">
        <f>"N/A"</f>
        <v>N/A</v>
      </c>
    </row>
    <row r="7172" spans="1:11" x14ac:dyDescent="0.25">
      <c r="A7172">
        <v>2025</v>
      </c>
      <c r="B7172" t="s">
        <v>7803</v>
      </c>
      <c r="C7172" t="s">
        <v>7804</v>
      </c>
      <c r="D7172" t="s">
        <v>125</v>
      </c>
      <c r="E7172" t="s">
        <v>20</v>
      </c>
      <c r="F7172" t="str">
        <f>"43537-3109"</f>
        <v>43537-3109</v>
      </c>
      <c r="G7172" t="str">
        <f>"753658"</f>
        <v>753658</v>
      </c>
      <c r="H7172" s="2">
        <f>10</f>
        <v>10</v>
      </c>
      <c r="I7172" t="s">
        <v>27</v>
      </c>
      <c r="J7172" t="s">
        <v>39</v>
      </c>
      <c r="K7172" t="str">
        <f>"125530"</f>
        <v>125530</v>
      </c>
    </row>
    <row r="7173" spans="1:11" x14ac:dyDescent="0.25">
      <c r="A7173">
        <v>2025</v>
      </c>
      <c r="B7173" t="s">
        <v>7813</v>
      </c>
      <c r="C7173" t="s">
        <v>7814</v>
      </c>
      <c r="D7173" t="s">
        <v>50</v>
      </c>
      <c r="E7173" t="s">
        <v>20</v>
      </c>
      <c r="F7173" t="str">
        <f>"43560-9365"</f>
        <v>43560-9365</v>
      </c>
      <c r="G7173" t="str">
        <f>"753658"</f>
        <v>753658</v>
      </c>
      <c r="H7173" s="2">
        <f>10</f>
        <v>10</v>
      </c>
      <c r="I7173" t="s">
        <v>27</v>
      </c>
      <c r="J7173" t="s">
        <v>39</v>
      </c>
      <c r="K7173" t="str">
        <f>"125324"</f>
        <v>125324</v>
      </c>
    </row>
    <row r="7174" spans="1:11" x14ac:dyDescent="0.25">
      <c r="A7174">
        <v>2025</v>
      </c>
      <c r="B7174" t="s">
        <v>7852</v>
      </c>
      <c r="C7174" t="s">
        <v>7853</v>
      </c>
      <c r="D7174" t="s">
        <v>19</v>
      </c>
      <c r="E7174" t="s">
        <v>20</v>
      </c>
      <c r="F7174" t="str">
        <f>"43611-1034"</f>
        <v>43611-1034</v>
      </c>
      <c r="G7174" t="str">
        <f>"753658"</f>
        <v>753658</v>
      </c>
      <c r="H7174" s="2">
        <f>10</f>
        <v>10</v>
      </c>
      <c r="I7174" t="s">
        <v>27</v>
      </c>
      <c r="J7174" t="s">
        <v>39</v>
      </c>
      <c r="K7174" t="str">
        <f>"129521"</f>
        <v>129521</v>
      </c>
    </row>
    <row r="7175" spans="1:11" x14ac:dyDescent="0.25">
      <c r="A7175">
        <v>2025</v>
      </c>
      <c r="B7175" t="s">
        <v>7854</v>
      </c>
      <c r="C7175" t="s">
        <v>7855</v>
      </c>
      <c r="D7175" t="s">
        <v>19</v>
      </c>
      <c r="E7175" t="s">
        <v>20</v>
      </c>
      <c r="F7175" t="str">
        <f>"43623-2758"</f>
        <v>43623-2758</v>
      </c>
      <c r="G7175" t="str">
        <f>"753658"</f>
        <v>753658</v>
      </c>
      <c r="H7175" s="2">
        <f>20</f>
        <v>20</v>
      </c>
      <c r="I7175" t="s">
        <v>27</v>
      </c>
      <c r="J7175" t="s">
        <v>39</v>
      </c>
      <c r="K7175" t="str">
        <f>"128307"</f>
        <v>128307</v>
      </c>
    </row>
    <row r="7176" spans="1:11" x14ac:dyDescent="0.25">
      <c r="A7176">
        <v>2025</v>
      </c>
      <c r="B7176" t="s">
        <v>7862</v>
      </c>
      <c r="C7176" t="s">
        <v>7863</v>
      </c>
      <c r="D7176" t="s">
        <v>58</v>
      </c>
      <c r="E7176" t="s">
        <v>20</v>
      </c>
      <c r="F7176" t="str">
        <f>"43616-5850"</f>
        <v>43616-5850</v>
      </c>
      <c r="G7176" t="str">
        <f>"753658"</f>
        <v>753658</v>
      </c>
      <c r="H7176" s="2">
        <f>10</f>
        <v>10</v>
      </c>
      <c r="I7176" t="s">
        <v>27</v>
      </c>
      <c r="J7176" t="s">
        <v>39</v>
      </c>
      <c r="K7176" t="str">
        <f>"129574"</f>
        <v>129574</v>
      </c>
    </row>
    <row r="7177" spans="1:11" x14ac:dyDescent="0.25">
      <c r="A7177">
        <v>2025</v>
      </c>
      <c r="B7177" t="s">
        <v>7864</v>
      </c>
      <c r="C7177" t="s">
        <v>1933</v>
      </c>
      <c r="D7177" t="s">
        <v>1163</v>
      </c>
      <c r="E7177" t="s">
        <v>20</v>
      </c>
      <c r="F7177" t="str">
        <f>"45243"</f>
        <v>45243</v>
      </c>
      <c r="G7177" t="str">
        <f>"759796"</f>
        <v>759796</v>
      </c>
      <c r="H7177" s="2">
        <f>220</f>
        <v>220</v>
      </c>
      <c r="I7177" t="s">
        <v>27</v>
      </c>
      <c r="J7177" t="s">
        <v>188</v>
      </c>
      <c r="K7177" t="str">
        <f>"44120"</f>
        <v>44120</v>
      </c>
    </row>
    <row r="7178" spans="1:11" x14ac:dyDescent="0.25">
      <c r="A7178">
        <v>2025</v>
      </c>
      <c r="B7178" t="s">
        <v>7865</v>
      </c>
      <c r="C7178" t="s">
        <v>7866</v>
      </c>
      <c r="D7178" t="s">
        <v>19</v>
      </c>
      <c r="E7178" t="s">
        <v>20</v>
      </c>
      <c r="F7178" t="str">
        <f>"43614-4634"</f>
        <v>43614-4634</v>
      </c>
      <c r="G7178" t="str">
        <f>"753658"</f>
        <v>753658</v>
      </c>
      <c r="H7178" s="2">
        <f>10</f>
        <v>10</v>
      </c>
      <c r="I7178" t="s">
        <v>27</v>
      </c>
      <c r="J7178" t="s">
        <v>39</v>
      </c>
      <c r="K7178" t="str">
        <f>"131717"</f>
        <v>131717</v>
      </c>
    </row>
    <row r="7179" spans="1:11" x14ac:dyDescent="0.25">
      <c r="A7179">
        <v>2025</v>
      </c>
      <c r="B7179" t="s">
        <v>7871</v>
      </c>
      <c r="C7179" t="s">
        <v>7872</v>
      </c>
      <c r="D7179" t="s">
        <v>58</v>
      </c>
      <c r="E7179" t="s">
        <v>20</v>
      </c>
      <c r="F7179" t="str">
        <f>"43616-1621"</f>
        <v>43616-1621</v>
      </c>
      <c r="G7179" t="str">
        <f>"753658"</f>
        <v>753658</v>
      </c>
      <c r="H7179" s="2">
        <f>20</f>
        <v>20</v>
      </c>
      <c r="I7179" t="s">
        <v>27</v>
      </c>
      <c r="J7179" t="s">
        <v>39</v>
      </c>
      <c r="K7179" t="str">
        <f>"128464"</f>
        <v>128464</v>
      </c>
    </row>
    <row r="7180" spans="1:11" x14ac:dyDescent="0.25">
      <c r="A7180">
        <v>2025</v>
      </c>
      <c r="B7180" t="s">
        <v>7873</v>
      </c>
      <c r="C7180" t="s">
        <v>4141</v>
      </c>
      <c r="D7180" t="s">
        <v>19</v>
      </c>
      <c r="E7180" t="s">
        <v>20</v>
      </c>
      <c r="F7180" t="str">
        <f>"43623"</f>
        <v>43623</v>
      </c>
      <c r="G7180" t="str">
        <f>"759796"</f>
        <v>759796</v>
      </c>
      <c r="H7180" s="2">
        <f>20</f>
        <v>20</v>
      </c>
      <c r="I7180" t="s">
        <v>27</v>
      </c>
      <c r="J7180" t="s">
        <v>188</v>
      </c>
      <c r="K7180" t="str">
        <f>"45149"</f>
        <v>45149</v>
      </c>
    </row>
    <row r="7181" spans="1:11" x14ac:dyDescent="0.25">
      <c r="A7181">
        <v>2025</v>
      </c>
      <c r="B7181" t="s">
        <v>7873</v>
      </c>
      <c r="C7181" t="s">
        <v>4141</v>
      </c>
      <c r="D7181" t="s">
        <v>19</v>
      </c>
      <c r="E7181" t="s">
        <v>20</v>
      </c>
      <c r="F7181" t="str">
        <f>"43623"</f>
        <v>43623</v>
      </c>
      <c r="G7181" t="str">
        <f>"759796"</f>
        <v>759796</v>
      </c>
      <c r="H7181" s="2">
        <f>8</f>
        <v>8</v>
      </c>
      <c r="I7181" t="s">
        <v>27</v>
      </c>
      <c r="J7181" t="s">
        <v>188</v>
      </c>
      <c r="K7181" t="str">
        <f>"45150"</f>
        <v>45150</v>
      </c>
    </row>
    <row r="7182" spans="1:11" x14ac:dyDescent="0.25">
      <c r="A7182">
        <v>2025</v>
      </c>
      <c r="B7182" t="s">
        <v>7878</v>
      </c>
      <c r="C7182" t="s">
        <v>7879</v>
      </c>
      <c r="D7182" t="s">
        <v>7880</v>
      </c>
      <c r="E7182" t="s">
        <v>887</v>
      </c>
      <c r="F7182" t="str">
        <f>"37716"</f>
        <v>37716</v>
      </c>
      <c r="G7182" t="str">
        <f>"748755"</f>
        <v>748755</v>
      </c>
      <c r="H7182" s="2">
        <f>5799.11</f>
        <v>5799.11</v>
      </c>
      <c r="I7182" t="s">
        <v>148</v>
      </c>
      <c r="J7182" t="s">
        <v>7881</v>
      </c>
      <c r="K7182" t="str">
        <f>"27576"</f>
        <v>27576</v>
      </c>
    </row>
    <row r="7183" spans="1:11" x14ac:dyDescent="0.25">
      <c r="A7183">
        <v>2025</v>
      </c>
      <c r="B7183" t="s">
        <v>7902</v>
      </c>
      <c r="C7183" t="s">
        <v>7903</v>
      </c>
      <c r="D7183" t="s">
        <v>7904</v>
      </c>
      <c r="E7183" t="s">
        <v>20</v>
      </c>
      <c r="F7183" t="str">
        <f>"43081"</f>
        <v>43081</v>
      </c>
      <c r="G7183" t="str">
        <f>"759796"</f>
        <v>759796</v>
      </c>
      <c r="H7183" s="2">
        <f>200</f>
        <v>200</v>
      </c>
      <c r="I7183" t="s">
        <v>27</v>
      </c>
      <c r="J7183" t="s">
        <v>188</v>
      </c>
      <c r="K7183" t="str">
        <f>"46725"</f>
        <v>46725</v>
      </c>
    </row>
    <row r="7184" spans="1:11" x14ac:dyDescent="0.25">
      <c r="A7184">
        <v>2025</v>
      </c>
      <c r="B7184" t="s">
        <v>7905</v>
      </c>
      <c r="C7184" t="s">
        <v>7906</v>
      </c>
      <c r="D7184" t="s">
        <v>19</v>
      </c>
      <c r="E7184" t="s">
        <v>20</v>
      </c>
      <c r="F7184" t="str">
        <f>"43623-1009"</f>
        <v>43623-1009</v>
      </c>
      <c r="G7184" t="str">
        <f>"753658"</f>
        <v>753658</v>
      </c>
      <c r="H7184" s="2">
        <f>10</f>
        <v>10</v>
      </c>
      <c r="I7184" t="s">
        <v>27</v>
      </c>
      <c r="J7184" t="s">
        <v>39</v>
      </c>
      <c r="K7184" t="str">
        <f>"128928"</f>
        <v>128928</v>
      </c>
    </row>
    <row r="7185" spans="1:11" x14ac:dyDescent="0.25">
      <c r="A7185">
        <v>2025</v>
      </c>
      <c r="B7185" t="s">
        <v>7909</v>
      </c>
      <c r="C7185" t="s">
        <v>7910</v>
      </c>
      <c r="D7185" t="s">
        <v>19</v>
      </c>
      <c r="E7185" t="s">
        <v>20</v>
      </c>
      <c r="F7185" t="str">
        <f>"43614-5121"</f>
        <v>43614-5121</v>
      </c>
      <c r="G7185" t="str">
        <f>"753658"</f>
        <v>753658</v>
      </c>
      <c r="H7185" s="2">
        <f>10</f>
        <v>10</v>
      </c>
      <c r="I7185" t="s">
        <v>27</v>
      </c>
      <c r="J7185" t="s">
        <v>39</v>
      </c>
      <c r="K7185" t="str">
        <f>"128788"</f>
        <v>128788</v>
      </c>
    </row>
    <row r="7186" spans="1:11" x14ac:dyDescent="0.25">
      <c r="A7186">
        <v>2025</v>
      </c>
      <c r="B7186" t="s">
        <v>7955</v>
      </c>
      <c r="C7186" t="s">
        <v>7956</v>
      </c>
      <c r="D7186" t="s">
        <v>19</v>
      </c>
      <c r="E7186" t="s">
        <v>20</v>
      </c>
      <c r="F7186" t="str">
        <f>"43613-2423"</f>
        <v>43613-2423</v>
      </c>
      <c r="G7186" t="str">
        <f>"753658"</f>
        <v>753658</v>
      </c>
      <c r="H7186" s="2">
        <f>10</f>
        <v>10</v>
      </c>
      <c r="I7186" t="s">
        <v>27</v>
      </c>
      <c r="J7186" t="s">
        <v>39</v>
      </c>
      <c r="K7186" t="str">
        <f>"129445"</f>
        <v>129445</v>
      </c>
    </row>
    <row r="7187" spans="1:11" x14ac:dyDescent="0.25">
      <c r="A7187">
        <v>2025</v>
      </c>
      <c r="B7187" t="s">
        <v>7967</v>
      </c>
      <c r="C7187" t="s">
        <v>7968</v>
      </c>
      <c r="D7187" t="s">
        <v>19</v>
      </c>
      <c r="E7187" t="s">
        <v>20</v>
      </c>
      <c r="F7187" t="str">
        <f>"43606-1207"</f>
        <v>43606-1207</v>
      </c>
      <c r="G7187" t="str">
        <f>"753658"</f>
        <v>753658</v>
      </c>
      <c r="H7187" s="2">
        <f>20</f>
        <v>20</v>
      </c>
      <c r="I7187" t="s">
        <v>27</v>
      </c>
      <c r="J7187" t="s">
        <v>39</v>
      </c>
      <c r="K7187" t="str">
        <f>"130811"</f>
        <v>130811</v>
      </c>
    </row>
    <row r="7188" spans="1:11" x14ac:dyDescent="0.25">
      <c r="A7188">
        <v>2025</v>
      </c>
      <c r="B7188" t="s">
        <v>7988</v>
      </c>
      <c r="C7188" t="s">
        <v>3260</v>
      </c>
      <c r="D7188" t="s">
        <v>19</v>
      </c>
      <c r="E7188" t="s">
        <v>20</v>
      </c>
      <c r="F7188" t="str">
        <f>"43604"</f>
        <v>43604</v>
      </c>
      <c r="G7188" t="str">
        <f>"759796"</f>
        <v>759796</v>
      </c>
      <c r="H7188" s="2">
        <f>11.05</f>
        <v>11.05</v>
      </c>
      <c r="I7188" t="s">
        <v>27</v>
      </c>
      <c r="J7188" t="s">
        <v>188</v>
      </c>
      <c r="K7188" t="str">
        <f>"46743"</f>
        <v>46743</v>
      </c>
    </row>
    <row r="7189" spans="1:11" x14ac:dyDescent="0.25">
      <c r="A7189">
        <v>2025</v>
      </c>
      <c r="B7189" t="s">
        <v>7991</v>
      </c>
      <c r="C7189" t="s">
        <v>7992</v>
      </c>
      <c r="D7189" t="s">
        <v>19</v>
      </c>
      <c r="E7189" t="s">
        <v>20</v>
      </c>
      <c r="F7189" t="str">
        <f>"43615-3407"</f>
        <v>43615-3407</v>
      </c>
      <c r="G7189" t="str">
        <f>"753658"</f>
        <v>753658</v>
      </c>
      <c r="H7189" s="2">
        <f>30</f>
        <v>30</v>
      </c>
      <c r="I7189" t="s">
        <v>27</v>
      </c>
      <c r="J7189" t="s">
        <v>39</v>
      </c>
      <c r="K7189" t="str">
        <f>"125400"</f>
        <v>125400</v>
      </c>
    </row>
    <row r="7190" spans="1:11" x14ac:dyDescent="0.25">
      <c r="A7190">
        <v>2025</v>
      </c>
      <c r="B7190" t="s">
        <v>7993</v>
      </c>
      <c r="C7190" t="s">
        <v>7994</v>
      </c>
      <c r="D7190" t="s">
        <v>125</v>
      </c>
      <c r="E7190" t="s">
        <v>20</v>
      </c>
      <c r="F7190" t="str">
        <f>"43537-3049"</f>
        <v>43537-3049</v>
      </c>
      <c r="G7190" t="str">
        <f>"753658"</f>
        <v>753658</v>
      </c>
      <c r="H7190" s="2">
        <f>30</f>
        <v>30</v>
      </c>
      <c r="I7190" t="s">
        <v>27</v>
      </c>
      <c r="J7190" t="s">
        <v>39</v>
      </c>
      <c r="K7190" t="str">
        <f>"125821"</f>
        <v>125821</v>
      </c>
    </row>
    <row r="7191" spans="1:11" x14ac:dyDescent="0.25">
      <c r="A7191">
        <v>2025</v>
      </c>
      <c r="B7191" t="s">
        <v>7995</v>
      </c>
      <c r="C7191" t="s">
        <v>7996</v>
      </c>
      <c r="D7191" t="s">
        <v>19</v>
      </c>
      <c r="E7191" t="s">
        <v>20</v>
      </c>
      <c r="F7191" t="str">
        <f>"43614"</f>
        <v>43614</v>
      </c>
      <c r="G7191" t="str">
        <f>"753658"</f>
        <v>753658</v>
      </c>
      <c r="H7191" s="2">
        <f>10</f>
        <v>10</v>
      </c>
      <c r="I7191" t="s">
        <v>27</v>
      </c>
      <c r="J7191" t="s">
        <v>39</v>
      </c>
      <c r="K7191" t="str">
        <f>"126178"</f>
        <v>126178</v>
      </c>
    </row>
    <row r="7192" spans="1:11" x14ac:dyDescent="0.25">
      <c r="A7192">
        <v>2025</v>
      </c>
      <c r="B7192" t="s">
        <v>8002</v>
      </c>
      <c r="C7192" t="s">
        <v>8003</v>
      </c>
      <c r="D7192" t="s">
        <v>19</v>
      </c>
      <c r="E7192" t="s">
        <v>20</v>
      </c>
      <c r="F7192" t="str">
        <f>"43614-3509"</f>
        <v>43614-3509</v>
      </c>
      <c r="G7192" t="str">
        <f>"753658"</f>
        <v>753658</v>
      </c>
      <c r="H7192" s="2">
        <f>10</f>
        <v>10</v>
      </c>
      <c r="I7192" t="s">
        <v>27</v>
      </c>
      <c r="J7192" t="s">
        <v>39</v>
      </c>
      <c r="K7192" t="str">
        <f>"131690"</f>
        <v>131690</v>
      </c>
    </row>
    <row r="7193" spans="1:11" x14ac:dyDescent="0.25">
      <c r="A7193">
        <v>2025</v>
      </c>
      <c r="B7193" t="s">
        <v>8008</v>
      </c>
      <c r="C7193" t="s">
        <v>8009</v>
      </c>
      <c r="D7193" t="s">
        <v>19</v>
      </c>
      <c r="E7193" t="s">
        <v>20</v>
      </c>
      <c r="F7193" t="str">
        <f>"43607"</f>
        <v>43607</v>
      </c>
      <c r="G7193" t="str">
        <f>"Je12092025"</f>
        <v>Je12092025</v>
      </c>
      <c r="H7193" s="2">
        <f>60</f>
        <v>60</v>
      </c>
      <c r="I7193" t="s">
        <v>15</v>
      </c>
      <c r="J7193" t="s">
        <v>909</v>
      </c>
      <c r="K7193" t="str">
        <f>"60169260"</f>
        <v>60169260</v>
      </c>
    </row>
    <row r="7194" spans="1:11" x14ac:dyDescent="0.25">
      <c r="A7194">
        <v>2025</v>
      </c>
      <c r="B7194" t="s">
        <v>8018</v>
      </c>
      <c r="C7194" t="s">
        <v>8019</v>
      </c>
      <c r="D7194" t="s">
        <v>19</v>
      </c>
      <c r="E7194" t="s">
        <v>20</v>
      </c>
      <c r="F7194" t="str">
        <f>"43607"</f>
        <v>43607</v>
      </c>
      <c r="G7194" t="str">
        <f>"Je07082025"</f>
        <v>Je07082025</v>
      </c>
      <c r="H7194" s="2">
        <f>203</f>
        <v>203</v>
      </c>
      <c r="I7194" t="s">
        <v>15</v>
      </c>
      <c r="J7194" t="s">
        <v>185</v>
      </c>
      <c r="K7194" t="str">
        <f>"60149522"</f>
        <v>60149522</v>
      </c>
    </row>
    <row r="7195" spans="1:11" x14ac:dyDescent="0.25">
      <c r="A7195">
        <v>2025</v>
      </c>
      <c r="B7195" t="s">
        <v>8021</v>
      </c>
      <c r="C7195" t="s">
        <v>1004</v>
      </c>
      <c r="D7195" t="s">
        <v>1005</v>
      </c>
      <c r="E7195" t="s">
        <v>20</v>
      </c>
      <c r="F7195" t="str">
        <f>"44139"</f>
        <v>44139</v>
      </c>
      <c r="G7195" t="str">
        <f>"759796"</f>
        <v>759796</v>
      </c>
      <c r="H7195" s="2">
        <f>164.3</f>
        <v>164.3</v>
      </c>
      <c r="I7195" t="s">
        <v>27</v>
      </c>
      <c r="J7195" t="s">
        <v>188</v>
      </c>
      <c r="K7195" t="str">
        <f>"44418"</f>
        <v>44418</v>
      </c>
    </row>
    <row r="7196" spans="1:11" x14ac:dyDescent="0.25">
      <c r="A7196">
        <v>2025</v>
      </c>
      <c r="B7196" t="s">
        <v>8026</v>
      </c>
      <c r="C7196" t="s">
        <v>8027</v>
      </c>
      <c r="D7196" t="s">
        <v>19</v>
      </c>
      <c r="E7196" t="s">
        <v>20</v>
      </c>
      <c r="F7196" t="str">
        <f>"43606"</f>
        <v>43606</v>
      </c>
      <c r="G7196" t="str">
        <f>"759796"</f>
        <v>759796</v>
      </c>
      <c r="H7196" s="2">
        <f>43</f>
        <v>43</v>
      </c>
      <c r="I7196" t="s">
        <v>27</v>
      </c>
      <c r="J7196" t="s">
        <v>188</v>
      </c>
      <c r="K7196" t="str">
        <f>"44818"</f>
        <v>44818</v>
      </c>
    </row>
    <row r="7197" spans="1:11" x14ac:dyDescent="0.25">
      <c r="A7197">
        <v>2025</v>
      </c>
      <c r="B7197" t="s">
        <v>8042</v>
      </c>
      <c r="C7197" t="s">
        <v>7631</v>
      </c>
      <c r="D7197" t="s">
        <v>50</v>
      </c>
      <c r="E7197" t="s">
        <v>20</v>
      </c>
      <c r="F7197" t="str">
        <f>"43560"</f>
        <v>43560</v>
      </c>
      <c r="G7197" t="str">
        <f>"759796"</f>
        <v>759796</v>
      </c>
      <c r="H7197" s="2">
        <f>77.3</f>
        <v>77.3</v>
      </c>
      <c r="I7197" t="s">
        <v>27</v>
      </c>
      <c r="J7197" t="s">
        <v>188</v>
      </c>
      <c r="K7197" t="str">
        <f>"45410"</f>
        <v>45410</v>
      </c>
    </row>
    <row r="7198" spans="1:11" x14ac:dyDescent="0.25">
      <c r="A7198">
        <v>2025</v>
      </c>
      <c r="B7198" t="s">
        <v>8043</v>
      </c>
      <c r="C7198" t="s">
        <v>8044</v>
      </c>
      <c r="D7198" t="s">
        <v>19</v>
      </c>
      <c r="E7198" t="s">
        <v>20</v>
      </c>
      <c r="F7198" t="str">
        <f>"43623"</f>
        <v>43623</v>
      </c>
      <c r="G7198" t="str">
        <f>"753658"</f>
        <v>753658</v>
      </c>
      <c r="H7198" s="2">
        <f>10</f>
        <v>10</v>
      </c>
      <c r="I7198" t="s">
        <v>27</v>
      </c>
      <c r="J7198" t="s">
        <v>39</v>
      </c>
      <c r="K7198" t="str">
        <f>"127800"</f>
        <v>127800</v>
      </c>
    </row>
    <row r="7199" spans="1:11" x14ac:dyDescent="0.25">
      <c r="A7199">
        <v>2025</v>
      </c>
      <c r="B7199" t="s">
        <v>8045</v>
      </c>
      <c r="C7199" t="s">
        <v>8046</v>
      </c>
      <c r="D7199" t="s">
        <v>19</v>
      </c>
      <c r="E7199" t="s">
        <v>20</v>
      </c>
      <c r="F7199" t="str">
        <f>"43611-1514"</f>
        <v>43611-1514</v>
      </c>
      <c r="G7199" t="str">
        <f>"753658"</f>
        <v>753658</v>
      </c>
      <c r="H7199" s="2">
        <f>10</f>
        <v>10</v>
      </c>
      <c r="I7199" t="s">
        <v>27</v>
      </c>
      <c r="J7199" t="s">
        <v>39</v>
      </c>
      <c r="K7199" t="str">
        <f>"126288"</f>
        <v>126288</v>
      </c>
    </row>
    <row r="7200" spans="1:11" x14ac:dyDescent="0.25">
      <c r="A7200">
        <v>2025</v>
      </c>
      <c r="B7200" t="s">
        <v>8065</v>
      </c>
      <c r="C7200" t="s">
        <v>8066</v>
      </c>
      <c r="D7200" t="s">
        <v>19</v>
      </c>
      <c r="E7200" t="s">
        <v>20</v>
      </c>
      <c r="F7200" t="str">
        <f>"43615-3980"</f>
        <v>43615-3980</v>
      </c>
      <c r="G7200" t="str">
        <f>"753658"</f>
        <v>753658</v>
      </c>
      <c r="H7200" s="2">
        <f>20</f>
        <v>20</v>
      </c>
      <c r="I7200" t="s">
        <v>27</v>
      </c>
      <c r="J7200" t="s">
        <v>39</v>
      </c>
      <c r="K7200" t="str">
        <f>"125371"</f>
        <v>125371</v>
      </c>
    </row>
    <row r="7201" spans="1:11" x14ac:dyDescent="0.25">
      <c r="A7201">
        <v>2025</v>
      </c>
      <c r="B7201" t="s">
        <v>8067</v>
      </c>
      <c r="C7201" t="s">
        <v>8068</v>
      </c>
      <c r="D7201" t="s">
        <v>64</v>
      </c>
      <c r="E7201" t="s">
        <v>20</v>
      </c>
      <c r="F7201" t="str">
        <f>"43566-1723"</f>
        <v>43566-1723</v>
      </c>
      <c r="G7201" t="str">
        <f>"753658"</f>
        <v>753658</v>
      </c>
      <c r="H7201" s="2">
        <f>10</f>
        <v>10</v>
      </c>
      <c r="I7201" t="s">
        <v>27</v>
      </c>
      <c r="J7201" t="s">
        <v>39</v>
      </c>
      <c r="K7201" t="str">
        <f>"128183"</f>
        <v>128183</v>
      </c>
    </row>
    <row r="7202" spans="1:11" x14ac:dyDescent="0.25">
      <c r="A7202">
        <v>2025</v>
      </c>
      <c r="B7202" t="s">
        <v>8073</v>
      </c>
      <c r="C7202" t="s">
        <v>8074</v>
      </c>
      <c r="D7202" t="s">
        <v>50</v>
      </c>
      <c r="E7202" t="s">
        <v>20</v>
      </c>
      <c r="F7202" t="str">
        <f>"43560-3331"</f>
        <v>43560-3331</v>
      </c>
      <c r="G7202" t="str">
        <f>"753658"</f>
        <v>753658</v>
      </c>
      <c r="H7202" s="2">
        <f>10</f>
        <v>10</v>
      </c>
      <c r="I7202" t="s">
        <v>27</v>
      </c>
      <c r="J7202" t="s">
        <v>39</v>
      </c>
      <c r="K7202" t="str">
        <f>"125543"</f>
        <v>125543</v>
      </c>
    </row>
    <row r="7203" spans="1:11" x14ac:dyDescent="0.25">
      <c r="A7203">
        <v>2025</v>
      </c>
      <c r="B7203" t="s">
        <v>8082</v>
      </c>
      <c r="C7203" t="s">
        <v>8083</v>
      </c>
      <c r="D7203" t="s">
        <v>19</v>
      </c>
      <c r="E7203" t="s">
        <v>20</v>
      </c>
      <c r="F7203" t="str">
        <f>"43617"</f>
        <v>43617</v>
      </c>
      <c r="G7203" t="str">
        <f>"751641"</f>
        <v>751641</v>
      </c>
      <c r="H7203" s="2">
        <f>3</f>
        <v>3</v>
      </c>
      <c r="I7203" t="s">
        <v>27</v>
      </c>
      <c r="J7203" t="s">
        <v>219</v>
      </c>
      <c r="K7203" t="str">
        <f>"22027044"</f>
        <v>22027044</v>
      </c>
    </row>
    <row r="7204" spans="1:11" x14ac:dyDescent="0.25">
      <c r="A7204">
        <v>2025</v>
      </c>
      <c r="B7204" t="s">
        <v>8086</v>
      </c>
      <c r="C7204" t="s">
        <v>8087</v>
      </c>
      <c r="D7204" t="s">
        <v>19</v>
      </c>
      <c r="E7204" t="s">
        <v>20</v>
      </c>
      <c r="F7204" t="str">
        <f>"43615-2735"</f>
        <v>43615-2735</v>
      </c>
      <c r="G7204" t="str">
        <f>"753658"</f>
        <v>753658</v>
      </c>
      <c r="H7204" s="2">
        <f>10</f>
        <v>10</v>
      </c>
      <c r="I7204" t="s">
        <v>27</v>
      </c>
      <c r="J7204" t="s">
        <v>39</v>
      </c>
      <c r="K7204" t="str">
        <f>"128850"</f>
        <v>128850</v>
      </c>
    </row>
    <row r="7205" spans="1:11" x14ac:dyDescent="0.25">
      <c r="A7205">
        <v>2025</v>
      </c>
      <c r="B7205" t="s">
        <v>8088</v>
      </c>
      <c r="C7205" t="s">
        <v>8089</v>
      </c>
      <c r="D7205" t="s">
        <v>19</v>
      </c>
      <c r="E7205" t="s">
        <v>20</v>
      </c>
      <c r="F7205" t="str">
        <f>"43623"</f>
        <v>43623</v>
      </c>
      <c r="G7205" t="str">
        <f>"753658"</f>
        <v>753658</v>
      </c>
      <c r="H7205" s="2">
        <f>10</f>
        <v>10</v>
      </c>
      <c r="I7205" t="s">
        <v>27</v>
      </c>
      <c r="J7205" t="s">
        <v>39</v>
      </c>
      <c r="K7205" t="str">
        <f>"129281"</f>
        <v>129281</v>
      </c>
    </row>
    <row r="7206" spans="1:11" x14ac:dyDescent="0.25">
      <c r="A7206">
        <v>2025</v>
      </c>
      <c r="B7206" t="s">
        <v>8090</v>
      </c>
      <c r="C7206" t="s">
        <v>8091</v>
      </c>
      <c r="D7206" t="s">
        <v>19</v>
      </c>
      <c r="E7206" t="s">
        <v>20</v>
      </c>
      <c r="F7206" t="str">
        <f>"43612-3405"</f>
        <v>43612-3405</v>
      </c>
      <c r="G7206" t="str">
        <f>"753658"</f>
        <v>753658</v>
      </c>
      <c r="H7206" s="2">
        <f>10</f>
        <v>10</v>
      </c>
      <c r="I7206" t="s">
        <v>27</v>
      </c>
      <c r="J7206" t="s">
        <v>39</v>
      </c>
      <c r="K7206" t="str">
        <f>"126556"</f>
        <v>126556</v>
      </c>
    </row>
    <row r="7207" spans="1:11" x14ac:dyDescent="0.25">
      <c r="A7207">
        <v>2025</v>
      </c>
      <c r="B7207" t="s">
        <v>8107</v>
      </c>
      <c r="C7207" t="s">
        <v>8108</v>
      </c>
      <c r="D7207" t="s">
        <v>50</v>
      </c>
      <c r="E7207" t="s">
        <v>20</v>
      </c>
      <c r="F7207" t="str">
        <f>"43560-2443"</f>
        <v>43560-2443</v>
      </c>
      <c r="G7207" t="str">
        <f>"753658"</f>
        <v>753658</v>
      </c>
      <c r="H7207" s="2">
        <f>40</f>
        <v>40</v>
      </c>
      <c r="I7207" t="s">
        <v>27</v>
      </c>
      <c r="J7207" t="s">
        <v>39</v>
      </c>
      <c r="K7207" t="str">
        <f>"131361"</f>
        <v>131361</v>
      </c>
    </row>
    <row r="7208" spans="1:11" x14ac:dyDescent="0.25">
      <c r="A7208">
        <v>2025</v>
      </c>
      <c r="B7208" t="s">
        <v>8123</v>
      </c>
      <c r="C7208" t="s">
        <v>8124</v>
      </c>
      <c r="D7208" t="s">
        <v>19</v>
      </c>
      <c r="E7208" t="s">
        <v>20</v>
      </c>
      <c r="F7208" t="str">
        <f>"43612"</f>
        <v>43612</v>
      </c>
      <c r="G7208" t="str">
        <f>"Je12092025"</f>
        <v>Je12092025</v>
      </c>
      <c r="H7208" s="2">
        <f>38.08</f>
        <v>38.08</v>
      </c>
      <c r="I7208" t="s">
        <v>15</v>
      </c>
      <c r="J7208" t="s">
        <v>909</v>
      </c>
      <c r="K7208" t="str">
        <f>"60169262"</f>
        <v>60169262</v>
      </c>
    </row>
    <row r="7209" spans="1:11" x14ac:dyDescent="0.25">
      <c r="A7209">
        <v>2025</v>
      </c>
      <c r="B7209" t="s">
        <v>8195</v>
      </c>
      <c r="C7209" t="s">
        <v>8196</v>
      </c>
      <c r="D7209" t="s">
        <v>64</v>
      </c>
      <c r="E7209" t="s">
        <v>20</v>
      </c>
      <c r="F7209" t="str">
        <f>"43566-1149"</f>
        <v>43566-1149</v>
      </c>
      <c r="G7209" t="str">
        <f>"753658"</f>
        <v>753658</v>
      </c>
      <c r="H7209" s="2">
        <f>40</f>
        <v>40</v>
      </c>
      <c r="I7209" t="s">
        <v>27</v>
      </c>
      <c r="J7209" t="s">
        <v>39</v>
      </c>
      <c r="K7209" t="str">
        <f>"128247"</f>
        <v>128247</v>
      </c>
    </row>
    <row r="7210" spans="1:11" x14ac:dyDescent="0.25">
      <c r="A7210">
        <v>2025</v>
      </c>
      <c r="B7210" t="s">
        <v>8205</v>
      </c>
      <c r="C7210" t="s">
        <v>8206</v>
      </c>
      <c r="D7210" t="s">
        <v>19</v>
      </c>
      <c r="E7210" t="s">
        <v>20</v>
      </c>
      <c r="F7210" t="str">
        <f>"43609"</f>
        <v>43609</v>
      </c>
      <c r="G7210" t="str">
        <f>"753658"</f>
        <v>753658</v>
      </c>
      <c r="H7210" s="2">
        <f>10</f>
        <v>10</v>
      </c>
      <c r="I7210" t="s">
        <v>27</v>
      </c>
      <c r="J7210" t="s">
        <v>39</v>
      </c>
      <c r="K7210" t="str">
        <f>"129365"</f>
        <v>129365</v>
      </c>
    </row>
    <row r="7211" spans="1:11" x14ac:dyDescent="0.25">
      <c r="A7211">
        <v>2025</v>
      </c>
      <c r="B7211" t="s">
        <v>8219</v>
      </c>
      <c r="C7211" t="s">
        <v>8220</v>
      </c>
      <c r="D7211" t="s">
        <v>64</v>
      </c>
      <c r="E7211" t="s">
        <v>20</v>
      </c>
      <c r="F7211" t="str">
        <f>"43566-1733"</f>
        <v>43566-1733</v>
      </c>
      <c r="G7211" t="str">
        <f>"753658"</f>
        <v>753658</v>
      </c>
      <c r="H7211" s="2">
        <f>10</f>
        <v>10</v>
      </c>
      <c r="I7211" t="s">
        <v>27</v>
      </c>
      <c r="J7211" t="s">
        <v>39</v>
      </c>
      <c r="K7211" t="str">
        <f>"126086"</f>
        <v>126086</v>
      </c>
    </row>
    <row r="7212" spans="1:11" x14ac:dyDescent="0.25">
      <c r="A7212">
        <v>2025</v>
      </c>
      <c r="B7212" t="s">
        <v>8223</v>
      </c>
      <c r="C7212" t="s">
        <v>8224</v>
      </c>
      <c r="D7212" t="s">
        <v>64</v>
      </c>
      <c r="E7212" t="s">
        <v>20</v>
      </c>
      <c r="F7212" t="str">
        <f>"43566-1625"</f>
        <v>43566-1625</v>
      </c>
      <c r="G7212" t="str">
        <f>"753658"</f>
        <v>753658</v>
      </c>
      <c r="H7212" s="2">
        <f>40</f>
        <v>40</v>
      </c>
      <c r="I7212" t="s">
        <v>27</v>
      </c>
      <c r="J7212" t="s">
        <v>39</v>
      </c>
      <c r="K7212" t="str">
        <f>"128604"</f>
        <v>128604</v>
      </c>
    </row>
    <row r="7213" spans="1:11" x14ac:dyDescent="0.25">
      <c r="A7213">
        <v>2025</v>
      </c>
      <c r="B7213" t="s">
        <v>8223</v>
      </c>
      <c r="C7213" t="s">
        <v>8224</v>
      </c>
      <c r="D7213" t="s">
        <v>64</v>
      </c>
      <c r="E7213" t="s">
        <v>20</v>
      </c>
      <c r="F7213" t="str">
        <f>"43566-1625"</f>
        <v>43566-1625</v>
      </c>
      <c r="G7213" t="str">
        <f>"753658"</f>
        <v>753658</v>
      </c>
      <c r="H7213" s="2">
        <f>40</f>
        <v>40</v>
      </c>
      <c r="I7213" t="s">
        <v>27</v>
      </c>
      <c r="J7213" t="s">
        <v>39</v>
      </c>
      <c r="K7213" t="str">
        <f>"128726"</f>
        <v>128726</v>
      </c>
    </row>
    <row r="7214" spans="1:11" x14ac:dyDescent="0.25">
      <c r="A7214">
        <v>2025</v>
      </c>
      <c r="B7214" t="s">
        <v>8225</v>
      </c>
      <c r="C7214" t="s">
        <v>8226</v>
      </c>
      <c r="D7214" t="s">
        <v>19</v>
      </c>
      <c r="E7214" t="s">
        <v>20</v>
      </c>
      <c r="F7214" t="str">
        <f>"43614"</f>
        <v>43614</v>
      </c>
      <c r="G7214" t="str">
        <f>"759797"</f>
        <v>759797</v>
      </c>
      <c r="H7214" s="2">
        <f>1815.82</f>
        <v>1815.82</v>
      </c>
      <c r="I7214" t="s">
        <v>27</v>
      </c>
      <c r="J7214" t="s">
        <v>239</v>
      </c>
      <c r="K7214" t="str">
        <f>"N/A"</f>
        <v>N/A</v>
      </c>
    </row>
    <row r="7215" spans="1:11" x14ac:dyDescent="0.25">
      <c r="A7215">
        <v>2025</v>
      </c>
      <c r="B7215" t="s">
        <v>8229</v>
      </c>
      <c r="C7215" t="s">
        <v>8230</v>
      </c>
      <c r="D7215" t="s">
        <v>19</v>
      </c>
      <c r="E7215" t="s">
        <v>20</v>
      </c>
      <c r="F7215" t="str">
        <f>"43606-3075"</f>
        <v>43606-3075</v>
      </c>
      <c r="G7215" t="str">
        <f>"753658"</f>
        <v>753658</v>
      </c>
      <c r="H7215" s="2">
        <f>10</f>
        <v>10</v>
      </c>
      <c r="I7215" t="s">
        <v>27</v>
      </c>
      <c r="J7215" t="s">
        <v>39</v>
      </c>
      <c r="K7215" t="str">
        <f>"127661"</f>
        <v>127661</v>
      </c>
    </row>
    <row r="7216" spans="1:11" x14ac:dyDescent="0.25">
      <c r="A7216">
        <v>2025</v>
      </c>
      <c r="B7216" t="s">
        <v>8241</v>
      </c>
      <c r="C7216" t="s">
        <v>8242</v>
      </c>
      <c r="D7216" t="s">
        <v>19</v>
      </c>
      <c r="E7216" t="s">
        <v>20</v>
      </c>
      <c r="F7216" t="str">
        <f>"43613"</f>
        <v>43613</v>
      </c>
      <c r="G7216" t="str">
        <f>"751641"</f>
        <v>751641</v>
      </c>
      <c r="H7216" s="2">
        <f>14.9</f>
        <v>14.9</v>
      </c>
      <c r="I7216" t="s">
        <v>27</v>
      </c>
      <c r="J7216" t="s">
        <v>219</v>
      </c>
      <c r="K7216" t="str">
        <f>"22027476"</f>
        <v>22027476</v>
      </c>
    </row>
    <row r="7217" spans="1:11" x14ac:dyDescent="0.25">
      <c r="A7217">
        <v>2025</v>
      </c>
      <c r="B7217" t="s">
        <v>8256</v>
      </c>
      <c r="C7217" t="s">
        <v>8257</v>
      </c>
      <c r="D7217" t="s">
        <v>45</v>
      </c>
      <c r="E7217" t="s">
        <v>20</v>
      </c>
      <c r="F7217" t="str">
        <f>"43542-9732"</f>
        <v>43542-9732</v>
      </c>
      <c r="G7217" t="str">
        <f>"753658"</f>
        <v>753658</v>
      </c>
      <c r="H7217" s="2">
        <f>20</f>
        <v>20</v>
      </c>
      <c r="I7217" t="s">
        <v>27</v>
      </c>
      <c r="J7217" t="s">
        <v>39</v>
      </c>
      <c r="K7217" t="str">
        <f>"127132"</f>
        <v>127132</v>
      </c>
    </row>
    <row r="7218" spans="1:11" x14ac:dyDescent="0.25">
      <c r="A7218">
        <v>2025</v>
      </c>
      <c r="B7218" t="s">
        <v>8274</v>
      </c>
      <c r="C7218" t="s">
        <v>8275</v>
      </c>
      <c r="D7218" t="s">
        <v>19</v>
      </c>
      <c r="E7218" t="s">
        <v>20</v>
      </c>
      <c r="F7218" t="str">
        <f>"43606-1248"</f>
        <v>43606-1248</v>
      </c>
      <c r="G7218" t="str">
        <f>"753658"</f>
        <v>753658</v>
      </c>
      <c r="H7218" s="2">
        <f>10</f>
        <v>10</v>
      </c>
      <c r="I7218" t="s">
        <v>27</v>
      </c>
      <c r="J7218" t="s">
        <v>39</v>
      </c>
      <c r="K7218" t="str">
        <f>"127009"</f>
        <v>127009</v>
      </c>
    </row>
    <row r="7219" spans="1:11" x14ac:dyDescent="0.25">
      <c r="A7219">
        <v>2025</v>
      </c>
      <c r="B7219" t="s">
        <v>8284</v>
      </c>
      <c r="C7219" t="s">
        <v>8285</v>
      </c>
      <c r="D7219" t="s">
        <v>19</v>
      </c>
      <c r="E7219" t="s">
        <v>20</v>
      </c>
      <c r="F7219" t="str">
        <f>"43612-2446"</f>
        <v>43612-2446</v>
      </c>
      <c r="G7219" t="str">
        <f>"753658"</f>
        <v>753658</v>
      </c>
      <c r="H7219" s="2">
        <f>40</f>
        <v>40</v>
      </c>
      <c r="I7219" t="s">
        <v>27</v>
      </c>
      <c r="J7219" t="s">
        <v>39</v>
      </c>
      <c r="K7219" t="str">
        <f>"131200"</f>
        <v>131200</v>
      </c>
    </row>
    <row r="7220" spans="1:11" x14ac:dyDescent="0.25">
      <c r="A7220">
        <v>2025</v>
      </c>
      <c r="B7220" t="s">
        <v>8294</v>
      </c>
      <c r="C7220" t="s">
        <v>8295</v>
      </c>
      <c r="D7220" t="s">
        <v>164</v>
      </c>
      <c r="E7220" t="s">
        <v>20</v>
      </c>
      <c r="F7220" t="str">
        <f>"43558"</f>
        <v>43558</v>
      </c>
      <c r="G7220" t="str">
        <f>"751641"</f>
        <v>751641</v>
      </c>
      <c r="H7220" s="2">
        <f>1</f>
        <v>1</v>
      </c>
      <c r="I7220" t="s">
        <v>27</v>
      </c>
      <c r="J7220" t="s">
        <v>219</v>
      </c>
      <c r="K7220" t="str">
        <f>"11004689"</f>
        <v>11004689</v>
      </c>
    </row>
    <row r="7221" spans="1:11" x14ac:dyDescent="0.25">
      <c r="A7221">
        <v>2025</v>
      </c>
      <c r="B7221" t="s">
        <v>8327</v>
      </c>
      <c r="C7221" t="s">
        <v>8328</v>
      </c>
      <c r="D7221" t="s">
        <v>19</v>
      </c>
      <c r="E7221" t="s">
        <v>20</v>
      </c>
      <c r="F7221" t="str">
        <f>"43613-3029"</f>
        <v>43613-3029</v>
      </c>
      <c r="G7221" t="str">
        <f>"753658"</f>
        <v>753658</v>
      </c>
      <c r="H7221" s="2">
        <f>20</f>
        <v>20</v>
      </c>
      <c r="I7221" t="s">
        <v>27</v>
      </c>
      <c r="J7221" t="s">
        <v>39</v>
      </c>
      <c r="K7221" t="str">
        <f>"128490"</f>
        <v>128490</v>
      </c>
    </row>
    <row r="7222" spans="1:11" x14ac:dyDescent="0.25">
      <c r="A7222">
        <v>2025</v>
      </c>
      <c r="B7222" t="s">
        <v>8329</v>
      </c>
      <c r="C7222" t="s">
        <v>8330</v>
      </c>
      <c r="D7222" t="s">
        <v>8331</v>
      </c>
      <c r="E7222" t="s">
        <v>20</v>
      </c>
      <c r="F7222" t="str">
        <f>"43452"</f>
        <v>43452</v>
      </c>
      <c r="G7222" t="str">
        <f>"759796"</f>
        <v>759796</v>
      </c>
      <c r="H7222" s="2">
        <f>61</f>
        <v>61</v>
      </c>
      <c r="I7222" t="s">
        <v>27</v>
      </c>
      <c r="J7222" t="s">
        <v>188</v>
      </c>
      <c r="K7222" t="str">
        <f>"45414"</f>
        <v>45414</v>
      </c>
    </row>
    <row r="7223" spans="1:11" x14ac:dyDescent="0.25">
      <c r="A7223">
        <v>2025</v>
      </c>
      <c r="B7223" t="s">
        <v>8332</v>
      </c>
      <c r="C7223" t="s">
        <v>8333</v>
      </c>
      <c r="D7223" t="s">
        <v>19</v>
      </c>
      <c r="E7223" t="s">
        <v>20</v>
      </c>
      <c r="F7223" t="str">
        <f>"43613-4632"</f>
        <v>43613-4632</v>
      </c>
      <c r="G7223" t="str">
        <f>"753658"</f>
        <v>753658</v>
      </c>
      <c r="H7223" s="2">
        <f>20</f>
        <v>20</v>
      </c>
      <c r="I7223" t="s">
        <v>27</v>
      </c>
      <c r="J7223" t="s">
        <v>39</v>
      </c>
      <c r="K7223" t="str">
        <f>"125887"</f>
        <v>125887</v>
      </c>
    </row>
    <row r="7224" spans="1:11" x14ac:dyDescent="0.25">
      <c r="A7224">
        <v>2025</v>
      </c>
      <c r="B7224" t="s">
        <v>8335</v>
      </c>
      <c r="C7224" t="s">
        <v>8336</v>
      </c>
      <c r="D7224" t="s">
        <v>19</v>
      </c>
      <c r="E7224" t="s">
        <v>20</v>
      </c>
      <c r="F7224" t="str">
        <f>"43611-1913"</f>
        <v>43611-1913</v>
      </c>
      <c r="G7224" t="str">
        <f>"753658"</f>
        <v>753658</v>
      </c>
      <c r="H7224" s="2">
        <f>30</f>
        <v>30</v>
      </c>
      <c r="I7224" t="s">
        <v>27</v>
      </c>
      <c r="J7224" t="s">
        <v>39</v>
      </c>
      <c r="K7224" t="str">
        <f>"126662"</f>
        <v>126662</v>
      </c>
    </row>
    <row r="7225" spans="1:11" x14ac:dyDescent="0.25">
      <c r="A7225">
        <v>2025</v>
      </c>
      <c r="B7225" t="s">
        <v>8337</v>
      </c>
      <c r="C7225" t="s">
        <v>8338</v>
      </c>
      <c r="D7225" t="s">
        <v>19</v>
      </c>
      <c r="E7225" t="s">
        <v>20</v>
      </c>
      <c r="F7225" t="str">
        <f>"43615-1358"</f>
        <v>43615-1358</v>
      </c>
      <c r="G7225" t="str">
        <f>"753658"</f>
        <v>753658</v>
      </c>
      <c r="H7225" s="2">
        <f>10</f>
        <v>10</v>
      </c>
      <c r="I7225" t="s">
        <v>27</v>
      </c>
      <c r="J7225" t="s">
        <v>39</v>
      </c>
      <c r="K7225" t="str">
        <f>"126811"</f>
        <v>126811</v>
      </c>
    </row>
    <row r="7226" spans="1:11" x14ac:dyDescent="0.25">
      <c r="A7226">
        <v>2025</v>
      </c>
      <c r="B7226" t="s">
        <v>8341</v>
      </c>
      <c r="C7226" t="s">
        <v>3412</v>
      </c>
      <c r="D7226" t="s">
        <v>125</v>
      </c>
      <c r="E7226" t="s">
        <v>20</v>
      </c>
      <c r="F7226" t="str">
        <f>"43537"</f>
        <v>43537</v>
      </c>
      <c r="G7226" t="str">
        <f>"759796"</f>
        <v>759796</v>
      </c>
      <c r="H7226" s="2">
        <f>2.9</f>
        <v>2.9</v>
      </c>
      <c r="I7226" t="s">
        <v>27</v>
      </c>
      <c r="J7226" t="s">
        <v>188</v>
      </c>
      <c r="K7226" t="str">
        <f>"44810"</f>
        <v>44810</v>
      </c>
    </row>
    <row r="7227" spans="1:11" x14ac:dyDescent="0.25">
      <c r="A7227">
        <v>2025</v>
      </c>
      <c r="B7227" t="s">
        <v>8341</v>
      </c>
      <c r="C7227" t="s">
        <v>3412</v>
      </c>
      <c r="D7227" t="s">
        <v>125</v>
      </c>
      <c r="E7227" t="s">
        <v>20</v>
      </c>
      <c r="F7227" t="str">
        <f>"43537"</f>
        <v>43537</v>
      </c>
      <c r="G7227" t="str">
        <f>"759796"</f>
        <v>759796</v>
      </c>
      <c r="H7227" s="2">
        <f>20</f>
        <v>20</v>
      </c>
      <c r="I7227" t="s">
        <v>27</v>
      </c>
      <c r="J7227" t="s">
        <v>188</v>
      </c>
      <c r="K7227" t="str">
        <f>"44811"</f>
        <v>44811</v>
      </c>
    </row>
    <row r="7228" spans="1:11" x14ac:dyDescent="0.25">
      <c r="A7228">
        <v>2025</v>
      </c>
      <c r="B7228" t="s">
        <v>8341</v>
      </c>
      <c r="C7228" t="s">
        <v>3412</v>
      </c>
      <c r="D7228" t="s">
        <v>125</v>
      </c>
      <c r="E7228" t="s">
        <v>20</v>
      </c>
      <c r="F7228" t="str">
        <f>"43537"</f>
        <v>43537</v>
      </c>
      <c r="G7228" t="str">
        <f>"759796"</f>
        <v>759796</v>
      </c>
      <c r="H7228" s="2">
        <f>20</f>
        <v>20</v>
      </c>
      <c r="I7228" t="s">
        <v>27</v>
      </c>
      <c r="J7228" t="s">
        <v>188</v>
      </c>
      <c r="K7228" t="str">
        <f>"44812"</f>
        <v>44812</v>
      </c>
    </row>
    <row r="7229" spans="1:11" x14ac:dyDescent="0.25">
      <c r="A7229">
        <v>2025</v>
      </c>
      <c r="B7229" t="s">
        <v>8354</v>
      </c>
      <c r="C7229" t="s">
        <v>8355</v>
      </c>
      <c r="D7229" t="s">
        <v>105</v>
      </c>
      <c r="E7229" t="s">
        <v>20</v>
      </c>
      <c r="F7229" t="str">
        <f>"43528-9685"</f>
        <v>43528-9685</v>
      </c>
      <c r="G7229" t="str">
        <f>"753658"</f>
        <v>753658</v>
      </c>
      <c r="H7229" s="2">
        <f>10</f>
        <v>10</v>
      </c>
      <c r="I7229" t="s">
        <v>27</v>
      </c>
      <c r="J7229" t="s">
        <v>39</v>
      </c>
      <c r="K7229" t="str">
        <f>"126504"</f>
        <v>126504</v>
      </c>
    </row>
    <row r="7230" spans="1:11" x14ac:dyDescent="0.25">
      <c r="A7230">
        <v>2025</v>
      </c>
      <c r="B7230" t="s">
        <v>8358</v>
      </c>
      <c r="C7230" t="s">
        <v>8359</v>
      </c>
      <c r="D7230" t="s">
        <v>19</v>
      </c>
      <c r="E7230" t="s">
        <v>20</v>
      </c>
      <c r="F7230" t="str">
        <f>"43605-1753"</f>
        <v>43605-1753</v>
      </c>
      <c r="G7230" t="str">
        <f>"753658"</f>
        <v>753658</v>
      </c>
      <c r="H7230" s="2">
        <f>10</f>
        <v>10</v>
      </c>
      <c r="I7230" t="s">
        <v>27</v>
      </c>
      <c r="J7230" t="s">
        <v>39</v>
      </c>
      <c r="K7230" t="str">
        <f>"128044"</f>
        <v>128044</v>
      </c>
    </row>
    <row r="7231" spans="1:11" x14ac:dyDescent="0.25">
      <c r="A7231">
        <v>2025</v>
      </c>
      <c r="B7231" t="s">
        <v>8365</v>
      </c>
      <c r="C7231" t="s">
        <v>8366</v>
      </c>
      <c r="D7231" t="s">
        <v>105</v>
      </c>
      <c r="E7231" t="s">
        <v>20</v>
      </c>
      <c r="F7231" t="str">
        <f>"43528-8586"</f>
        <v>43528-8586</v>
      </c>
      <c r="G7231" t="str">
        <f>"753658"</f>
        <v>753658</v>
      </c>
      <c r="H7231" s="2">
        <f>10</f>
        <v>10</v>
      </c>
      <c r="I7231" t="s">
        <v>27</v>
      </c>
      <c r="J7231" t="s">
        <v>39</v>
      </c>
      <c r="K7231" t="str">
        <f>"128922"</f>
        <v>128922</v>
      </c>
    </row>
    <row r="7232" spans="1:11" x14ac:dyDescent="0.25">
      <c r="A7232">
        <v>2025</v>
      </c>
      <c r="B7232" t="s">
        <v>8367</v>
      </c>
      <c r="C7232" t="s">
        <v>8368</v>
      </c>
      <c r="D7232" t="s">
        <v>19</v>
      </c>
      <c r="E7232" t="s">
        <v>20</v>
      </c>
      <c r="F7232" t="str">
        <f>"43615-1419"</f>
        <v>43615-1419</v>
      </c>
      <c r="G7232" t="str">
        <f>"753658"</f>
        <v>753658</v>
      </c>
      <c r="H7232" s="2">
        <f>10</f>
        <v>10</v>
      </c>
      <c r="I7232" t="s">
        <v>27</v>
      </c>
      <c r="J7232" t="s">
        <v>39</v>
      </c>
      <c r="K7232" t="str">
        <f>"126779"</f>
        <v>126779</v>
      </c>
    </row>
    <row r="7233" spans="1:11" x14ac:dyDescent="0.25">
      <c r="A7233">
        <v>2025</v>
      </c>
      <c r="B7233" t="s">
        <v>8388</v>
      </c>
      <c r="C7233" t="s">
        <v>8389</v>
      </c>
      <c r="D7233" t="s">
        <v>19</v>
      </c>
      <c r="E7233" t="s">
        <v>20</v>
      </c>
      <c r="F7233" t="str">
        <f>"43560"</f>
        <v>43560</v>
      </c>
      <c r="G7233" t="str">
        <f>"759797"</f>
        <v>759797</v>
      </c>
      <c r="H7233" s="2">
        <f>1194.7</f>
        <v>1194.7</v>
      </c>
      <c r="I7233" t="s">
        <v>27</v>
      </c>
      <c r="J7233" t="s">
        <v>239</v>
      </c>
      <c r="K7233" t="str">
        <f>"N/A"</f>
        <v>N/A</v>
      </c>
    </row>
    <row r="7234" spans="1:11" x14ac:dyDescent="0.25">
      <c r="A7234">
        <v>2025</v>
      </c>
      <c r="B7234" t="s">
        <v>8396</v>
      </c>
      <c r="C7234" t="s">
        <v>8397</v>
      </c>
      <c r="D7234" t="s">
        <v>19</v>
      </c>
      <c r="E7234" t="s">
        <v>20</v>
      </c>
      <c r="F7234" t="str">
        <f>"43607-1571"</f>
        <v>43607-1571</v>
      </c>
      <c r="G7234" t="str">
        <f>"753658"</f>
        <v>753658</v>
      </c>
      <c r="H7234" s="2">
        <f>10</f>
        <v>10</v>
      </c>
      <c r="I7234" t="s">
        <v>27</v>
      </c>
      <c r="J7234" t="s">
        <v>39</v>
      </c>
      <c r="K7234" t="str">
        <f>"125194"</f>
        <v>125194</v>
      </c>
    </row>
    <row r="7235" spans="1:11" x14ac:dyDescent="0.25">
      <c r="A7235">
        <v>2025</v>
      </c>
      <c r="B7235" t="s">
        <v>8398</v>
      </c>
      <c r="C7235" t="s">
        <v>8399</v>
      </c>
      <c r="D7235" t="s">
        <v>125</v>
      </c>
      <c r="E7235" t="s">
        <v>20</v>
      </c>
      <c r="F7235" t="str">
        <f>"43537-9684"</f>
        <v>43537-9684</v>
      </c>
      <c r="G7235" t="str">
        <f>"753658"</f>
        <v>753658</v>
      </c>
      <c r="H7235" s="2">
        <f>20</f>
        <v>20</v>
      </c>
      <c r="I7235" t="s">
        <v>27</v>
      </c>
      <c r="J7235" t="s">
        <v>39</v>
      </c>
      <c r="K7235" t="str">
        <f>"131586"</f>
        <v>131586</v>
      </c>
    </row>
    <row r="7236" spans="1:11" x14ac:dyDescent="0.25">
      <c r="A7236">
        <v>2025</v>
      </c>
      <c r="B7236" t="s">
        <v>8400</v>
      </c>
      <c r="C7236" t="s">
        <v>8401</v>
      </c>
      <c r="D7236" t="s">
        <v>19</v>
      </c>
      <c r="E7236" t="s">
        <v>20</v>
      </c>
      <c r="F7236" t="str">
        <f>"43611"</f>
        <v>43611</v>
      </c>
      <c r="G7236" t="str">
        <f>"772209"</f>
        <v>772209</v>
      </c>
      <c r="H7236" s="2">
        <f>1631.85</f>
        <v>1631.85</v>
      </c>
      <c r="I7236" t="s">
        <v>27</v>
      </c>
      <c r="J7236" t="s">
        <v>691</v>
      </c>
      <c r="K7236" t="str">
        <f>"N/A"</f>
        <v>N/A</v>
      </c>
    </row>
    <row r="7237" spans="1:11" x14ac:dyDescent="0.25">
      <c r="A7237">
        <v>2025</v>
      </c>
      <c r="B7237" t="s">
        <v>8402</v>
      </c>
      <c r="C7237" t="s">
        <v>8403</v>
      </c>
      <c r="D7237" t="s">
        <v>19</v>
      </c>
      <c r="E7237" t="s">
        <v>20</v>
      </c>
      <c r="F7237" t="str">
        <f>"43612-2207"</f>
        <v>43612-2207</v>
      </c>
      <c r="G7237" t="str">
        <f>"753658"</f>
        <v>753658</v>
      </c>
      <c r="H7237" s="2">
        <f>20</f>
        <v>20</v>
      </c>
      <c r="I7237" t="s">
        <v>27</v>
      </c>
      <c r="J7237" t="s">
        <v>39</v>
      </c>
      <c r="K7237" t="str">
        <f>"131745"</f>
        <v>131745</v>
      </c>
    </row>
    <row r="7238" spans="1:11" x14ac:dyDescent="0.25">
      <c r="A7238">
        <v>2025</v>
      </c>
      <c r="B7238" t="s">
        <v>8411</v>
      </c>
      <c r="C7238" t="s">
        <v>8412</v>
      </c>
      <c r="D7238" t="s">
        <v>19</v>
      </c>
      <c r="E7238" t="s">
        <v>20</v>
      </c>
      <c r="F7238" t="str">
        <f>"43615-2547"</f>
        <v>43615-2547</v>
      </c>
      <c r="G7238" t="str">
        <f>"753658"</f>
        <v>753658</v>
      </c>
      <c r="H7238" s="2">
        <f>10</f>
        <v>10</v>
      </c>
      <c r="I7238" t="s">
        <v>27</v>
      </c>
      <c r="J7238" t="s">
        <v>39</v>
      </c>
      <c r="K7238" t="str">
        <f>"130002"</f>
        <v>130002</v>
      </c>
    </row>
    <row r="7239" spans="1:11" x14ac:dyDescent="0.25">
      <c r="A7239">
        <v>2025</v>
      </c>
      <c r="B7239" t="s">
        <v>8428</v>
      </c>
      <c r="C7239" t="s">
        <v>8429</v>
      </c>
      <c r="D7239" t="s">
        <v>19</v>
      </c>
      <c r="E7239" t="s">
        <v>20</v>
      </c>
      <c r="F7239" t="str">
        <f>"43614-3937"</f>
        <v>43614-3937</v>
      </c>
      <c r="G7239" t="str">
        <f>"753658"</f>
        <v>753658</v>
      </c>
      <c r="H7239" s="2">
        <f>10</f>
        <v>10</v>
      </c>
      <c r="I7239" t="s">
        <v>27</v>
      </c>
      <c r="J7239" t="s">
        <v>39</v>
      </c>
      <c r="K7239" t="str">
        <f>"131878"</f>
        <v>131878</v>
      </c>
    </row>
    <row r="7240" spans="1:11" x14ac:dyDescent="0.25">
      <c r="A7240">
        <v>2025</v>
      </c>
      <c r="B7240" t="s">
        <v>8436</v>
      </c>
      <c r="C7240" t="s">
        <v>8437</v>
      </c>
      <c r="D7240" t="s">
        <v>19</v>
      </c>
      <c r="E7240" t="s">
        <v>20</v>
      </c>
      <c r="F7240" t="str">
        <f>"43604"</f>
        <v>43604</v>
      </c>
      <c r="G7240" t="str">
        <f>"759796"</f>
        <v>759796</v>
      </c>
      <c r="H7240" s="2">
        <f>92</f>
        <v>92</v>
      </c>
      <c r="I7240" t="s">
        <v>27</v>
      </c>
      <c r="J7240" t="s">
        <v>188</v>
      </c>
      <c r="K7240" t="str">
        <f>"46760"</f>
        <v>46760</v>
      </c>
    </row>
    <row r="7241" spans="1:11" x14ac:dyDescent="0.25">
      <c r="A7241">
        <v>2025</v>
      </c>
      <c r="B7241" t="s">
        <v>8436</v>
      </c>
      <c r="C7241" t="s">
        <v>8437</v>
      </c>
      <c r="D7241" t="s">
        <v>19</v>
      </c>
      <c r="E7241" t="s">
        <v>20</v>
      </c>
      <c r="F7241" t="str">
        <f>"43604"</f>
        <v>43604</v>
      </c>
      <c r="G7241" t="str">
        <f>"759796"</f>
        <v>759796</v>
      </c>
      <c r="H7241" s="2">
        <f>242</f>
        <v>242</v>
      </c>
      <c r="I7241" t="s">
        <v>27</v>
      </c>
      <c r="J7241" t="s">
        <v>188</v>
      </c>
      <c r="K7241" t="str">
        <f>"46761"</f>
        <v>46761</v>
      </c>
    </row>
    <row r="7242" spans="1:11" x14ac:dyDescent="0.25">
      <c r="A7242">
        <v>2025</v>
      </c>
      <c r="B7242" t="s">
        <v>8447</v>
      </c>
      <c r="C7242" t="s">
        <v>8448</v>
      </c>
      <c r="D7242" t="s">
        <v>64</v>
      </c>
      <c r="E7242" t="s">
        <v>20</v>
      </c>
      <c r="F7242" t="str">
        <f>"43566-9460"</f>
        <v>43566-9460</v>
      </c>
      <c r="G7242" t="str">
        <f>"753658"</f>
        <v>753658</v>
      </c>
      <c r="H7242" s="2">
        <f>10</f>
        <v>10</v>
      </c>
      <c r="I7242" t="s">
        <v>27</v>
      </c>
      <c r="J7242" t="s">
        <v>39</v>
      </c>
      <c r="K7242" t="str">
        <f>"128549"</f>
        <v>128549</v>
      </c>
    </row>
    <row r="7243" spans="1:11" x14ac:dyDescent="0.25">
      <c r="A7243">
        <v>2025</v>
      </c>
      <c r="B7243" t="s">
        <v>8449</v>
      </c>
      <c r="C7243" t="s">
        <v>8450</v>
      </c>
      <c r="D7243" t="s">
        <v>50</v>
      </c>
      <c r="E7243" t="s">
        <v>20</v>
      </c>
      <c r="F7243" t="str">
        <f>"43560-8901"</f>
        <v>43560-8901</v>
      </c>
      <c r="G7243" t="str">
        <f>"753658"</f>
        <v>753658</v>
      </c>
      <c r="H7243" s="2">
        <f>10</f>
        <v>10</v>
      </c>
      <c r="I7243" t="s">
        <v>27</v>
      </c>
      <c r="J7243" t="s">
        <v>39</v>
      </c>
      <c r="K7243" t="str">
        <f>"125398"</f>
        <v>125398</v>
      </c>
    </row>
    <row r="7244" spans="1:11" x14ac:dyDescent="0.25">
      <c r="A7244">
        <v>2025</v>
      </c>
      <c r="B7244" t="s">
        <v>8463</v>
      </c>
      <c r="C7244" t="s">
        <v>8464</v>
      </c>
      <c r="D7244" t="s">
        <v>58</v>
      </c>
      <c r="E7244" t="s">
        <v>20</v>
      </c>
      <c r="F7244" t="str">
        <f>"43616-3812"</f>
        <v>43616-3812</v>
      </c>
      <c r="G7244" t="str">
        <f>"753658"</f>
        <v>753658</v>
      </c>
      <c r="H7244" s="2">
        <f>10</f>
        <v>10</v>
      </c>
      <c r="I7244" t="s">
        <v>27</v>
      </c>
      <c r="J7244" t="s">
        <v>39</v>
      </c>
      <c r="K7244" t="str">
        <f>"126409"</f>
        <v>126409</v>
      </c>
    </row>
    <row r="7245" spans="1:11" x14ac:dyDescent="0.25">
      <c r="A7245">
        <v>2025</v>
      </c>
      <c r="B7245" t="s">
        <v>8478</v>
      </c>
      <c r="C7245" t="s">
        <v>8479</v>
      </c>
      <c r="D7245" t="s">
        <v>64</v>
      </c>
      <c r="E7245" t="s">
        <v>20</v>
      </c>
      <c r="F7245" t="str">
        <f>"43566-1234"</f>
        <v>43566-1234</v>
      </c>
      <c r="G7245" t="str">
        <f>"753658"</f>
        <v>753658</v>
      </c>
      <c r="H7245" s="2">
        <f>20</f>
        <v>20</v>
      </c>
      <c r="I7245" t="s">
        <v>27</v>
      </c>
      <c r="J7245" t="s">
        <v>39</v>
      </c>
      <c r="K7245" t="str">
        <f>"127510"</f>
        <v>127510</v>
      </c>
    </row>
    <row r="7246" spans="1:11" x14ac:dyDescent="0.25">
      <c r="A7246">
        <v>2025</v>
      </c>
      <c r="B7246" t="s">
        <v>8480</v>
      </c>
      <c r="C7246" t="s">
        <v>8481</v>
      </c>
      <c r="D7246" t="s">
        <v>19</v>
      </c>
      <c r="E7246" t="s">
        <v>20</v>
      </c>
      <c r="F7246" t="str">
        <f>"43605-2502"</f>
        <v>43605-2502</v>
      </c>
      <c r="G7246" t="str">
        <f>"753658"</f>
        <v>753658</v>
      </c>
      <c r="H7246" s="2">
        <f>10</f>
        <v>10</v>
      </c>
      <c r="I7246" t="s">
        <v>27</v>
      </c>
      <c r="J7246" t="s">
        <v>39</v>
      </c>
      <c r="K7246" t="str">
        <f>"126253"</f>
        <v>126253</v>
      </c>
    </row>
    <row r="7247" spans="1:11" x14ac:dyDescent="0.25">
      <c r="A7247">
        <v>2025</v>
      </c>
      <c r="B7247" t="s">
        <v>8482</v>
      </c>
      <c r="C7247" t="s">
        <v>8483</v>
      </c>
      <c r="D7247" t="s">
        <v>19</v>
      </c>
      <c r="E7247" t="s">
        <v>20</v>
      </c>
      <c r="F7247" t="str">
        <f>"43615"</f>
        <v>43615</v>
      </c>
      <c r="G7247" t="str">
        <f>"759797"</f>
        <v>759797</v>
      </c>
      <c r="H7247" s="2">
        <f>423.05</f>
        <v>423.05</v>
      </c>
      <c r="I7247" t="s">
        <v>27</v>
      </c>
      <c r="J7247" t="s">
        <v>239</v>
      </c>
      <c r="K7247" t="str">
        <f>"N/A"</f>
        <v>N/A</v>
      </c>
    </row>
    <row r="7248" spans="1:11" x14ac:dyDescent="0.25">
      <c r="A7248">
        <v>2025</v>
      </c>
      <c r="B7248" t="s">
        <v>8484</v>
      </c>
      <c r="C7248" t="s">
        <v>8485</v>
      </c>
      <c r="D7248" t="s">
        <v>19</v>
      </c>
      <c r="E7248" t="s">
        <v>20</v>
      </c>
      <c r="F7248" t="str">
        <f>"43613-5128"</f>
        <v>43613-5128</v>
      </c>
      <c r="G7248" t="str">
        <f t="shared" ref="G7248:G7255" si="264">"753658"</f>
        <v>753658</v>
      </c>
      <c r="H7248" s="2">
        <f>10</f>
        <v>10</v>
      </c>
      <c r="I7248" t="s">
        <v>27</v>
      </c>
      <c r="J7248" t="s">
        <v>39</v>
      </c>
      <c r="K7248" t="str">
        <f>"129752"</f>
        <v>129752</v>
      </c>
    </row>
    <row r="7249" spans="1:11" x14ac:dyDescent="0.25">
      <c r="A7249">
        <v>2025</v>
      </c>
      <c r="B7249" t="s">
        <v>8501</v>
      </c>
      <c r="C7249" t="s">
        <v>8502</v>
      </c>
      <c r="D7249" t="s">
        <v>64</v>
      </c>
      <c r="E7249" t="s">
        <v>20</v>
      </c>
      <c r="F7249" t="str">
        <f>"43566-1470"</f>
        <v>43566-1470</v>
      </c>
      <c r="G7249" t="str">
        <f t="shared" si="264"/>
        <v>753658</v>
      </c>
      <c r="H7249" s="2">
        <f>40</f>
        <v>40</v>
      </c>
      <c r="I7249" t="s">
        <v>27</v>
      </c>
      <c r="J7249" t="s">
        <v>39</v>
      </c>
      <c r="K7249" t="str">
        <f>"125495"</f>
        <v>125495</v>
      </c>
    </row>
    <row r="7250" spans="1:11" x14ac:dyDescent="0.25">
      <c r="A7250">
        <v>2025</v>
      </c>
      <c r="B7250" t="s">
        <v>8503</v>
      </c>
      <c r="C7250" t="s">
        <v>8504</v>
      </c>
      <c r="D7250" t="s">
        <v>19</v>
      </c>
      <c r="E7250" t="s">
        <v>20</v>
      </c>
      <c r="F7250" t="str">
        <f>"43613-2703"</f>
        <v>43613-2703</v>
      </c>
      <c r="G7250" t="str">
        <f t="shared" si="264"/>
        <v>753658</v>
      </c>
      <c r="H7250" s="2">
        <f>20</f>
        <v>20</v>
      </c>
      <c r="I7250" t="s">
        <v>27</v>
      </c>
      <c r="J7250" t="s">
        <v>39</v>
      </c>
      <c r="K7250" t="str">
        <f>"128101"</f>
        <v>128101</v>
      </c>
    </row>
    <row r="7251" spans="1:11" x14ac:dyDescent="0.25">
      <c r="A7251">
        <v>2025</v>
      </c>
      <c r="B7251" t="s">
        <v>8507</v>
      </c>
      <c r="C7251" t="s">
        <v>8508</v>
      </c>
      <c r="D7251" t="s">
        <v>19</v>
      </c>
      <c r="E7251" t="s">
        <v>20</v>
      </c>
      <c r="F7251" t="str">
        <f>"43613-2576"</f>
        <v>43613-2576</v>
      </c>
      <c r="G7251" t="str">
        <f t="shared" si="264"/>
        <v>753658</v>
      </c>
      <c r="H7251" s="2">
        <f>10</f>
        <v>10</v>
      </c>
      <c r="I7251" t="s">
        <v>27</v>
      </c>
      <c r="J7251" t="s">
        <v>39</v>
      </c>
      <c r="K7251" t="str">
        <f>"128256"</f>
        <v>128256</v>
      </c>
    </row>
    <row r="7252" spans="1:11" x14ac:dyDescent="0.25">
      <c r="A7252">
        <v>2025</v>
      </c>
      <c r="B7252" t="s">
        <v>8509</v>
      </c>
      <c r="C7252" t="s">
        <v>8510</v>
      </c>
      <c r="D7252" t="s">
        <v>58</v>
      </c>
      <c r="E7252" t="s">
        <v>20</v>
      </c>
      <c r="F7252" t="str">
        <f>"43616-4164"</f>
        <v>43616-4164</v>
      </c>
      <c r="G7252" t="str">
        <f t="shared" si="264"/>
        <v>753658</v>
      </c>
      <c r="H7252" s="2">
        <f>10</f>
        <v>10</v>
      </c>
      <c r="I7252" t="s">
        <v>27</v>
      </c>
      <c r="J7252" t="s">
        <v>39</v>
      </c>
      <c r="K7252" t="str">
        <f>"128362"</f>
        <v>128362</v>
      </c>
    </row>
    <row r="7253" spans="1:11" x14ac:dyDescent="0.25">
      <c r="A7253">
        <v>2025</v>
      </c>
      <c r="B7253" t="s">
        <v>8511</v>
      </c>
      <c r="C7253" t="s">
        <v>8512</v>
      </c>
      <c r="D7253" t="s">
        <v>19</v>
      </c>
      <c r="E7253" t="s">
        <v>20</v>
      </c>
      <c r="F7253" t="str">
        <f>"43605-3656"</f>
        <v>43605-3656</v>
      </c>
      <c r="G7253" t="str">
        <f t="shared" si="264"/>
        <v>753658</v>
      </c>
      <c r="H7253" s="2">
        <f>40</f>
        <v>40</v>
      </c>
      <c r="I7253" t="s">
        <v>27</v>
      </c>
      <c r="J7253" t="s">
        <v>39</v>
      </c>
      <c r="K7253" t="str">
        <f>"128160"</f>
        <v>128160</v>
      </c>
    </row>
    <row r="7254" spans="1:11" x14ac:dyDescent="0.25">
      <c r="A7254">
        <v>2025</v>
      </c>
      <c r="B7254" t="s">
        <v>8527</v>
      </c>
      <c r="C7254" t="s">
        <v>8528</v>
      </c>
      <c r="D7254" t="s">
        <v>19</v>
      </c>
      <c r="E7254" t="s">
        <v>20</v>
      </c>
      <c r="F7254" t="str">
        <f>"43620-1904"</f>
        <v>43620-1904</v>
      </c>
      <c r="G7254" t="str">
        <f t="shared" si="264"/>
        <v>753658</v>
      </c>
      <c r="H7254" s="2">
        <f>20</f>
        <v>20</v>
      </c>
      <c r="I7254" t="s">
        <v>27</v>
      </c>
      <c r="J7254" t="s">
        <v>39</v>
      </c>
      <c r="K7254" t="str">
        <f>"131008"</f>
        <v>131008</v>
      </c>
    </row>
    <row r="7255" spans="1:11" x14ac:dyDescent="0.25">
      <c r="A7255">
        <v>2025</v>
      </c>
      <c r="B7255" t="s">
        <v>8529</v>
      </c>
      <c r="C7255" t="s">
        <v>8530</v>
      </c>
      <c r="D7255" t="s">
        <v>125</v>
      </c>
      <c r="E7255" t="s">
        <v>20</v>
      </c>
      <c r="F7255" t="str">
        <f>"43537-3234"</f>
        <v>43537-3234</v>
      </c>
      <c r="G7255" t="str">
        <f t="shared" si="264"/>
        <v>753658</v>
      </c>
      <c r="H7255" s="2">
        <f>10</f>
        <v>10</v>
      </c>
      <c r="I7255" t="s">
        <v>27</v>
      </c>
      <c r="J7255" t="s">
        <v>39</v>
      </c>
      <c r="K7255" t="str">
        <f>"131685"</f>
        <v>131685</v>
      </c>
    </row>
    <row r="7256" spans="1:11" x14ac:dyDescent="0.25">
      <c r="A7256">
        <v>2025</v>
      </c>
      <c r="B7256" t="s">
        <v>8531</v>
      </c>
      <c r="C7256" t="s">
        <v>1139</v>
      </c>
      <c r="D7256" t="s">
        <v>380</v>
      </c>
      <c r="E7256" t="s">
        <v>20</v>
      </c>
      <c r="F7256" t="str">
        <f>"44406"</f>
        <v>44406</v>
      </c>
      <c r="G7256" t="str">
        <f>"759796"</f>
        <v>759796</v>
      </c>
      <c r="H7256" s="2">
        <f>20</f>
        <v>20</v>
      </c>
      <c r="I7256" t="s">
        <v>27</v>
      </c>
      <c r="J7256" t="s">
        <v>188</v>
      </c>
      <c r="K7256" t="str">
        <f>"45072"</f>
        <v>45072</v>
      </c>
    </row>
    <row r="7257" spans="1:11" x14ac:dyDescent="0.25">
      <c r="A7257">
        <v>2025</v>
      </c>
      <c r="B7257" t="s">
        <v>8560</v>
      </c>
      <c r="C7257" t="s">
        <v>8561</v>
      </c>
      <c r="D7257" t="s">
        <v>19</v>
      </c>
      <c r="E7257" t="s">
        <v>20</v>
      </c>
      <c r="F7257" t="str">
        <f>"43606"</f>
        <v>43606</v>
      </c>
      <c r="G7257" t="str">
        <f>"753658"</f>
        <v>753658</v>
      </c>
      <c r="H7257" s="2">
        <f>10</f>
        <v>10</v>
      </c>
      <c r="I7257" t="s">
        <v>27</v>
      </c>
      <c r="J7257" t="s">
        <v>39</v>
      </c>
      <c r="K7257" t="str">
        <f>"126166"</f>
        <v>126166</v>
      </c>
    </row>
    <row r="7258" spans="1:11" x14ac:dyDescent="0.25">
      <c r="A7258">
        <v>2025</v>
      </c>
      <c r="B7258" t="s">
        <v>8562</v>
      </c>
      <c r="C7258" t="s">
        <v>8563</v>
      </c>
      <c r="D7258" t="s">
        <v>19</v>
      </c>
      <c r="E7258" t="s">
        <v>20</v>
      </c>
      <c r="F7258" t="str">
        <f>"43611-1860"</f>
        <v>43611-1860</v>
      </c>
      <c r="G7258" t="str">
        <f>"753658"</f>
        <v>753658</v>
      </c>
      <c r="H7258" s="2">
        <f>20</f>
        <v>20</v>
      </c>
      <c r="I7258" t="s">
        <v>27</v>
      </c>
      <c r="J7258" t="s">
        <v>39</v>
      </c>
      <c r="K7258" t="str">
        <f>"128673"</f>
        <v>128673</v>
      </c>
    </row>
    <row r="7259" spans="1:11" x14ac:dyDescent="0.25">
      <c r="A7259">
        <v>2025</v>
      </c>
      <c r="B7259" t="s">
        <v>8582</v>
      </c>
      <c r="C7259" t="s">
        <v>8583</v>
      </c>
      <c r="D7259" t="s">
        <v>19</v>
      </c>
      <c r="E7259" t="s">
        <v>20</v>
      </c>
      <c r="F7259" t="str">
        <f>"43613"</f>
        <v>43613</v>
      </c>
      <c r="G7259" t="str">
        <f>"751639"</f>
        <v>751639</v>
      </c>
      <c r="H7259" s="2">
        <f>6.1</f>
        <v>6.1</v>
      </c>
      <c r="I7259" t="s">
        <v>27</v>
      </c>
      <c r="J7259" t="s">
        <v>96</v>
      </c>
      <c r="K7259" t="str">
        <f>"334837"</f>
        <v>334837</v>
      </c>
    </row>
    <row r="7260" spans="1:11" x14ac:dyDescent="0.25">
      <c r="A7260">
        <v>2025</v>
      </c>
      <c r="B7260" t="s">
        <v>8584</v>
      </c>
      <c r="C7260" t="s">
        <v>8585</v>
      </c>
      <c r="D7260" t="s">
        <v>111</v>
      </c>
      <c r="E7260" t="s">
        <v>20</v>
      </c>
      <c r="F7260" t="str">
        <f>"43215"</f>
        <v>43215</v>
      </c>
      <c r="G7260" t="str">
        <f>"759796"</f>
        <v>759796</v>
      </c>
      <c r="H7260" s="2">
        <f>200</f>
        <v>200</v>
      </c>
      <c r="I7260" t="s">
        <v>27</v>
      </c>
      <c r="J7260" t="s">
        <v>188</v>
      </c>
      <c r="K7260" t="str">
        <f>"45875"</f>
        <v>45875</v>
      </c>
    </row>
    <row r="7261" spans="1:11" x14ac:dyDescent="0.25">
      <c r="A7261">
        <v>2025</v>
      </c>
      <c r="B7261" t="s">
        <v>8590</v>
      </c>
      <c r="C7261" t="s">
        <v>8591</v>
      </c>
      <c r="D7261" t="s">
        <v>19</v>
      </c>
      <c r="E7261" t="s">
        <v>20</v>
      </c>
      <c r="F7261" t="str">
        <f>"43606-2464"</f>
        <v>43606-2464</v>
      </c>
      <c r="G7261" t="str">
        <f>"753658"</f>
        <v>753658</v>
      </c>
      <c r="H7261" s="2">
        <f>40</f>
        <v>40</v>
      </c>
      <c r="I7261" t="s">
        <v>27</v>
      </c>
      <c r="J7261" t="s">
        <v>39</v>
      </c>
      <c r="K7261" t="str">
        <f>"125938"</f>
        <v>125938</v>
      </c>
    </row>
    <row r="7262" spans="1:11" x14ac:dyDescent="0.25">
      <c r="A7262">
        <v>2025</v>
      </c>
      <c r="B7262" t="s">
        <v>8600</v>
      </c>
      <c r="C7262" t="s">
        <v>8601</v>
      </c>
      <c r="D7262" t="s">
        <v>19</v>
      </c>
      <c r="E7262" t="s">
        <v>20</v>
      </c>
      <c r="F7262" t="str">
        <f>"43615-3333"</f>
        <v>43615-3333</v>
      </c>
      <c r="G7262" t="str">
        <f>"753658"</f>
        <v>753658</v>
      </c>
      <c r="H7262" s="2">
        <f>20</f>
        <v>20</v>
      </c>
      <c r="I7262" t="s">
        <v>27</v>
      </c>
      <c r="J7262" t="s">
        <v>39</v>
      </c>
      <c r="K7262" t="str">
        <f>"130875"</f>
        <v>130875</v>
      </c>
    </row>
    <row r="7263" spans="1:11" x14ac:dyDescent="0.25">
      <c r="A7263">
        <v>2025</v>
      </c>
      <c r="B7263" t="s">
        <v>8610</v>
      </c>
      <c r="C7263" t="s">
        <v>8609</v>
      </c>
      <c r="D7263" t="s">
        <v>19</v>
      </c>
      <c r="E7263" t="s">
        <v>20</v>
      </c>
      <c r="F7263" t="str">
        <f>"43617-2240"</f>
        <v>43617-2240</v>
      </c>
      <c r="G7263" t="str">
        <f>"753658"</f>
        <v>753658</v>
      </c>
      <c r="H7263" s="2">
        <f>10</f>
        <v>10</v>
      </c>
      <c r="I7263" t="s">
        <v>27</v>
      </c>
      <c r="J7263" t="s">
        <v>39</v>
      </c>
      <c r="K7263" t="str">
        <f>"126481"</f>
        <v>126481</v>
      </c>
    </row>
    <row r="7264" spans="1:11" x14ac:dyDescent="0.25">
      <c r="A7264">
        <v>2025</v>
      </c>
      <c r="B7264" t="s">
        <v>8615</v>
      </c>
      <c r="C7264" t="s">
        <v>8616</v>
      </c>
      <c r="D7264" t="s">
        <v>58</v>
      </c>
      <c r="E7264" t="s">
        <v>20</v>
      </c>
      <c r="F7264" t="str">
        <f>"43616-2452"</f>
        <v>43616-2452</v>
      </c>
      <c r="G7264" t="str">
        <f>"753658"</f>
        <v>753658</v>
      </c>
      <c r="H7264" s="2">
        <f>40</f>
        <v>40</v>
      </c>
      <c r="I7264" t="s">
        <v>27</v>
      </c>
      <c r="J7264" t="s">
        <v>39</v>
      </c>
      <c r="K7264" t="str">
        <f>"128045"</f>
        <v>128045</v>
      </c>
    </row>
    <row r="7265" spans="1:11" x14ac:dyDescent="0.25">
      <c r="A7265">
        <v>2025</v>
      </c>
      <c r="B7265" t="s">
        <v>8636</v>
      </c>
      <c r="C7265" t="s">
        <v>1734</v>
      </c>
      <c r="D7265" t="s">
        <v>19</v>
      </c>
      <c r="E7265" t="s">
        <v>20</v>
      </c>
      <c r="F7265" t="str">
        <f>"43604"</f>
        <v>43604</v>
      </c>
      <c r="G7265" t="str">
        <f>"759796"</f>
        <v>759796</v>
      </c>
      <c r="H7265" s="2">
        <f>20</f>
        <v>20</v>
      </c>
      <c r="I7265" t="s">
        <v>27</v>
      </c>
      <c r="J7265" t="s">
        <v>188</v>
      </c>
      <c r="K7265" t="str">
        <f>"45428"</f>
        <v>45428</v>
      </c>
    </row>
    <row r="7266" spans="1:11" x14ac:dyDescent="0.25">
      <c r="A7266">
        <v>2025</v>
      </c>
      <c r="B7266" t="s">
        <v>8639</v>
      </c>
      <c r="C7266" t="s">
        <v>8640</v>
      </c>
      <c r="D7266" t="s">
        <v>19</v>
      </c>
      <c r="E7266" t="s">
        <v>20</v>
      </c>
      <c r="F7266" t="str">
        <f>"43605-1754"</f>
        <v>43605-1754</v>
      </c>
      <c r="G7266" t="str">
        <f>"753658"</f>
        <v>753658</v>
      </c>
      <c r="H7266" s="2">
        <f>20</f>
        <v>20</v>
      </c>
      <c r="I7266" t="s">
        <v>27</v>
      </c>
      <c r="J7266" t="s">
        <v>39</v>
      </c>
      <c r="K7266" t="str">
        <f>"129067"</f>
        <v>129067</v>
      </c>
    </row>
    <row r="7267" spans="1:11" x14ac:dyDescent="0.25">
      <c r="A7267">
        <v>2025</v>
      </c>
      <c r="B7267" t="s">
        <v>8656</v>
      </c>
      <c r="C7267" t="s">
        <v>8657</v>
      </c>
      <c r="D7267" t="s">
        <v>19</v>
      </c>
      <c r="E7267" t="s">
        <v>20</v>
      </c>
      <c r="F7267" t="str">
        <f>"43604"</f>
        <v>43604</v>
      </c>
      <c r="G7267" t="str">
        <f>"759796"</f>
        <v>759796</v>
      </c>
      <c r="H7267" s="2">
        <f>5.94</f>
        <v>5.94</v>
      </c>
      <c r="I7267" t="s">
        <v>27</v>
      </c>
      <c r="J7267" t="s">
        <v>188</v>
      </c>
      <c r="K7267" t="str">
        <f>"44762"</f>
        <v>44762</v>
      </c>
    </row>
    <row r="7268" spans="1:11" x14ac:dyDescent="0.25">
      <c r="A7268">
        <v>2025</v>
      </c>
      <c r="B7268" t="s">
        <v>8671</v>
      </c>
      <c r="C7268" t="s">
        <v>8672</v>
      </c>
      <c r="D7268" t="s">
        <v>19</v>
      </c>
      <c r="E7268" t="s">
        <v>20</v>
      </c>
      <c r="F7268" t="str">
        <f>"43606"</f>
        <v>43606</v>
      </c>
      <c r="G7268" t="str">
        <f>"Je04082025"</f>
        <v>Je04082025</v>
      </c>
      <c r="H7268" s="2">
        <f>76.68</f>
        <v>76.680000000000007</v>
      </c>
      <c r="I7268" t="s">
        <v>15</v>
      </c>
      <c r="J7268" t="s">
        <v>24</v>
      </c>
      <c r="K7268" t="str">
        <f>"60145433"</f>
        <v>60145433</v>
      </c>
    </row>
    <row r="7269" spans="1:11" x14ac:dyDescent="0.25">
      <c r="A7269">
        <v>2025</v>
      </c>
      <c r="B7269" t="s">
        <v>8699</v>
      </c>
      <c r="C7269" t="s">
        <v>8700</v>
      </c>
      <c r="D7269" t="s">
        <v>622</v>
      </c>
      <c r="E7269" t="s">
        <v>623</v>
      </c>
      <c r="F7269" t="str">
        <f>"20005-3510"</f>
        <v>20005-3510</v>
      </c>
      <c r="G7269" t="str">
        <f>"Je04082025"</f>
        <v>Je04082025</v>
      </c>
      <c r="H7269" s="2">
        <f>225</f>
        <v>225</v>
      </c>
      <c r="I7269" t="s">
        <v>15</v>
      </c>
      <c r="J7269" t="s">
        <v>24</v>
      </c>
      <c r="K7269" t="str">
        <f>"60142864"</f>
        <v>60142864</v>
      </c>
    </row>
    <row r="7270" spans="1:11" x14ac:dyDescent="0.25">
      <c r="A7270">
        <v>2025</v>
      </c>
      <c r="B7270" t="s">
        <v>8725</v>
      </c>
      <c r="C7270" t="s">
        <v>8726</v>
      </c>
      <c r="D7270" t="s">
        <v>125</v>
      </c>
      <c r="E7270" t="s">
        <v>20</v>
      </c>
      <c r="F7270" t="str">
        <f>"43537-9390"</f>
        <v>43537-9390</v>
      </c>
      <c r="G7270" t="str">
        <f>"753658"</f>
        <v>753658</v>
      </c>
      <c r="H7270" s="2">
        <f>20</f>
        <v>20</v>
      </c>
      <c r="I7270" t="s">
        <v>27</v>
      </c>
      <c r="J7270" t="s">
        <v>39</v>
      </c>
      <c r="K7270" t="str">
        <f>"125305"</f>
        <v>125305</v>
      </c>
    </row>
    <row r="7271" spans="1:11" x14ac:dyDescent="0.25">
      <c r="A7271">
        <v>2025</v>
      </c>
      <c r="B7271" t="s">
        <v>8727</v>
      </c>
      <c r="C7271" t="s">
        <v>8728</v>
      </c>
      <c r="D7271" t="s">
        <v>19</v>
      </c>
      <c r="E7271" t="s">
        <v>20</v>
      </c>
      <c r="F7271" t="str">
        <f>"43617-1105"</f>
        <v>43617-1105</v>
      </c>
      <c r="G7271" t="str">
        <f>"753658"</f>
        <v>753658</v>
      </c>
      <c r="H7271" s="2">
        <f>10</f>
        <v>10</v>
      </c>
      <c r="I7271" t="s">
        <v>27</v>
      </c>
      <c r="J7271" t="s">
        <v>39</v>
      </c>
      <c r="K7271" t="str">
        <f>"126826"</f>
        <v>126826</v>
      </c>
    </row>
    <row r="7272" spans="1:11" x14ac:dyDescent="0.25">
      <c r="A7272">
        <v>2025</v>
      </c>
      <c r="B7272" t="s">
        <v>8734</v>
      </c>
      <c r="C7272" t="s">
        <v>8735</v>
      </c>
      <c r="D7272" t="s">
        <v>125</v>
      </c>
      <c r="E7272" t="s">
        <v>20</v>
      </c>
      <c r="F7272" t="str">
        <f>"43537-2411"</f>
        <v>43537-2411</v>
      </c>
      <c r="G7272" t="str">
        <f>"753658"</f>
        <v>753658</v>
      </c>
      <c r="H7272" s="2">
        <f>20</f>
        <v>20</v>
      </c>
      <c r="I7272" t="s">
        <v>27</v>
      </c>
      <c r="J7272" t="s">
        <v>39</v>
      </c>
      <c r="K7272" t="str">
        <f>"131374"</f>
        <v>131374</v>
      </c>
    </row>
    <row r="7273" spans="1:11" x14ac:dyDescent="0.25">
      <c r="A7273">
        <v>2025</v>
      </c>
      <c r="B7273" t="s">
        <v>8742</v>
      </c>
      <c r="C7273" t="s">
        <v>8743</v>
      </c>
      <c r="D7273" t="s">
        <v>105</v>
      </c>
      <c r="E7273" t="s">
        <v>20</v>
      </c>
      <c r="F7273" t="str">
        <f>"43528-8669"</f>
        <v>43528-8669</v>
      </c>
      <c r="G7273" t="str">
        <f>"753658"</f>
        <v>753658</v>
      </c>
      <c r="H7273" s="2">
        <f>10</f>
        <v>10</v>
      </c>
      <c r="I7273" t="s">
        <v>27</v>
      </c>
      <c r="J7273" t="s">
        <v>39</v>
      </c>
      <c r="K7273" t="str">
        <f>"128390"</f>
        <v>128390</v>
      </c>
    </row>
    <row r="7274" spans="1:11" x14ac:dyDescent="0.25">
      <c r="A7274">
        <v>2025</v>
      </c>
      <c r="B7274" t="s">
        <v>8744</v>
      </c>
      <c r="C7274" t="s">
        <v>8589</v>
      </c>
      <c r="D7274" t="s">
        <v>50</v>
      </c>
      <c r="E7274" t="s">
        <v>20</v>
      </c>
      <c r="F7274" t="str">
        <f>"43560-1911"</f>
        <v>43560-1911</v>
      </c>
      <c r="G7274" t="str">
        <f>"753658"</f>
        <v>753658</v>
      </c>
      <c r="H7274" s="2">
        <f>10</f>
        <v>10</v>
      </c>
      <c r="I7274" t="s">
        <v>27</v>
      </c>
      <c r="J7274" t="s">
        <v>39</v>
      </c>
      <c r="K7274" t="str">
        <f>"129493"</f>
        <v>129493</v>
      </c>
    </row>
    <row r="7275" spans="1:11" x14ac:dyDescent="0.25">
      <c r="A7275">
        <v>2025</v>
      </c>
      <c r="B7275" t="s">
        <v>8752</v>
      </c>
      <c r="C7275" t="s">
        <v>1004</v>
      </c>
      <c r="D7275" t="s">
        <v>1005</v>
      </c>
      <c r="E7275" t="s">
        <v>20</v>
      </c>
      <c r="F7275" t="str">
        <f>"44139"</f>
        <v>44139</v>
      </c>
      <c r="G7275" t="str">
        <f>"759796"</f>
        <v>759796</v>
      </c>
      <c r="H7275" s="2">
        <f>438.45</f>
        <v>438.45</v>
      </c>
      <c r="I7275" t="s">
        <v>27</v>
      </c>
      <c r="J7275" t="s">
        <v>188</v>
      </c>
      <c r="K7275" t="str">
        <f>"46686"</f>
        <v>46686</v>
      </c>
    </row>
    <row r="7276" spans="1:11" x14ac:dyDescent="0.25">
      <c r="A7276">
        <v>2025</v>
      </c>
      <c r="B7276" t="s">
        <v>8754</v>
      </c>
      <c r="C7276" t="s">
        <v>1004</v>
      </c>
      <c r="D7276" t="s">
        <v>1005</v>
      </c>
      <c r="E7276" t="s">
        <v>20</v>
      </c>
      <c r="F7276" t="str">
        <f>"44139"</f>
        <v>44139</v>
      </c>
      <c r="G7276" t="str">
        <f>"759796"</f>
        <v>759796</v>
      </c>
      <c r="H7276" s="2">
        <f>550</f>
        <v>550</v>
      </c>
      <c r="I7276" t="s">
        <v>27</v>
      </c>
      <c r="J7276" t="s">
        <v>188</v>
      </c>
      <c r="K7276" t="str">
        <f>"45895"</f>
        <v>45895</v>
      </c>
    </row>
    <row r="7277" spans="1:11" x14ac:dyDescent="0.25">
      <c r="A7277">
        <v>2025</v>
      </c>
      <c r="B7277" t="s">
        <v>8769</v>
      </c>
      <c r="C7277" t="s">
        <v>8770</v>
      </c>
      <c r="D7277" t="s">
        <v>125</v>
      </c>
      <c r="E7277" t="s">
        <v>20</v>
      </c>
      <c r="F7277" t="str">
        <f>"43537"</f>
        <v>43537</v>
      </c>
      <c r="G7277" t="str">
        <f>"Je12092025"</f>
        <v>Je12092025</v>
      </c>
      <c r="H7277" s="2">
        <f>213</f>
        <v>213</v>
      </c>
      <c r="I7277" t="s">
        <v>15</v>
      </c>
      <c r="J7277" t="s">
        <v>909</v>
      </c>
      <c r="K7277" t="str">
        <f>"60170566"</f>
        <v>60170566</v>
      </c>
    </row>
    <row r="7278" spans="1:11" x14ac:dyDescent="0.25">
      <c r="A7278">
        <v>2025</v>
      </c>
      <c r="B7278" t="s">
        <v>8779</v>
      </c>
      <c r="C7278" t="s">
        <v>8780</v>
      </c>
      <c r="D7278" t="s">
        <v>125</v>
      </c>
      <c r="E7278" t="s">
        <v>20</v>
      </c>
      <c r="F7278" t="str">
        <f>"43537"</f>
        <v>43537</v>
      </c>
      <c r="G7278" t="str">
        <f>"759796"</f>
        <v>759796</v>
      </c>
      <c r="H7278" s="2">
        <f>20</f>
        <v>20</v>
      </c>
      <c r="I7278" t="s">
        <v>27</v>
      </c>
      <c r="J7278" t="s">
        <v>188</v>
      </c>
      <c r="K7278" t="str">
        <f>"45865"</f>
        <v>45865</v>
      </c>
    </row>
    <row r="7279" spans="1:11" x14ac:dyDescent="0.25">
      <c r="A7279">
        <v>2025</v>
      </c>
      <c r="B7279" t="s">
        <v>8781</v>
      </c>
      <c r="C7279" t="s">
        <v>8782</v>
      </c>
      <c r="D7279" t="s">
        <v>50</v>
      </c>
      <c r="E7279" t="s">
        <v>20</v>
      </c>
      <c r="F7279" t="str">
        <f>"43560-3038"</f>
        <v>43560-3038</v>
      </c>
      <c r="G7279" t="str">
        <f>"753658"</f>
        <v>753658</v>
      </c>
      <c r="H7279" s="2">
        <f>20</f>
        <v>20</v>
      </c>
      <c r="I7279" t="s">
        <v>27</v>
      </c>
      <c r="J7279" t="s">
        <v>39</v>
      </c>
      <c r="K7279" t="str">
        <f>"125460"</f>
        <v>125460</v>
      </c>
    </row>
    <row r="7280" spans="1:11" x14ac:dyDescent="0.25">
      <c r="A7280">
        <v>2025</v>
      </c>
      <c r="B7280" t="s">
        <v>8783</v>
      </c>
      <c r="C7280" t="s">
        <v>1004</v>
      </c>
      <c r="D7280" t="s">
        <v>1005</v>
      </c>
      <c r="E7280" t="s">
        <v>20</v>
      </c>
      <c r="F7280" t="str">
        <f t="shared" ref="F7280:F7285" si="265">"44139"</f>
        <v>44139</v>
      </c>
      <c r="G7280" t="str">
        <f t="shared" ref="G7280:G7285" si="266">"759796"</f>
        <v>759796</v>
      </c>
      <c r="H7280" s="2">
        <f>510.55</f>
        <v>510.55</v>
      </c>
      <c r="I7280" t="s">
        <v>27</v>
      </c>
      <c r="J7280" t="s">
        <v>188</v>
      </c>
      <c r="K7280" t="str">
        <f>"45017"</f>
        <v>45017</v>
      </c>
    </row>
    <row r="7281" spans="1:11" x14ac:dyDescent="0.25">
      <c r="A7281">
        <v>2025</v>
      </c>
      <c r="B7281" t="s">
        <v>8784</v>
      </c>
      <c r="C7281" t="s">
        <v>1004</v>
      </c>
      <c r="D7281" t="s">
        <v>1005</v>
      </c>
      <c r="E7281" t="s">
        <v>20</v>
      </c>
      <c r="F7281" t="str">
        <f t="shared" si="265"/>
        <v>44139</v>
      </c>
      <c r="G7281" t="str">
        <f t="shared" si="266"/>
        <v>759796</v>
      </c>
      <c r="H7281" s="2">
        <f>239</f>
        <v>239</v>
      </c>
      <c r="I7281" t="s">
        <v>27</v>
      </c>
      <c r="J7281" t="s">
        <v>188</v>
      </c>
      <c r="K7281" t="str">
        <f>"45735"</f>
        <v>45735</v>
      </c>
    </row>
    <row r="7282" spans="1:11" x14ac:dyDescent="0.25">
      <c r="A7282">
        <v>2025</v>
      </c>
      <c r="B7282" t="s">
        <v>8784</v>
      </c>
      <c r="C7282" t="s">
        <v>1004</v>
      </c>
      <c r="D7282" t="s">
        <v>1005</v>
      </c>
      <c r="E7282" t="s">
        <v>20</v>
      </c>
      <c r="F7282" t="str">
        <f t="shared" si="265"/>
        <v>44139</v>
      </c>
      <c r="G7282" t="str">
        <f t="shared" si="266"/>
        <v>759796</v>
      </c>
      <c r="H7282" s="2">
        <f>212.85</f>
        <v>212.85</v>
      </c>
      <c r="I7282" t="s">
        <v>27</v>
      </c>
      <c r="J7282" t="s">
        <v>188</v>
      </c>
      <c r="K7282" t="str">
        <f>"45560"</f>
        <v>45560</v>
      </c>
    </row>
    <row r="7283" spans="1:11" x14ac:dyDescent="0.25">
      <c r="A7283">
        <v>2025</v>
      </c>
      <c r="B7283" t="s">
        <v>8787</v>
      </c>
      <c r="C7283" t="s">
        <v>1004</v>
      </c>
      <c r="D7283" t="s">
        <v>1005</v>
      </c>
      <c r="E7283" t="s">
        <v>20</v>
      </c>
      <c r="F7283" t="str">
        <f t="shared" si="265"/>
        <v>44139</v>
      </c>
      <c r="G7283" t="str">
        <f t="shared" si="266"/>
        <v>759796</v>
      </c>
      <c r="H7283" s="2">
        <f>207.75</f>
        <v>207.75</v>
      </c>
      <c r="I7283" t="s">
        <v>27</v>
      </c>
      <c r="J7283" t="s">
        <v>188</v>
      </c>
      <c r="K7283" t="str">
        <f>"46560"</f>
        <v>46560</v>
      </c>
    </row>
    <row r="7284" spans="1:11" x14ac:dyDescent="0.25">
      <c r="A7284">
        <v>2025</v>
      </c>
      <c r="B7284" t="s">
        <v>8787</v>
      </c>
      <c r="C7284" t="s">
        <v>1004</v>
      </c>
      <c r="D7284" t="s">
        <v>1005</v>
      </c>
      <c r="E7284" t="s">
        <v>20</v>
      </c>
      <c r="F7284" t="str">
        <f t="shared" si="265"/>
        <v>44139</v>
      </c>
      <c r="G7284" t="str">
        <f t="shared" si="266"/>
        <v>759796</v>
      </c>
      <c r="H7284" s="2">
        <f>239</f>
        <v>239</v>
      </c>
      <c r="I7284" t="s">
        <v>27</v>
      </c>
      <c r="J7284" t="s">
        <v>188</v>
      </c>
      <c r="K7284" t="str">
        <f>"45120"</f>
        <v>45120</v>
      </c>
    </row>
    <row r="7285" spans="1:11" x14ac:dyDescent="0.25">
      <c r="A7285">
        <v>2025</v>
      </c>
      <c r="B7285" t="s">
        <v>8787</v>
      </c>
      <c r="C7285" t="s">
        <v>1004</v>
      </c>
      <c r="D7285" t="s">
        <v>1005</v>
      </c>
      <c r="E7285" t="s">
        <v>20</v>
      </c>
      <c r="F7285" t="str">
        <f t="shared" si="265"/>
        <v>44139</v>
      </c>
      <c r="G7285" t="str">
        <f t="shared" si="266"/>
        <v>759796</v>
      </c>
      <c r="H7285" s="2">
        <f>221</f>
        <v>221</v>
      </c>
      <c r="I7285" t="s">
        <v>27</v>
      </c>
      <c r="J7285" t="s">
        <v>188</v>
      </c>
      <c r="K7285" t="str">
        <f>"45265"</f>
        <v>45265</v>
      </c>
    </row>
    <row r="7286" spans="1:11" x14ac:dyDescent="0.25">
      <c r="A7286">
        <v>2025</v>
      </c>
      <c r="B7286" t="s">
        <v>8794</v>
      </c>
      <c r="C7286" t="s">
        <v>5941</v>
      </c>
      <c r="D7286" t="s">
        <v>19</v>
      </c>
      <c r="E7286" t="s">
        <v>20</v>
      </c>
      <c r="F7286" t="str">
        <f>"43612-3145"</f>
        <v>43612-3145</v>
      </c>
      <c r="G7286" t="str">
        <f>"753658"</f>
        <v>753658</v>
      </c>
      <c r="H7286" s="2">
        <f>20</f>
        <v>20</v>
      </c>
      <c r="I7286" t="s">
        <v>27</v>
      </c>
      <c r="J7286" t="s">
        <v>39</v>
      </c>
      <c r="K7286" t="str">
        <f>"129926"</f>
        <v>129926</v>
      </c>
    </row>
    <row r="7287" spans="1:11" x14ac:dyDescent="0.25">
      <c r="A7287">
        <v>2025</v>
      </c>
      <c r="B7287" t="s">
        <v>8807</v>
      </c>
      <c r="C7287" t="s">
        <v>8808</v>
      </c>
      <c r="D7287" t="s">
        <v>50</v>
      </c>
      <c r="E7287" t="s">
        <v>20</v>
      </c>
      <c r="F7287" t="str">
        <f>"43560-8513"</f>
        <v>43560-8513</v>
      </c>
      <c r="G7287" t="str">
        <f>"753658"</f>
        <v>753658</v>
      </c>
      <c r="H7287" s="2">
        <f>20</f>
        <v>20</v>
      </c>
      <c r="I7287" t="s">
        <v>27</v>
      </c>
      <c r="J7287" t="s">
        <v>39</v>
      </c>
      <c r="K7287" t="str">
        <f>"126629"</f>
        <v>126629</v>
      </c>
    </row>
    <row r="7288" spans="1:11" x14ac:dyDescent="0.25">
      <c r="A7288">
        <v>2025</v>
      </c>
      <c r="B7288" t="s">
        <v>8821</v>
      </c>
      <c r="C7288" t="s">
        <v>8822</v>
      </c>
      <c r="D7288" t="s">
        <v>19</v>
      </c>
      <c r="E7288" t="s">
        <v>20</v>
      </c>
      <c r="F7288" t="str">
        <f>"43623"</f>
        <v>43623</v>
      </c>
      <c r="G7288" t="str">
        <f>"753658"</f>
        <v>753658</v>
      </c>
      <c r="H7288" s="2">
        <f>80</f>
        <v>80</v>
      </c>
      <c r="I7288" t="s">
        <v>27</v>
      </c>
      <c r="J7288" t="s">
        <v>39</v>
      </c>
      <c r="K7288" t="str">
        <f>"129143"</f>
        <v>129143</v>
      </c>
    </row>
    <row r="7289" spans="1:11" x14ac:dyDescent="0.25">
      <c r="A7289">
        <v>2025</v>
      </c>
      <c r="B7289" t="s">
        <v>8825</v>
      </c>
      <c r="C7289" t="s">
        <v>8826</v>
      </c>
      <c r="D7289" t="s">
        <v>19</v>
      </c>
      <c r="E7289" t="s">
        <v>20</v>
      </c>
      <c r="F7289" t="str">
        <f>"43611"</f>
        <v>43611</v>
      </c>
      <c r="G7289" t="str">
        <f>"740128"</f>
        <v>740128</v>
      </c>
      <c r="H7289" s="2">
        <f>6</f>
        <v>6</v>
      </c>
      <c r="I7289" t="s">
        <v>148</v>
      </c>
      <c r="J7289" t="s">
        <v>8827</v>
      </c>
      <c r="K7289" t="str">
        <f>"27417"</f>
        <v>27417</v>
      </c>
    </row>
    <row r="7290" spans="1:11" x14ac:dyDescent="0.25">
      <c r="A7290">
        <v>2025</v>
      </c>
      <c r="B7290" t="s">
        <v>8836</v>
      </c>
      <c r="C7290" t="s">
        <v>8837</v>
      </c>
      <c r="D7290" t="s">
        <v>19</v>
      </c>
      <c r="E7290" t="s">
        <v>20</v>
      </c>
      <c r="F7290" t="str">
        <f>"43615-6728"</f>
        <v>43615-6728</v>
      </c>
      <c r="G7290" t="str">
        <f t="shared" ref="G7290:G7298" si="267">"753658"</f>
        <v>753658</v>
      </c>
      <c r="H7290" s="2">
        <f>20</f>
        <v>20</v>
      </c>
      <c r="I7290" t="s">
        <v>27</v>
      </c>
      <c r="J7290" t="s">
        <v>39</v>
      </c>
      <c r="K7290" t="str">
        <f>"128385"</f>
        <v>128385</v>
      </c>
    </row>
    <row r="7291" spans="1:11" x14ac:dyDescent="0.25">
      <c r="A7291">
        <v>2025</v>
      </c>
      <c r="B7291" t="s">
        <v>8843</v>
      </c>
      <c r="C7291" t="s">
        <v>8844</v>
      </c>
      <c r="D7291" t="s">
        <v>19</v>
      </c>
      <c r="E7291" t="s">
        <v>20</v>
      </c>
      <c r="F7291" t="str">
        <f>"43609-2045"</f>
        <v>43609-2045</v>
      </c>
      <c r="G7291" t="str">
        <f t="shared" si="267"/>
        <v>753658</v>
      </c>
      <c r="H7291" s="2">
        <f>10</f>
        <v>10</v>
      </c>
      <c r="I7291" t="s">
        <v>27</v>
      </c>
      <c r="J7291" t="s">
        <v>39</v>
      </c>
      <c r="K7291" t="str">
        <f>"127736"</f>
        <v>127736</v>
      </c>
    </row>
    <row r="7292" spans="1:11" x14ac:dyDescent="0.25">
      <c r="A7292">
        <v>2025</v>
      </c>
      <c r="B7292" t="s">
        <v>8849</v>
      </c>
      <c r="C7292" t="s">
        <v>8850</v>
      </c>
      <c r="D7292" t="s">
        <v>105</v>
      </c>
      <c r="E7292" t="s">
        <v>20</v>
      </c>
      <c r="F7292" t="str">
        <f>"43528-9325"</f>
        <v>43528-9325</v>
      </c>
      <c r="G7292" t="str">
        <f t="shared" si="267"/>
        <v>753658</v>
      </c>
      <c r="H7292" s="2">
        <f>10</f>
        <v>10</v>
      </c>
      <c r="I7292" t="s">
        <v>27</v>
      </c>
      <c r="J7292" t="s">
        <v>39</v>
      </c>
      <c r="K7292" t="str">
        <f>"129381"</f>
        <v>129381</v>
      </c>
    </row>
    <row r="7293" spans="1:11" x14ac:dyDescent="0.25">
      <c r="A7293">
        <v>2025</v>
      </c>
      <c r="B7293" t="s">
        <v>8860</v>
      </c>
      <c r="C7293" t="s">
        <v>8861</v>
      </c>
      <c r="D7293" t="s">
        <v>19</v>
      </c>
      <c r="E7293" t="s">
        <v>20</v>
      </c>
      <c r="F7293" t="str">
        <f>"43614-5520"</f>
        <v>43614-5520</v>
      </c>
      <c r="G7293" t="str">
        <f t="shared" si="267"/>
        <v>753658</v>
      </c>
      <c r="H7293" s="2">
        <f>10</f>
        <v>10</v>
      </c>
      <c r="I7293" t="s">
        <v>27</v>
      </c>
      <c r="J7293" t="s">
        <v>39</v>
      </c>
      <c r="K7293" t="str">
        <f>"129731"</f>
        <v>129731</v>
      </c>
    </row>
    <row r="7294" spans="1:11" x14ac:dyDescent="0.25">
      <c r="A7294">
        <v>2025</v>
      </c>
      <c r="B7294" t="s">
        <v>8881</v>
      </c>
      <c r="C7294" t="s">
        <v>8882</v>
      </c>
      <c r="D7294" t="s">
        <v>19</v>
      </c>
      <c r="E7294" t="s">
        <v>20</v>
      </c>
      <c r="F7294" t="str">
        <f>"43615-6781"</f>
        <v>43615-6781</v>
      </c>
      <c r="G7294" t="str">
        <f t="shared" si="267"/>
        <v>753658</v>
      </c>
      <c r="H7294" s="2">
        <f>10</f>
        <v>10</v>
      </c>
      <c r="I7294" t="s">
        <v>27</v>
      </c>
      <c r="J7294" t="s">
        <v>39</v>
      </c>
      <c r="K7294" t="str">
        <f>"128050"</f>
        <v>128050</v>
      </c>
    </row>
    <row r="7295" spans="1:11" x14ac:dyDescent="0.25">
      <c r="A7295">
        <v>2025</v>
      </c>
      <c r="B7295" t="s">
        <v>8886</v>
      </c>
      <c r="C7295" t="s">
        <v>8887</v>
      </c>
      <c r="D7295" t="s">
        <v>125</v>
      </c>
      <c r="E7295" t="s">
        <v>20</v>
      </c>
      <c r="F7295" t="str">
        <f>"43537-9542"</f>
        <v>43537-9542</v>
      </c>
      <c r="G7295" t="str">
        <f t="shared" si="267"/>
        <v>753658</v>
      </c>
      <c r="H7295" s="2">
        <f>20</f>
        <v>20</v>
      </c>
      <c r="I7295" t="s">
        <v>27</v>
      </c>
      <c r="J7295" t="s">
        <v>39</v>
      </c>
      <c r="K7295" t="str">
        <f>"131772"</f>
        <v>131772</v>
      </c>
    </row>
    <row r="7296" spans="1:11" x14ac:dyDescent="0.25">
      <c r="A7296">
        <v>2025</v>
      </c>
      <c r="B7296" t="s">
        <v>8896</v>
      </c>
      <c r="C7296" t="s">
        <v>8897</v>
      </c>
      <c r="D7296" t="s">
        <v>105</v>
      </c>
      <c r="E7296" t="s">
        <v>20</v>
      </c>
      <c r="F7296" t="str">
        <f>"43528-9650"</f>
        <v>43528-9650</v>
      </c>
      <c r="G7296" t="str">
        <f t="shared" si="267"/>
        <v>753658</v>
      </c>
      <c r="H7296" s="2">
        <f>10</f>
        <v>10</v>
      </c>
      <c r="I7296" t="s">
        <v>27</v>
      </c>
      <c r="J7296" t="s">
        <v>39</v>
      </c>
      <c r="K7296" t="str">
        <f>"128448"</f>
        <v>128448</v>
      </c>
    </row>
    <row r="7297" spans="1:11" x14ac:dyDescent="0.25">
      <c r="A7297">
        <v>2025</v>
      </c>
      <c r="B7297" t="s">
        <v>8903</v>
      </c>
      <c r="C7297" t="s">
        <v>8904</v>
      </c>
      <c r="D7297" t="s">
        <v>19</v>
      </c>
      <c r="E7297" t="s">
        <v>20</v>
      </c>
      <c r="F7297" t="str">
        <f>"43609-3135"</f>
        <v>43609-3135</v>
      </c>
      <c r="G7297" t="str">
        <f t="shared" si="267"/>
        <v>753658</v>
      </c>
      <c r="H7297" s="2">
        <f>10</f>
        <v>10</v>
      </c>
      <c r="I7297" t="s">
        <v>27</v>
      </c>
      <c r="J7297" t="s">
        <v>39</v>
      </c>
      <c r="K7297" t="str">
        <f>"127986"</f>
        <v>127986</v>
      </c>
    </row>
    <row r="7298" spans="1:11" x14ac:dyDescent="0.25">
      <c r="A7298">
        <v>2025</v>
      </c>
      <c r="B7298" t="s">
        <v>8912</v>
      </c>
      <c r="C7298" t="s">
        <v>8913</v>
      </c>
      <c r="D7298" t="s">
        <v>58</v>
      </c>
      <c r="E7298" t="s">
        <v>20</v>
      </c>
      <c r="F7298" t="str">
        <f>"43616-2935"</f>
        <v>43616-2935</v>
      </c>
      <c r="G7298" t="str">
        <f t="shared" si="267"/>
        <v>753658</v>
      </c>
      <c r="H7298" s="2">
        <f>40</f>
        <v>40</v>
      </c>
      <c r="I7298" t="s">
        <v>27</v>
      </c>
      <c r="J7298" t="s">
        <v>39</v>
      </c>
      <c r="K7298" t="str">
        <f>"131555"</f>
        <v>131555</v>
      </c>
    </row>
    <row r="7299" spans="1:11" x14ac:dyDescent="0.25">
      <c r="A7299">
        <v>2025</v>
      </c>
      <c r="B7299" t="s">
        <v>8914</v>
      </c>
      <c r="C7299" t="s">
        <v>8915</v>
      </c>
      <c r="D7299" t="s">
        <v>19</v>
      </c>
      <c r="E7299" t="s">
        <v>20</v>
      </c>
      <c r="F7299" t="str">
        <f>"43606"</f>
        <v>43606</v>
      </c>
      <c r="G7299" t="str">
        <f>"759796"</f>
        <v>759796</v>
      </c>
      <c r="H7299" s="2">
        <f>84.3</f>
        <v>84.3</v>
      </c>
      <c r="I7299" t="s">
        <v>27</v>
      </c>
      <c r="J7299" t="s">
        <v>188</v>
      </c>
      <c r="K7299" t="str">
        <f>"43643"</f>
        <v>43643</v>
      </c>
    </row>
    <row r="7300" spans="1:11" x14ac:dyDescent="0.25">
      <c r="A7300">
        <v>2025</v>
      </c>
      <c r="B7300" t="s">
        <v>8919</v>
      </c>
      <c r="C7300" t="s">
        <v>8920</v>
      </c>
      <c r="D7300" t="s">
        <v>58</v>
      </c>
      <c r="E7300" t="s">
        <v>20</v>
      </c>
      <c r="F7300" t="str">
        <f>"43616-1105"</f>
        <v>43616-1105</v>
      </c>
      <c r="G7300" t="str">
        <f>"753658"</f>
        <v>753658</v>
      </c>
      <c r="H7300" s="2">
        <f>30</f>
        <v>30</v>
      </c>
      <c r="I7300" t="s">
        <v>27</v>
      </c>
      <c r="J7300" t="s">
        <v>39</v>
      </c>
      <c r="K7300" t="str">
        <f>"126923"</f>
        <v>126923</v>
      </c>
    </row>
    <row r="7301" spans="1:11" x14ac:dyDescent="0.25">
      <c r="A7301">
        <v>2025</v>
      </c>
      <c r="B7301" t="s">
        <v>8925</v>
      </c>
      <c r="C7301" t="s">
        <v>8926</v>
      </c>
      <c r="D7301" t="s">
        <v>125</v>
      </c>
      <c r="E7301" t="s">
        <v>20</v>
      </c>
      <c r="F7301" t="str">
        <f>"43537-8945"</f>
        <v>43537-8945</v>
      </c>
      <c r="G7301" t="str">
        <f>"753658"</f>
        <v>753658</v>
      </c>
      <c r="H7301" s="2">
        <f>10</f>
        <v>10</v>
      </c>
      <c r="I7301" t="s">
        <v>27</v>
      </c>
      <c r="J7301" t="s">
        <v>39</v>
      </c>
      <c r="K7301" t="str">
        <f>"129632"</f>
        <v>129632</v>
      </c>
    </row>
    <row r="7302" spans="1:11" x14ac:dyDescent="0.25">
      <c r="A7302">
        <v>2025</v>
      </c>
      <c r="B7302" t="s">
        <v>8942</v>
      </c>
      <c r="C7302" t="s">
        <v>8943</v>
      </c>
      <c r="D7302" t="s">
        <v>19</v>
      </c>
      <c r="E7302" t="s">
        <v>20</v>
      </c>
      <c r="F7302" t="str">
        <f>"43607-1743"</f>
        <v>43607-1743</v>
      </c>
      <c r="G7302" t="str">
        <f>"753658"</f>
        <v>753658</v>
      </c>
      <c r="H7302" s="2">
        <f>60</f>
        <v>60</v>
      </c>
      <c r="I7302" t="s">
        <v>27</v>
      </c>
      <c r="J7302" t="s">
        <v>39</v>
      </c>
      <c r="K7302" t="str">
        <f>"127392"</f>
        <v>127392</v>
      </c>
    </row>
    <row r="7303" spans="1:11" x14ac:dyDescent="0.25">
      <c r="A7303">
        <v>2025</v>
      </c>
      <c r="B7303" t="s">
        <v>8969</v>
      </c>
      <c r="C7303" t="s">
        <v>8970</v>
      </c>
      <c r="D7303" t="s">
        <v>19</v>
      </c>
      <c r="E7303" t="s">
        <v>20</v>
      </c>
      <c r="F7303" t="str">
        <f>"43613"</f>
        <v>43613</v>
      </c>
      <c r="G7303" t="str">
        <f>"Je12092025"</f>
        <v>Je12092025</v>
      </c>
      <c r="H7303" s="2">
        <f>20</f>
        <v>20</v>
      </c>
      <c r="I7303" t="s">
        <v>15</v>
      </c>
      <c r="J7303" t="s">
        <v>909</v>
      </c>
      <c r="K7303" t="str">
        <f>"60170581"</f>
        <v>60170581</v>
      </c>
    </row>
    <row r="7304" spans="1:11" x14ac:dyDescent="0.25">
      <c r="A7304">
        <v>2025</v>
      </c>
      <c r="B7304" t="s">
        <v>8977</v>
      </c>
      <c r="C7304" t="s">
        <v>8978</v>
      </c>
      <c r="D7304" t="s">
        <v>19</v>
      </c>
      <c r="E7304" t="s">
        <v>20</v>
      </c>
      <c r="F7304" t="str">
        <f>"43615-5150"</f>
        <v>43615-5150</v>
      </c>
      <c r="G7304" t="str">
        <f>"753658"</f>
        <v>753658</v>
      </c>
      <c r="H7304" s="2">
        <f>10</f>
        <v>10</v>
      </c>
      <c r="I7304" t="s">
        <v>27</v>
      </c>
      <c r="J7304" t="s">
        <v>39</v>
      </c>
      <c r="K7304" t="str">
        <f>"125814"</f>
        <v>125814</v>
      </c>
    </row>
    <row r="7305" spans="1:11" x14ac:dyDescent="0.25">
      <c r="A7305">
        <v>2025</v>
      </c>
      <c r="B7305" t="s">
        <v>8981</v>
      </c>
      <c r="C7305" t="s">
        <v>8982</v>
      </c>
      <c r="D7305" t="s">
        <v>19</v>
      </c>
      <c r="E7305" t="s">
        <v>20</v>
      </c>
      <c r="F7305" t="str">
        <f>"43608-2165"</f>
        <v>43608-2165</v>
      </c>
      <c r="G7305" t="str">
        <f>"753658"</f>
        <v>753658</v>
      </c>
      <c r="H7305" s="2">
        <f>10</f>
        <v>10</v>
      </c>
      <c r="I7305" t="s">
        <v>27</v>
      </c>
      <c r="J7305" t="s">
        <v>39</v>
      </c>
      <c r="K7305" t="str">
        <f>"128969"</f>
        <v>128969</v>
      </c>
    </row>
    <row r="7306" spans="1:11" x14ac:dyDescent="0.25">
      <c r="A7306">
        <v>2025</v>
      </c>
      <c r="B7306" t="s">
        <v>9054</v>
      </c>
      <c r="C7306" t="s">
        <v>9055</v>
      </c>
      <c r="D7306" t="s">
        <v>58</v>
      </c>
      <c r="E7306" t="s">
        <v>20</v>
      </c>
      <c r="F7306" t="str">
        <f>"43616-2108"</f>
        <v>43616-2108</v>
      </c>
      <c r="G7306" t="str">
        <f>"753658"</f>
        <v>753658</v>
      </c>
      <c r="H7306" s="2">
        <f>20</f>
        <v>20</v>
      </c>
      <c r="I7306" t="s">
        <v>27</v>
      </c>
      <c r="J7306" t="s">
        <v>39</v>
      </c>
      <c r="K7306" t="str">
        <f>"131518"</f>
        <v>131518</v>
      </c>
    </row>
    <row r="7307" spans="1:11" x14ac:dyDescent="0.25">
      <c r="A7307">
        <v>2025</v>
      </c>
      <c r="B7307" t="s">
        <v>9063</v>
      </c>
      <c r="C7307" t="s">
        <v>9061</v>
      </c>
      <c r="D7307" t="s">
        <v>19</v>
      </c>
      <c r="E7307" t="s">
        <v>20</v>
      </c>
      <c r="F7307" t="str">
        <f>"43604"</f>
        <v>43604</v>
      </c>
      <c r="G7307" t="str">
        <f>"751639"</f>
        <v>751639</v>
      </c>
      <c r="H7307" s="2">
        <f>4.7</f>
        <v>4.7</v>
      </c>
      <c r="I7307" t="s">
        <v>27</v>
      </c>
      <c r="J7307" t="s">
        <v>96</v>
      </c>
      <c r="K7307" t="str">
        <f>"334816"</f>
        <v>334816</v>
      </c>
    </row>
    <row r="7308" spans="1:11" x14ac:dyDescent="0.25">
      <c r="A7308">
        <v>2025</v>
      </c>
      <c r="B7308" t="s">
        <v>9102</v>
      </c>
      <c r="C7308" t="s">
        <v>9103</v>
      </c>
      <c r="D7308" t="s">
        <v>19</v>
      </c>
      <c r="E7308" t="s">
        <v>20</v>
      </c>
      <c r="F7308" t="str">
        <f>"43604"</f>
        <v>43604</v>
      </c>
      <c r="G7308" t="str">
        <f>"759796"</f>
        <v>759796</v>
      </c>
      <c r="H7308" s="2">
        <f>23.88</f>
        <v>23.88</v>
      </c>
      <c r="I7308" t="s">
        <v>27</v>
      </c>
      <c r="J7308" t="s">
        <v>188</v>
      </c>
      <c r="K7308" t="str">
        <f>"46800"</f>
        <v>46800</v>
      </c>
    </row>
    <row r="7309" spans="1:11" x14ac:dyDescent="0.25">
      <c r="A7309">
        <v>2025</v>
      </c>
      <c r="B7309" t="s">
        <v>9130</v>
      </c>
      <c r="C7309" t="s">
        <v>9131</v>
      </c>
      <c r="D7309" t="s">
        <v>19</v>
      </c>
      <c r="E7309" t="s">
        <v>20</v>
      </c>
      <c r="F7309" t="str">
        <f>"43606-3042"</f>
        <v>43606-3042</v>
      </c>
      <c r="G7309" t="str">
        <f t="shared" ref="G7309:G7315" si="268">"753658"</f>
        <v>753658</v>
      </c>
      <c r="H7309" s="2">
        <f>10</f>
        <v>10</v>
      </c>
      <c r="I7309" t="s">
        <v>27</v>
      </c>
      <c r="J7309" t="s">
        <v>39</v>
      </c>
      <c r="K7309" t="str">
        <f>"128343"</f>
        <v>128343</v>
      </c>
    </row>
    <row r="7310" spans="1:11" x14ac:dyDescent="0.25">
      <c r="A7310">
        <v>2025</v>
      </c>
      <c r="B7310" t="s">
        <v>9132</v>
      </c>
      <c r="C7310" t="s">
        <v>9133</v>
      </c>
      <c r="D7310" t="s">
        <v>19</v>
      </c>
      <c r="E7310" t="s">
        <v>20</v>
      </c>
      <c r="F7310" t="str">
        <f>"43608-2015"</f>
        <v>43608-2015</v>
      </c>
      <c r="G7310" t="str">
        <f t="shared" si="268"/>
        <v>753658</v>
      </c>
      <c r="H7310" s="2">
        <f>20</f>
        <v>20</v>
      </c>
      <c r="I7310" t="s">
        <v>27</v>
      </c>
      <c r="J7310" t="s">
        <v>39</v>
      </c>
      <c r="K7310" t="str">
        <f>"125254"</f>
        <v>125254</v>
      </c>
    </row>
    <row r="7311" spans="1:11" x14ac:dyDescent="0.25">
      <c r="A7311">
        <v>2025</v>
      </c>
      <c r="B7311" t="s">
        <v>9134</v>
      </c>
      <c r="C7311" t="s">
        <v>9135</v>
      </c>
      <c r="D7311" t="s">
        <v>19</v>
      </c>
      <c r="E7311" t="s">
        <v>20</v>
      </c>
      <c r="F7311" t="str">
        <f>"43612"</f>
        <v>43612</v>
      </c>
      <c r="G7311" t="str">
        <f t="shared" si="268"/>
        <v>753658</v>
      </c>
      <c r="H7311" s="2">
        <f>10</f>
        <v>10</v>
      </c>
      <c r="I7311" t="s">
        <v>27</v>
      </c>
      <c r="J7311" t="s">
        <v>39</v>
      </c>
      <c r="K7311" t="str">
        <f>"128988"</f>
        <v>128988</v>
      </c>
    </row>
    <row r="7312" spans="1:11" x14ac:dyDescent="0.25">
      <c r="A7312">
        <v>2025</v>
      </c>
      <c r="B7312" t="s">
        <v>9136</v>
      </c>
      <c r="C7312" t="s">
        <v>9137</v>
      </c>
      <c r="D7312" t="s">
        <v>50</v>
      </c>
      <c r="E7312" t="s">
        <v>20</v>
      </c>
      <c r="F7312" t="str">
        <f>"43560-9652"</f>
        <v>43560-9652</v>
      </c>
      <c r="G7312" t="str">
        <f t="shared" si="268"/>
        <v>753658</v>
      </c>
      <c r="H7312" s="2">
        <f>10</f>
        <v>10</v>
      </c>
      <c r="I7312" t="s">
        <v>27</v>
      </c>
      <c r="J7312" t="s">
        <v>39</v>
      </c>
      <c r="K7312" t="str">
        <f>"126329"</f>
        <v>126329</v>
      </c>
    </row>
    <row r="7313" spans="1:11" x14ac:dyDescent="0.25">
      <c r="A7313">
        <v>2025</v>
      </c>
      <c r="B7313" t="s">
        <v>9156</v>
      </c>
      <c r="C7313" t="s">
        <v>9157</v>
      </c>
      <c r="D7313" t="s">
        <v>19</v>
      </c>
      <c r="E7313" t="s">
        <v>20</v>
      </c>
      <c r="F7313" t="str">
        <f>"43612-2064"</f>
        <v>43612-2064</v>
      </c>
      <c r="G7313" t="str">
        <f t="shared" si="268"/>
        <v>753658</v>
      </c>
      <c r="H7313" s="2">
        <f>40</f>
        <v>40</v>
      </c>
      <c r="I7313" t="s">
        <v>27</v>
      </c>
      <c r="J7313" t="s">
        <v>39</v>
      </c>
      <c r="K7313" t="str">
        <f>"125984"</f>
        <v>125984</v>
      </c>
    </row>
    <row r="7314" spans="1:11" x14ac:dyDescent="0.25">
      <c r="A7314">
        <v>2025</v>
      </c>
      <c r="B7314" t="s">
        <v>9198</v>
      </c>
      <c r="C7314" t="s">
        <v>9199</v>
      </c>
      <c r="D7314" t="s">
        <v>19</v>
      </c>
      <c r="E7314" t="s">
        <v>20</v>
      </c>
      <c r="F7314" t="str">
        <f>"43607"</f>
        <v>43607</v>
      </c>
      <c r="G7314" t="str">
        <f t="shared" si="268"/>
        <v>753658</v>
      </c>
      <c r="H7314" s="2">
        <f>10</f>
        <v>10</v>
      </c>
      <c r="I7314" t="s">
        <v>27</v>
      </c>
      <c r="J7314" t="s">
        <v>39</v>
      </c>
      <c r="K7314" t="str">
        <f>"127538"</f>
        <v>127538</v>
      </c>
    </row>
    <row r="7315" spans="1:11" x14ac:dyDescent="0.25">
      <c r="A7315">
        <v>2025</v>
      </c>
      <c r="B7315" t="s">
        <v>9201</v>
      </c>
      <c r="C7315" t="s">
        <v>9202</v>
      </c>
      <c r="D7315" t="s">
        <v>19</v>
      </c>
      <c r="E7315" t="s">
        <v>20</v>
      </c>
      <c r="F7315" t="str">
        <f>"43605-2255"</f>
        <v>43605-2255</v>
      </c>
      <c r="G7315" t="str">
        <f t="shared" si="268"/>
        <v>753658</v>
      </c>
      <c r="H7315" s="2">
        <f>20</f>
        <v>20</v>
      </c>
      <c r="I7315" t="s">
        <v>27</v>
      </c>
      <c r="J7315" t="s">
        <v>39</v>
      </c>
      <c r="K7315" t="str">
        <f>"127162"</f>
        <v>127162</v>
      </c>
    </row>
    <row r="7316" spans="1:11" x14ac:dyDescent="0.25">
      <c r="A7316">
        <v>2025</v>
      </c>
      <c r="B7316" t="s">
        <v>9203</v>
      </c>
      <c r="C7316" t="s">
        <v>9204</v>
      </c>
      <c r="D7316" t="s">
        <v>19</v>
      </c>
      <c r="E7316" t="s">
        <v>20</v>
      </c>
      <c r="F7316" t="str">
        <f>"43615"</f>
        <v>43615</v>
      </c>
      <c r="G7316" t="str">
        <f>"759797"</f>
        <v>759797</v>
      </c>
      <c r="H7316" s="2">
        <f>1206.78</f>
        <v>1206.78</v>
      </c>
      <c r="I7316" t="s">
        <v>27</v>
      </c>
      <c r="J7316" t="s">
        <v>239</v>
      </c>
      <c r="K7316" t="str">
        <f>"N/A"</f>
        <v>N/A</v>
      </c>
    </row>
    <row r="7317" spans="1:11" x14ac:dyDescent="0.25">
      <c r="A7317">
        <v>2025</v>
      </c>
      <c r="B7317" t="s">
        <v>9214</v>
      </c>
      <c r="C7317" t="s">
        <v>9215</v>
      </c>
      <c r="D7317" t="s">
        <v>19</v>
      </c>
      <c r="E7317" t="s">
        <v>20</v>
      </c>
      <c r="F7317" t="str">
        <f>"43612-1640"</f>
        <v>43612-1640</v>
      </c>
      <c r="G7317" t="str">
        <f>"753658"</f>
        <v>753658</v>
      </c>
      <c r="H7317" s="2">
        <f>20</f>
        <v>20</v>
      </c>
      <c r="I7317" t="s">
        <v>27</v>
      </c>
      <c r="J7317" t="s">
        <v>39</v>
      </c>
      <c r="K7317" t="str">
        <f>"128407"</f>
        <v>128407</v>
      </c>
    </row>
    <row r="7318" spans="1:11" x14ac:dyDescent="0.25">
      <c r="A7318">
        <v>2025</v>
      </c>
      <c r="B7318" t="s">
        <v>9230</v>
      </c>
      <c r="C7318" t="s">
        <v>9231</v>
      </c>
      <c r="D7318" t="s">
        <v>19</v>
      </c>
      <c r="E7318" t="s">
        <v>20</v>
      </c>
      <c r="F7318" t="str">
        <f>"43613-4212"</f>
        <v>43613-4212</v>
      </c>
      <c r="G7318" t="str">
        <f>"753658"</f>
        <v>753658</v>
      </c>
      <c r="H7318" s="2">
        <f>20</f>
        <v>20</v>
      </c>
      <c r="I7318" t="s">
        <v>27</v>
      </c>
      <c r="J7318" t="s">
        <v>39</v>
      </c>
      <c r="K7318" t="str">
        <f>"128382"</f>
        <v>128382</v>
      </c>
    </row>
    <row r="7319" spans="1:11" x14ac:dyDescent="0.25">
      <c r="A7319">
        <v>2025</v>
      </c>
      <c r="B7319" t="s">
        <v>9235</v>
      </c>
      <c r="C7319" t="s">
        <v>9236</v>
      </c>
      <c r="D7319" t="s">
        <v>50</v>
      </c>
      <c r="E7319" t="s">
        <v>20</v>
      </c>
      <c r="F7319" t="str">
        <f>"43560-3109"</f>
        <v>43560-3109</v>
      </c>
      <c r="G7319" t="str">
        <f>"753658"</f>
        <v>753658</v>
      </c>
      <c r="H7319" s="2">
        <f>20</f>
        <v>20</v>
      </c>
      <c r="I7319" t="s">
        <v>27</v>
      </c>
      <c r="J7319" t="s">
        <v>39</v>
      </c>
      <c r="K7319" t="str">
        <f>"125365"</f>
        <v>125365</v>
      </c>
    </row>
    <row r="7320" spans="1:11" x14ac:dyDescent="0.25">
      <c r="A7320">
        <v>2025</v>
      </c>
      <c r="B7320" t="s">
        <v>9246</v>
      </c>
      <c r="C7320" t="s">
        <v>9247</v>
      </c>
      <c r="D7320" t="s">
        <v>120</v>
      </c>
      <c r="E7320" t="s">
        <v>20</v>
      </c>
      <c r="F7320" t="str">
        <f>"43522"</f>
        <v>43522</v>
      </c>
      <c r="G7320" t="str">
        <f>"772209"</f>
        <v>772209</v>
      </c>
      <c r="H7320" s="2">
        <f>6446.14</f>
        <v>6446.14</v>
      </c>
      <c r="I7320" t="s">
        <v>27</v>
      </c>
      <c r="J7320" t="s">
        <v>691</v>
      </c>
      <c r="K7320" t="str">
        <f>"N/A"</f>
        <v>N/A</v>
      </c>
    </row>
    <row r="7321" spans="1:11" x14ac:dyDescent="0.25">
      <c r="A7321">
        <v>2025</v>
      </c>
      <c r="B7321" t="s">
        <v>9257</v>
      </c>
      <c r="C7321" t="s">
        <v>9258</v>
      </c>
      <c r="D7321" t="s">
        <v>105</v>
      </c>
      <c r="E7321" t="s">
        <v>20</v>
      </c>
      <c r="F7321" t="str">
        <f>"43528-8663"</f>
        <v>43528-8663</v>
      </c>
      <c r="G7321" t="str">
        <f>"753658"</f>
        <v>753658</v>
      </c>
      <c r="H7321" s="2">
        <f>10</f>
        <v>10</v>
      </c>
      <c r="I7321" t="s">
        <v>27</v>
      </c>
      <c r="J7321" t="s">
        <v>39</v>
      </c>
      <c r="K7321" t="str">
        <f>"131120"</f>
        <v>131120</v>
      </c>
    </row>
    <row r="7322" spans="1:11" x14ac:dyDescent="0.25">
      <c r="A7322">
        <v>2025</v>
      </c>
      <c r="B7322" t="s">
        <v>9270</v>
      </c>
      <c r="C7322" t="s">
        <v>9271</v>
      </c>
      <c r="D7322" t="s">
        <v>50</v>
      </c>
      <c r="E7322" t="s">
        <v>20</v>
      </c>
      <c r="F7322" t="str">
        <f>"43560-2942"</f>
        <v>43560-2942</v>
      </c>
      <c r="G7322" t="str">
        <f>"753658"</f>
        <v>753658</v>
      </c>
      <c r="H7322" s="2">
        <f>10</f>
        <v>10</v>
      </c>
      <c r="I7322" t="s">
        <v>27</v>
      </c>
      <c r="J7322" t="s">
        <v>39</v>
      </c>
      <c r="K7322" t="str">
        <f>"127684"</f>
        <v>127684</v>
      </c>
    </row>
    <row r="7323" spans="1:11" x14ac:dyDescent="0.25">
      <c r="A7323">
        <v>2025</v>
      </c>
      <c r="B7323" t="s">
        <v>9272</v>
      </c>
      <c r="C7323" t="s">
        <v>9273</v>
      </c>
      <c r="D7323" t="s">
        <v>19</v>
      </c>
      <c r="E7323" t="s">
        <v>20</v>
      </c>
      <c r="F7323" t="str">
        <f>"43623-4126"</f>
        <v>43623-4126</v>
      </c>
      <c r="G7323" t="str">
        <f>"753658"</f>
        <v>753658</v>
      </c>
      <c r="H7323" s="2">
        <f>10</f>
        <v>10</v>
      </c>
      <c r="I7323" t="s">
        <v>27</v>
      </c>
      <c r="J7323" t="s">
        <v>39</v>
      </c>
      <c r="K7323" t="str">
        <f>"127592"</f>
        <v>127592</v>
      </c>
    </row>
    <row r="7324" spans="1:11" x14ac:dyDescent="0.25">
      <c r="A7324">
        <v>2025</v>
      </c>
      <c r="B7324" t="s">
        <v>9274</v>
      </c>
      <c r="C7324" t="s">
        <v>9275</v>
      </c>
      <c r="D7324" t="s">
        <v>164</v>
      </c>
      <c r="E7324" t="s">
        <v>20</v>
      </c>
      <c r="F7324" t="str">
        <f>"43558-9607"</f>
        <v>43558-9607</v>
      </c>
      <c r="G7324" t="str">
        <f>"753658"</f>
        <v>753658</v>
      </c>
      <c r="H7324" s="2">
        <f>80</f>
        <v>80</v>
      </c>
      <c r="I7324" t="s">
        <v>27</v>
      </c>
      <c r="J7324" t="s">
        <v>39</v>
      </c>
      <c r="K7324" t="str">
        <f>"127804"</f>
        <v>127804</v>
      </c>
    </row>
    <row r="7325" spans="1:11" x14ac:dyDescent="0.25">
      <c r="A7325">
        <v>2025</v>
      </c>
      <c r="B7325" t="s">
        <v>9278</v>
      </c>
      <c r="C7325" t="s">
        <v>9279</v>
      </c>
      <c r="D7325" t="s">
        <v>4433</v>
      </c>
      <c r="E7325" t="s">
        <v>20</v>
      </c>
      <c r="F7325" t="str">
        <f>"44720"</f>
        <v>44720</v>
      </c>
      <c r="G7325" t="str">
        <f>"740128"</f>
        <v>740128</v>
      </c>
      <c r="H7325" s="2">
        <f>17</f>
        <v>17</v>
      </c>
      <c r="I7325" t="s">
        <v>148</v>
      </c>
      <c r="J7325" t="s">
        <v>9280</v>
      </c>
      <c r="K7325" t="str">
        <f>"27417"</f>
        <v>27417</v>
      </c>
    </row>
    <row r="7326" spans="1:11" x14ac:dyDescent="0.25">
      <c r="A7326">
        <v>2025</v>
      </c>
      <c r="B7326" t="s">
        <v>9278</v>
      </c>
      <c r="C7326" t="s">
        <v>9279</v>
      </c>
      <c r="D7326" t="s">
        <v>4433</v>
      </c>
      <c r="E7326" t="s">
        <v>20</v>
      </c>
      <c r="F7326" t="str">
        <f>"44720"</f>
        <v>44720</v>
      </c>
      <c r="G7326" t="str">
        <f>"740128"</f>
        <v>740128</v>
      </c>
      <c r="H7326" s="2">
        <f>17</f>
        <v>17</v>
      </c>
      <c r="I7326" t="s">
        <v>148</v>
      </c>
      <c r="J7326" t="s">
        <v>9281</v>
      </c>
      <c r="K7326" t="str">
        <f>"27417"</f>
        <v>27417</v>
      </c>
    </row>
    <row r="7327" spans="1:11" x14ac:dyDescent="0.25">
      <c r="A7327">
        <v>2025</v>
      </c>
      <c r="B7327" t="s">
        <v>9284</v>
      </c>
      <c r="C7327" t="s">
        <v>9285</v>
      </c>
      <c r="D7327" t="s">
        <v>19</v>
      </c>
      <c r="E7327" t="s">
        <v>20</v>
      </c>
      <c r="F7327" t="str">
        <f>"43606-2807"</f>
        <v>43606-2807</v>
      </c>
      <c r="G7327" t="str">
        <f>"753658"</f>
        <v>753658</v>
      </c>
      <c r="H7327" s="2">
        <f>10</f>
        <v>10</v>
      </c>
      <c r="I7327" t="s">
        <v>27</v>
      </c>
      <c r="J7327" t="s">
        <v>39</v>
      </c>
      <c r="K7327" t="str">
        <f>"128841"</f>
        <v>128841</v>
      </c>
    </row>
    <row r="7328" spans="1:11" x14ac:dyDescent="0.25">
      <c r="A7328">
        <v>2025</v>
      </c>
      <c r="B7328" t="s">
        <v>9290</v>
      </c>
      <c r="C7328" t="s">
        <v>9291</v>
      </c>
      <c r="D7328" t="s">
        <v>19</v>
      </c>
      <c r="E7328" t="s">
        <v>20</v>
      </c>
      <c r="F7328" t="str">
        <f>"43605"</f>
        <v>43605</v>
      </c>
      <c r="G7328" t="str">
        <f>"764484"</f>
        <v>764484</v>
      </c>
      <c r="H7328" s="2">
        <f>1913.47</f>
        <v>1913.47</v>
      </c>
      <c r="I7328" t="s">
        <v>148</v>
      </c>
      <c r="J7328" t="s">
        <v>9292</v>
      </c>
      <c r="K7328" t="str">
        <f>"27887"</f>
        <v>27887</v>
      </c>
    </row>
    <row r="7329" spans="1:11" x14ac:dyDescent="0.25">
      <c r="A7329">
        <v>2025</v>
      </c>
      <c r="B7329" t="s">
        <v>9293</v>
      </c>
      <c r="C7329" t="s">
        <v>9294</v>
      </c>
      <c r="D7329" t="s">
        <v>105</v>
      </c>
      <c r="E7329" t="s">
        <v>20</v>
      </c>
      <c r="F7329" t="str">
        <f>"43528-9210"</f>
        <v>43528-9210</v>
      </c>
      <c r="G7329" t="str">
        <f>"753658"</f>
        <v>753658</v>
      </c>
      <c r="H7329" s="2">
        <f>10</f>
        <v>10</v>
      </c>
      <c r="I7329" t="s">
        <v>27</v>
      </c>
      <c r="J7329" t="s">
        <v>39</v>
      </c>
      <c r="K7329" t="str">
        <f>"126416"</f>
        <v>126416</v>
      </c>
    </row>
    <row r="7330" spans="1:11" x14ac:dyDescent="0.25">
      <c r="A7330">
        <v>2025</v>
      </c>
      <c r="B7330" t="s">
        <v>9297</v>
      </c>
      <c r="C7330" t="s">
        <v>9298</v>
      </c>
      <c r="D7330" t="s">
        <v>19</v>
      </c>
      <c r="E7330" t="s">
        <v>20</v>
      </c>
      <c r="F7330" t="str">
        <f>"43607-2689"</f>
        <v>43607-2689</v>
      </c>
      <c r="G7330" t="str">
        <f>"753658"</f>
        <v>753658</v>
      </c>
      <c r="H7330" s="2">
        <f>20</f>
        <v>20</v>
      </c>
      <c r="I7330" t="s">
        <v>27</v>
      </c>
      <c r="J7330" t="s">
        <v>39</v>
      </c>
      <c r="K7330" t="str">
        <f>"128393"</f>
        <v>128393</v>
      </c>
    </row>
    <row r="7331" spans="1:11" x14ac:dyDescent="0.25">
      <c r="A7331">
        <v>2025</v>
      </c>
      <c r="B7331" t="s">
        <v>9311</v>
      </c>
      <c r="C7331" t="s">
        <v>9312</v>
      </c>
      <c r="D7331" t="s">
        <v>19</v>
      </c>
      <c r="E7331" t="s">
        <v>20</v>
      </c>
      <c r="F7331" t="str">
        <f>"43613-1200"</f>
        <v>43613-1200</v>
      </c>
      <c r="G7331" t="str">
        <f>"753658"</f>
        <v>753658</v>
      </c>
      <c r="H7331" s="2">
        <f>20</f>
        <v>20</v>
      </c>
      <c r="I7331" t="s">
        <v>27</v>
      </c>
      <c r="J7331" t="s">
        <v>39</v>
      </c>
      <c r="K7331" t="str">
        <f>"128377"</f>
        <v>128377</v>
      </c>
    </row>
    <row r="7332" spans="1:11" x14ac:dyDescent="0.25">
      <c r="A7332">
        <v>2025</v>
      </c>
      <c r="B7332" t="s">
        <v>9315</v>
      </c>
      <c r="C7332" t="s">
        <v>9316</v>
      </c>
      <c r="D7332" t="s">
        <v>105</v>
      </c>
      <c r="E7332" t="s">
        <v>20</v>
      </c>
      <c r="F7332" t="str">
        <f>"43528"</f>
        <v>43528</v>
      </c>
      <c r="G7332" t="str">
        <f>"Je12092025"</f>
        <v>Je12092025</v>
      </c>
      <c r="H7332" s="2">
        <f>20</f>
        <v>20</v>
      </c>
      <c r="I7332" t="s">
        <v>15</v>
      </c>
      <c r="J7332" t="s">
        <v>909</v>
      </c>
      <c r="K7332" t="str">
        <f>"60170613"</f>
        <v>60170613</v>
      </c>
    </row>
    <row r="7333" spans="1:11" x14ac:dyDescent="0.25">
      <c r="A7333">
        <v>2025</v>
      </c>
      <c r="B7333" t="s">
        <v>9336</v>
      </c>
      <c r="C7333" t="s">
        <v>9337</v>
      </c>
      <c r="D7333" t="s">
        <v>1005</v>
      </c>
      <c r="E7333" t="s">
        <v>20</v>
      </c>
      <c r="F7333" t="str">
        <f>"44139"</f>
        <v>44139</v>
      </c>
      <c r="G7333" t="str">
        <f>"759796"</f>
        <v>759796</v>
      </c>
      <c r="H7333" s="2">
        <f>165.2</f>
        <v>165.2</v>
      </c>
      <c r="I7333" t="s">
        <v>27</v>
      </c>
      <c r="J7333" t="s">
        <v>188</v>
      </c>
      <c r="K7333" t="str">
        <f>"45561"</f>
        <v>45561</v>
      </c>
    </row>
    <row r="7334" spans="1:11" x14ac:dyDescent="0.25">
      <c r="A7334">
        <v>2025</v>
      </c>
      <c r="B7334" t="s">
        <v>9338</v>
      </c>
      <c r="C7334" t="s">
        <v>9339</v>
      </c>
      <c r="D7334" t="s">
        <v>19</v>
      </c>
      <c r="E7334" t="s">
        <v>20</v>
      </c>
      <c r="F7334" t="str">
        <f>"43607-3524"</f>
        <v>43607-3524</v>
      </c>
      <c r="G7334" t="str">
        <f>"753658"</f>
        <v>753658</v>
      </c>
      <c r="H7334" s="2">
        <f>80</f>
        <v>80</v>
      </c>
      <c r="I7334" t="s">
        <v>27</v>
      </c>
      <c r="J7334" t="s">
        <v>39</v>
      </c>
      <c r="K7334" t="str">
        <f>"127866"</f>
        <v>127866</v>
      </c>
    </row>
    <row r="7335" spans="1:11" x14ac:dyDescent="0.25">
      <c r="A7335">
        <v>2025</v>
      </c>
      <c r="B7335" t="s">
        <v>9358</v>
      </c>
      <c r="C7335" t="s">
        <v>9359</v>
      </c>
      <c r="D7335" t="s">
        <v>19</v>
      </c>
      <c r="E7335" t="s">
        <v>20</v>
      </c>
      <c r="F7335" t="str">
        <f>"43613-2737"</f>
        <v>43613-2737</v>
      </c>
      <c r="G7335" t="str">
        <f>"753658"</f>
        <v>753658</v>
      </c>
      <c r="H7335" s="2">
        <f>10</f>
        <v>10</v>
      </c>
      <c r="I7335" t="s">
        <v>27</v>
      </c>
      <c r="J7335" t="s">
        <v>39</v>
      </c>
      <c r="K7335" t="str">
        <f>"131604"</f>
        <v>131604</v>
      </c>
    </row>
    <row r="7336" spans="1:11" x14ac:dyDescent="0.25">
      <c r="A7336">
        <v>2025</v>
      </c>
      <c r="B7336" t="s">
        <v>9371</v>
      </c>
      <c r="C7336" t="s">
        <v>3538</v>
      </c>
      <c r="D7336" t="s">
        <v>1005</v>
      </c>
      <c r="E7336" t="s">
        <v>20</v>
      </c>
      <c r="F7336" t="str">
        <f>"44139"</f>
        <v>44139</v>
      </c>
      <c r="G7336" t="str">
        <f>"759796"</f>
        <v>759796</v>
      </c>
      <c r="H7336" s="2">
        <f>82.7</f>
        <v>82.7</v>
      </c>
      <c r="I7336" t="s">
        <v>27</v>
      </c>
      <c r="J7336" t="s">
        <v>188</v>
      </c>
      <c r="K7336" t="str">
        <f>"44397"</f>
        <v>44397</v>
      </c>
    </row>
    <row r="7337" spans="1:11" x14ac:dyDescent="0.25">
      <c r="A7337">
        <v>2025</v>
      </c>
      <c r="B7337" t="s">
        <v>9372</v>
      </c>
      <c r="C7337" t="s">
        <v>9373</v>
      </c>
      <c r="D7337" t="s">
        <v>58</v>
      </c>
      <c r="E7337" t="s">
        <v>20</v>
      </c>
      <c r="F7337" t="str">
        <f>"43616-3037"</f>
        <v>43616-3037</v>
      </c>
      <c r="G7337" t="str">
        <f>"753658"</f>
        <v>753658</v>
      </c>
      <c r="H7337" s="2">
        <f>30</f>
        <v>30</v>
      </c>
      <c r="I7337" t="s">
        <v>27</v>
      </c>
      <c r="J7337" t="s">
        <v>39</v>
      </c>
      <c r="K7337" t="str">
        <f>"131191"</f>
        <v>131191</v>
      </c>
    </row>
    <row r="7338" spans="1:11" x14ac:dyDescent="0.25">
      <c r="A7338">
        <v>2025</v>
      </c>
      <c r="B7338" t="s">
        <v>9385</v>
      </c>
      <c r="C7338" t="s">
        <v>9386</v>
      </c>
      <c r="D7338" t="s">
        <v>19</v>
      </c>
      <c r="E7338" t="s">
        <v>20</v>
      </c>
      <c r="F7338" t="str">
        <f>"43615-3745"</f>
        <v>43615-3745</v>
      </c>
      <c r="G7338" t="str">
        <f>"753658"</f>
        <v>753658</v>
      </c>
      <c r="H7338" s="2">
        <f>10</f>
        <v>10</v>
      </c>
      <c r="I7338" t="s">
        <v>27</v>
      </c>
      <c r="J7338" t="s">
        <v>39</v>
      </c>
      <c r="K7338" t="str">
        <f>"126512"</f>
        <v>126512</v>
      </c>
    </row>
    <row r="7339" spans="1:11" x14ac:dyDescent="0.25">
      <c r="A7339">
        <v>2025</v>
      </c>
      <c r="B7339" t="s">
        <v>9387</v>
      </c>
      <c r="C7339" t="s">
        <v>9388</v>
      </c>
      <c r="D7339" t="s">
        <v>19</v>
      </c>
      <c r="E7339" t="s">
        <v>20</v>
      </c>
      <c r="F7339" t="str">
        <f>"43614"</f>
        <v>43614</v>
      </c>
      <c r="G7339" t="str">
        <f>"759797"</f>
        <v>759797</v>
      </c>
      <c r="H7339" s="2">
        <f>12312.58</f>
        <v>12312.58</v>
      </c>
      <c r="I7339" t="s">
        <v>27</v>
      </c>
      <c r="J7339" t="s">
        <v>239</v>
      </c>
      <c r="K7339" t="str">
        <f>"N/A"</f>
        <v>N/A</v>
      </c>
    </row>
    <row r="7340" spans="1:11" x14ac:dyDescent="0.25">
      <c r="A7340">
        <v>2025</v>
      </c>
      <c r="B7340" t="s">
        <v>9399</v>
      </c>
      <c r="C7340" t="s">
        <v>9400</v>
      </c>
      <c r="D7340" t="s">
        <v>4326</v>
      </c>
      <c r="E7340" t="s">
        <v>20</v>
      </c>
      <c r="F7340" t="str">
        <f>"44131"</f>
        <v>44131</v>
      </c>
      <c r="G7340" t="str">
        <f>"759796"</f>
        <v>759796</v>
      </c>
      <c r="H7340" s="2">
        <f>3.27</f>
        <v>3.27</v>
      </c>
      <c r="I7340" t="s">
        <v>27</v>
      </c>
      <c r="J7340" t="s">
        <v>188</v>
      </c>
      <c r="K7340" t="str">
        <f>"43682"</f>
        <v>43682</v>
      </c>
    </row>
    <row r="7341" spans="1:11" x14ac:dyDescent="0.25">
      <c r="A7341">
        <v>2025</v>
      </c>
      <c r="B7341" t="s">
        <v>9409</v>
      </c>
      <c r="C7341" t="s">
        <v>8177</v>
      </c>
      <c r="D7341" t="s">
        <v>19</v>
      </c>
      <c r="E7341" t="s">
        <v>20</v>
      </c>
      <c r="F7341" t="str">
        <f>"43604"</f>
        <v>43604</v>
      </c>
      <c r="G7341" t="str">
        <f>"759796"</f>
        <v>759796</v>
      </c>
      <c r="H7341" s="2">
        <f>9.75</f>
        <v>9.75</v>
      </c>
      <c r="I7341" t="s">
        <v>27</v>
      </c>
      <c r="J7341" t="s">
        <v>188</v>
      </c>
      <c r="K7341" t="str">
        <f>"46464"</f>
        <v>46464</v>
      </c>
    </row>
    <row r="7342" spans="1:11" x14ac:dyDescent="0.25">
      <c r="A7342">
        <v>2025</v>
      </c>
      <c r="B7342" t="s">
        <v>9410</v>
      </c>
      <c r="C7342" t="s">
        <v>9411</v>
      </c>
      <c r="D7342" t="s">
        <v>420</v>
      </c>
      <c r="E7342" t="s">
        <v>14</v>
      </c>
      <c r="F7342" t="str">
        <f>"48334"</f>
        <v>48334</v>
      </c>
      <c r="G7342" t="str">
        <f>"759796"</f>
        <v>759796</v>
      </c>
      <c r="H7342" s="2">
        <f>12</f>
        <v>12</v>
      </c>
      <c r="I7342" t="s">
        <v>27</v>
      </c>
      <c r="J7342" t="s">
        <v>188</v>
      </c>
      <c r="K7342" t="str">
        <f>"45469"</f>
        <v>45469</v>
      </c>
    </row>
    <row r="7343" spans="1:11" x14ac:dyDescent="0.25">
      <c r="A7343">
        <v>2025</v>
      </c>
      <c r="B7343" t="s">
        <v>9426</v>
      </c>
      <c r="C7343" t="s">
        <v>9427</v>
      </c>
      <c r="D7343" t="s">
        <v>19</v>
      </c>
      <c r="E7343" t="s">
        <v>20</v>
      </c>
      <c r="F7343" t="str">
        <f>"43611"</f>
        <v>43611</v>
      </c>
      <c r="G7343" t="str">
        <f>"Je12092025"</f>
        <v>Je12092025</v>
      </c>
      <c r="H7343" s="2">
        <f>805.24</f>
        <v>805.24</v>
      </c>
      <c r="I7343" t="s">
        <v>15</v>
      </c>
      <c r="J7343" t="s">
        <v>909</v>
      </c>
      <c r="K7343" t="str">
        <f>"60166205"</f>
        <v>60166205</v>
      </c>
    </row>
    <row r="7344" spans="1:11" x14ac:dyDescent="0.25">
      <c r="A7344">
        <v>2025</v>
      </c>
      <c r="B7344" t="s">
        <v>9436</v>
      </c>
      <c r="C7344" t="s">
        <v>9437</v>
      </c>
      <c r="D7344" t="s">
        <v>19</v>
      </c>
      <c r="E7344" t="s">
        <v>20</v>
      </c>
      <c r="F7344" t="str">
        <f>"43606"</f>
        <v>43606</v>
      </c>
      <c r="G7344" t="str">
        <f>"751639"</f>
        <v>751639</v>
      </c>
      <c r="H7344" s="2">
        <f>265.28</f>
        <v>265.27999999999997</v>
      </c>
      <c r="I7344" t="s">
        <v>27</v>
      </c>
      <c r="J7344" t="s">
        <v>96</v>
      </c>
      <c r="K7344" t="str">
        <f>"334996"</f>
        <v>334996</v>
      </c>
    </row>
    <row r="7345" spans="1:11" x14ac:dyDescent="0.25">
      <c r="A7345">
        <v>2025</v>
      </c>
      <c r="B7345" t="s">
        <v>9459</v>
      </c>
      <c r="C7345" t="s">
        <v>9460</v>
      </c>
      <c r="D7345" t="s">
        <v>19</v>
      </c>
      <c r="E7345" t="s">
        <v>20</v>
      </c>
      <c r="F7345" t="str">
        <f>"43609"</f>
        <v>43609</v>
      </c>
      <c r="G7345" t="str">
        <f>"Je09192025"</f>
        <v>Je09192025</v>
      </c>
      <c r="H7345" s="2">
        <f>13.37</f>
        <v>13.37</v>
      </c>
      <c r="I7345" t="s">
        <v>15</v>
      </c>
      <c r="J7345" t="s">
        <v>563</v>
      </c>
      <c r="K7345" t="str">
        <f>"60161453"</f>
        <v>60161453</v>
      </c>
    </row>
    <row r="7346" spans="1:11" x14ac:dyDescent="0.25">
      <c r="A7346">
        <v>2025</v>
      </c>
      <c r="B7346" t="s">
        <v>9470</v>
      </c>
      <c r="C7346" t="s">
        <v>9471</v>
      </c>
      <c r="D7346" t="s">
        <v>422</v>
      </c>
      <c r="E7346" t="s">
        <v>20</v>
      </c>
      <c r="F7346" t="str">
        <f>"44114"</f>
        <v>44114</v>
      </c>
      <c r="G7346" t="str">
        <f>"759796"</f>
        <v>759796</v>
      </c>
      <c r="H7346" s="2">
        <f>12</f>
        <v>12</v>
      </c>
      <c r="I7346" t="s">
        <v>27</v>
      </c>
      <c r="J7346" t="s">
        <v>188</v>
      </c>
      <c r="K7346" t="str">
        <f>"44752"</f>
        <v>44752</v>
      </c>
    </row>
    <row r="7347" spans="1:11" x14ac:dyDescent="0.25">
      <c r="A7347">
        <v>2025</v>
      </c>
      <c r="B7347" t="s">
        <v>9474</v>
      </c>
      <c r="C7347" t="s">
        <v>9475</v>
      </c>
      <c r="D7347" t="s">
        <v>19</v>
      </c>
      <c r="E7347" t="s">
        <v>20</v>
      </c>
      <c r="F7347" t="str">
        <f>"43607-2404"</f>
        <v>43607-2404</v>
      </c>
      <c r="G7347" t="str">
        <f>"Je12092025"</f>
        <v>Je12092025</v>
      </c>
      <c r="H7347" s="2">
        <f>269</f>
        <v>269</v>
      </c>
      <c r="I7347" t="s">
        <v>15</v>
      </c>
      <c r="J7347" t="s">
        <v>909</v>
      </c>
      <c r="K7347" t="str">
        <f>"60169367"</f>
        <v>60169367</v>
      </c>
    </row>
    <row r="7348" spans="1:11" x14ac:dyDescent="0.25">
      <c r="A7348">
        <v>2025</v>
      </c>
      <c r="B7348" t="s">
        <v>9479</v>
      </c>
      <c r="C7348" t="s">
        <v>9480</v>
      </c>
      <c r="D7348" t="s">
        <v>1163</v>
      </c>
      <c r="E7348" t="s">
        <v>20</v>
      </c>
      <c r="F7348" t="str">
        <f>"45202"</f>
        <v>45202</v>
      </c>
      <c r="G7348" t="str">
        <f>"759796"</f>
        <v>759796</v>
      </c>
      <c r="H7348" s="2">
        <f>122.66</f>
        <v>122.66</v>
      </c>
      <c r="I7348" t="s">
        <v>27</v>
      </c>
      <c r="J7348" t="s">
        <v>188</v>
      </c>
      <c r="K7348" t="str">
        <f>"43932"</f>
        <v>43932</v>
      </c>
    </row>
    <row r="7349" spans="1:11" x14ac:dyDescent="0.25">
      <c r="A7349">
        <v>2025</v>
      </c>
      <c r="B7349" t="s">
        <v>9490</v>
      </c>
      <c r="C7349" t="s">
        <v>3968</v>
      </c>
      <c r="D7349" t="s">
        <v>3969</v>
      </c>
      <c r="E7349" t="s">
        <v>600</v>
      </c>
      <c r="F7349" t="str">
        <f>"41042"</f>
        <v>41042</v>
      </c>
      <c r="G7349" t="str">
        <f>"759796"</f>
        <v>759796</v>
      </c>
      <c r="H7349" s="2">
        <f>30.9</f>
        <v>30.9</v>
      </c>
      <c r="I7349" t="s">
        <v>27</v>
      </c>
      <c r="J7349" t="s">
        <v>188</v>
      </c>
      <c r="K7349" t="str">
        <f>"45517"</f>
        <v>45517</v>
      </c>
    </row>
    <row r="7350" spans="1:11" x14ac:dyDescent="0.25">
      <c r="A7350">
        <v>2025</v>
      </c>
      <c r="B7350" t="s">
        <v>9491</v>
      </c>
      <c r="C7350" t="s">
        <v>9492</v>
      </c>
      <c r="D7350" t="s">
        <v>19</v>
      </c>
      <c r="E7350" t="s">
        <v>20</v>
      </c>
      <c r="F7350" t="str">
        <f>"43613-3539"</f>
        <v>43613-3539</v>
      </c>
      <c r="G7350" t="str">
        <f t="shared" ref="G7350:G7363" si="269">"753658"</f>
        <v>753658</v>
      </c>
      <c r="H7350" s="2">
        <f>10</f>
        <v>10</v>
      </c>
      <c r="I7350" t="s">
        <v>27</v>
      </c>
      <c r="J7350" t="s">
        <v>39</v>
      </c>
      <c r="K7350" t="str">
        <f>"126282"</f>
        <v>126282</v>
      </c>
    </row>
    <row r="7351" spans="1:11" x14ac:dyDescent="0.25">
      <c r="A7351">
        <v>2025</v>
      </c>
      <c r="B7351" t="s">
        <v>9499</v>
      </c>
      <c r="C7351" t="s">
        <v>9500</v>
      </c>
      <c r="D7351" t="s">
        <v>19</v>
      </c>
      <c r="E7351" t="s">
        <v>20</v>
      </c>
      <c r="F7351" t="str">
        <f>"43613-3531"</f>
        <v>43613-3531</v>
      </c>
      <c r="G7351" t="str">
        <f t="shared" si="269"/>
        <v>753658</v>
      </c>
      <c r="H7351" s="2">
        <f>10</f>
        <v>10</v>
      </c>
      <c r="I7351" t="s">
        <v>27</v>
      </c>
      <c r="J7351" t="s">
        <v>39</v>
      </c>
      <c r="K7351" t="str">
        <f>"127788"</f>
        <v>127788</v>
      </c>
    </row>
    <row r="7352" spans="1:11" x14ac:dyDescent="0.25">
      <c r="A7352">
        <v>2025</v>
      </c>
      <c r="B7352" t="s">
        <v>9501</v>
      </c>
      <c r="C7352" t="s">
        <v>9502</v>
      </c>
      <c r="D7352" t="s">
        <v>19</v>
      </c>
      <c r="E7352" t="s">
        <v>20</v>
      </c>
      <c r="F7352" t="str">
        <f>"43614-3163"</f>
        <v>43614-3163</v>
      </c>
      <c r="G7352" t="str">
        <f t="shared" si="269"/>
        <v>753658</v>
      </c>
      <c r="H7352" s="2">
        <f>10</f>
        <v>10</v>
      </c>
      <c r="I7352" t="s">
        <v>27</v>
      </c>
      <c r="J7352" t="s">
        <v>39</v>
      </c>
      <c r="K7352" t="str">
        <f>"130942"</f>
        <v>130942</v>
      </c>
    </row>
    <row r="7353" spans="1:11" x14ac:dyDescent="0.25">
      <c r="A7353">
        <v>2025</v>
      </c>
      <c r="B7353" t="s">
        <v>9505</v>
      </c>
      <c r="C7353" t="s">
        <v>9506</v>
      </c>
      <c r="D7353" t="s">
        <v>19</v>
      </c>
      <c r="E7353" t="s">
        <v>20</v>
      </c>
      <c r="F7353" t="str">
        <f>"43612-4328"</f>
        <v>43612-4328</v>
      </c>
      <c r="G7353" t="str">
        <f t="shared" si="269"/>
        <v>753658</v>
      </c>
      <c r="H7353" s="2">
        <f>10</f>
        <v>10</v>
      </c>
      <c r="I7353" t="s">
        <v>27</v>
      </c>
      <c r="J7353" t="s">
        <v>39</v>
      </c>
      <c r="K7353" t="str">
        <f>"125569"</f>
        <v>125569</v>
      </c>
    </row>
    <row r="7354" spans="1:11" x14ac:dyDescent="0.25">
      <c r="A7354">
        <v>2025</v>
      </c>
      <c r="B7354" t="s">
        <v>9507</v>
      </c>
      <c r="C7354" t="s">
        <v>9508</v>
      </c>
      <c r="D7354" t="s">
        <v>19</v>
      </c>
      <c r="E7354" t="s">
        <v>20</v>
      </c>
      <c r="F7354" t="str">
        <f>"43617-1821"</f>
        <v>43617-1821</v>
      </c>
      <c r="G7354" t="str">
        <f t="shared" si="269"/>
        <v>753658</v>
      </c>
      <c r="H7354" s="2">
        <f>10</f>
        <v>10</v>
      </c>
      <c r="I7354" t="s">
        <v>27</v>
      </c>
      <c r="J7354" t="s">
        <v>39</v>
      </c>
      <c r="K7354" t="str">
        <f>"126238"</f>
        <v>126238</v>
      </c>
    </row>
    <row r="7355" spans="1:11" x14ac:dyDescent="0.25">
      <c r="A7355">
        <v>2025</v>
      </c>
      <c r="B7355" t="s">
        <v>9511</v>
      </c>
      <c r="C7355" t="s">
        <v>9512</v>
      </c>
      <c r="D7355" t="s">
        <v>19</v>
      </c>
      <c r="E7355" t="s">
        <v>20</v>
      </c>
      <c r="F7355" t="str">
        <f>"43614-4142"</f>
        <v>43614-4142</v>
      </c>
      <c r="G7355" t="str">
        <f t="shared" si="269"/>
        <v>753658</v>
      </c>
      <c r="H7355" s="2">
        <f>10</f>
        <v>10</v>
      </c>
      <c r="I7355" t="s">
        <v>27</v>
      </c>
      <c r="J7355" t="s">
        <v>39</v>
      </c>
      <c r="K7355" t="str">
        <f>"126815"</f>
        <v>126815</v>
      </c>
    </row>
    <row r="7356" spans="1:11" x14ac:dyDescent="0.25">
      <c r="A7356">
        <v>2025</v>
      </c>
      <c r="B7356" t="s">
        <v>9513</v>
      </c>
      <c r="C7356" t="s">
        <v>9514</v>
      </c>
      <c r="D7356" t="s">
        <v>50</v>
      </c>
      <c r="E7356" t="s">
        <v>20</v>
      </c>
      <c r="F7356" t="str">
        <f>"43560-5503"</f>
        <v>43560-5503</v>
      </c>
      <c r="G7356" t="str">
        <f t="shared" si="269"/>
        <v>753658</v>
      </c>
      <c r="H7356" s="2">
        <f>20</f>
        <v>20</v>
      </c>
      <c r="I7356" t="s">
        <v>27</v>
      </c>
      <c r="J7356" t="s">
        <v>39</v>
      </c>
      <c r="K7356" t="str">
        <f>"131351"</f>
        <v>131351</v>
      </c>
    </row>
    <row r="7357" spans="1:11" x14ac:dyDescent="0.25">
      <c r="A7357">
        <v>2025</v>
      </c>
      <c r="B7357" t="s">
        <v>9519</v>
      </c>
      <c r="C7357" t="s">
        <v>9520</v>
      </c>
      <c r="D7357" t="s">
        <v>164</v>
      </c>
      <c r="E7357" t="s">
        <v>20</v>
      </c>
      <c r="F7357" t="str">
        <f>"43558-9637"</f>
        <v>43558-9637</v>
      </c>
      <c r="G7357" t="str">
        <f t="shared" si="269"/>
        <v>753658</v>
      </c>
      <c r="H7357" s="2">
        <f>10</f>
        <v>10</v>
      </c>
      <c r="I7357" t="s">
        <v>27</v>
      </c>
      <c r="J7357" t="s">
        <v>39</v>
      </c>
      <c r="K7357" t="str">
        <f>"129370"</f>
        <v>129370</v>
      </c>
    </row>
    <row r="7358" spans="1:11" x14ac:dyDescent="0.25">
      <c r="A7358">
        <v>2025</v>
      </c>
      <c r="B7358" t="s">
        <v>9533</v>
      </c>
      <c r="C7358" t="s">
        <v>9534</v>
      </c>
      <c r="D7358" t="s">
        <v>19</v>
      </c>
      <c r="E7358" t="s">
        <v>20</v>
      </c>
      <c r="F7358" t="str">
        <f>"43613-2619"</f>
        <v>43613-2619</v>
      </c>
      <c r="G7358" t="str">
        <f t="shared" si="269"/>
        <v>753658</v>
      </c>
      <c r="H7358" s="2">
        <f>40</f>
        <v>40</v>
      </c>
      <c r="I7358" t="s">
        <v>27</v>
      </c>
      <c r="J7358" t="s">
        <v>39</v>
      </c>
      <c r="K7358" t="str">
        <f>"126696"</f>
        <v>126696</v>
      </c>
    </row>
    <row r="7359" spans="1:11" x14ac:dyDescent="0.25">
      <c r="A7359">
        <v>2025</v>
      </c>
      <c r="B7359" t="s">
        <v>9533</v>
      </c>
      <c r="C7359" t="s">
        <v>9534</v>
      </c>
      <c r="D7359" t="s">
        <v>19</v>
      </c>
      <c r="E7359" t="s">
        <v>20</v>
      </c>
      <c r="F7359" t="str">
        <f>"43613-2619"</f>
        <v>43613-2619</v>
      </c>
      <c r="G7359" t="str">
        <f t="shared" si="269"/>
        <v>753658</v>
      </c>
      <c r="H7359" s="2">
        <f>40</f>
        <v>40</v>
      </c>
      <c r="I7359" t="s">
        <v>27</v>
      </c>
      <c r="J7359" t="s">
        <v>39</v>
      </c>
      <c r="K7359" t="str">
        <f>"126574"</f>
        <v>126574</v>
      </c>
    </row>
    <row r="7360" spans="1:11" x14ac:dyDescent="0.25">
      <c r="A7360">
        <v>2025</v>
      </c>
      <c r="B7360" t="s">
        <v>9535</v>
      </c>
      <c r="C7360" t="s">
        <v>9536</v>
      </c>
      <c r="D7360" t="s">
        <v>19</v>
      </c>
      <c r="E7360" t="s">
        <v>20</v>
      </c>
      <c r="F7360" t="str">
        <f>"43615-2708"</f>
        <v>43615-2708</v>
      </c>
      <c r="G7360" t="str">
        <f t="shared" si="269"/>
        <v>753658</v>
      </c>
      <c r="H7360" s="2">
        <f>10</f>
        <v>10</v>
      </c>
      <c r="I7360" t="s">
        <v>27</v>
      </c>
      <c r="J7360" t="s">
        <v>39</v>
      </c>
      <c r="K7360" t="str">
        <f>"129320"</f>
        <v>129320</v>
      </c>
    </row>
    <row r="7361" spans="1:11" x14ac:dyDescent="0.25">
      <c r="A7361">
        <v>2025</v>
      </c>
      <c r="B7361" t="s">
        <v>9551</v>
      </c>
      <c r="C7361" t="s">
        <v>9552</v>
      </c>
      <c r="D7361" t="s">
        <v>19</v>
      </c>
      <c r="E7361" t="s">
        <v>20</v>
      </c>
      <c r="F7361" t="str">
        <f>"43615-2335"</f>
        <v>43615-2335</v>
      </c>
      <c r="G7361" t="str">
        <f t="shared" si="269"/>
        <v>753658</v>
      </c>
      <c r="H7361" s="2">
        <f>20</f>
        <v>20</v>
      </c>
      <c r="I7361" t="s">
        <v>27</v>
      </c>
      <c r="J7361" t="s">
        <v>39</v>
      </c>
      <c r="K7361" t="str">
        <f>"128145"</f>
        <v>128145</v>
      </c>
    </row>
    <row r="7362" spans="1:11" x14ac:dyDescent="0.25">
      <c r="A7362">
        <v>2025</v>
      </c>
      <c r="B7362" t="s">
        <v>9569</v>
      </c>
      <c r="C7362" t="s">
        <v>9570</v>
      </c>
      <c r="D7362" t="s">
        <v>19</v>
      </c>
      <c r="E7362" t="s">
        <v>20</v>
      </c>
      <c r="F7362" t="str">
        <f>"43605-1630"</f>
        <v>43605-1630</v>
      </c>
      <c r="G7362" t="str">
        <f t="shared" si="269"/>
        <v>753658</v>
      </c>
      <c r="H7362" s="2">
        <f>40</f>
        <v>40</v>
      </c>
      <c r="I7362" t="s">
        <v>27</v>
      </c>
      <c r="J7362" t="s">
        <v>39</v>
      </c>
      <c r="K7362" t="str">
        <f>"131543"</f>
        <v>131543</v>
      </c>
    </row>
    <row r="7363" spans="1:11" x14ac:dyDescent="0.25">
      <c r="A7363">
        <v>2025</v>
      </c>
      <c r="B7363" t="s">
        <v>9585</v>
      </c>
      <c r="C7363" t="s">
        <v>9586</v>
      </c>
      <c r="D7363" t="s">
        <v>19</v>
      </c>
      <c r="E7363" t="s">
        <v>20</v>
      </c>
      <c r="F7363" t="str">
        <f>"43611"</f>
        <v>43611</v>
      </c>
      <c r="G7363" t="str">
        <f t="shared" si="269"/>
        <v>753658</v>
      </c>
      <c r="H7363" s="2">
        <f>10</f>
        <v>10</v>
      </c>
      <c r="I7363" t="s">
        <v>27</v>
      </c>
      <c r="J7363" t="s">
        <v>39</v>
      </c>
      <c r="K7363" t="str">
        <f>"128378"</f>
        <v>128378</v>
      </c>
    </row>
    <row r="7364" spans="1:11" x14ac:dyDescent="0.25">
      <c r="A7364">
        <v>2025</v>
      </c>
      <c r="B7364" t="s">
        <v>9600</v>
      </c>
      <c r="C7364" t="s">
        <v>9599</v>
      </c>
      <c r="D7364" t="s">
        <v>19</v>
      </c>
      <c r="E7364" t="s">
        <v>20</v>
      </c>
      <c r="F7364" t="str">
        <f>"43604"</f>
        <v>43604</v>
      </c>
      <c r="G7364" t="str">
        <f>"Je04082025"</f>
        <v>Je04082025</v>
      </c>
      <c r="H7364" s="2">
        <f>66</f>
        <v>66</v>
      </c>
      <c r="I7364" t="s">
        <v>15</v>
      </c>
      <c r="J7364" t="s">
        <v>24</v>
      </c>
      <c r="K7364" t="str">
        <f>"60145764"</f>
        <v>60145764</v>
      </c>
    </row>
    <row r="7365" spans="1:11" x14ac:dyDescent="0.25">
      <c r="A7365">
        <v>2025</v>
      </c>
      <c r="B7365" t="s">
        <v>9601</v>
      </c>
      <c r="C7365" t="s">
        <v>9602</v>
      </c>
      <c r="D7365" t="s">
        <v>125</v>
      </c>
      <c r="E7365" t="s">
        <v>20</v>
      </c>
      <c r="F7365" t="str">
        <f>"43537"</f>
        <v>43537</v>
      </c>
      <c r="G7365" t="str">
        <f>"759796"</f>
        <v>759796</v>
      </c>
      <c r="H7365" s="2">
        <f>2.3</f>
        <v>2.2999999999999998</v>
      </c>
      <c r="I7365" t="s">
        <v>27</v>
      </c>
      <c r="J7365" t="s">
        <v>188</v>
      </c>
      <c r="K7365" t="str">
        <f>"46044"</f>
        <v>46044</v>
      </c>
    </row>
    <row r="7366" spans="1:11" x14ac:dyDescent="0.25">
      <c r="A7366">
        <v>2025</v>
      </c>
      <c r="B7366" t="s">
        <v>9605</v>
      </c>
      <c r="C7366" t="s">
        <v>9606</v>
      </c>
      <c r="D7366" t="s">
        <v>19</v>
      </c>
      <c r="E7366" t="s">
        <v>20</v>
      </c>
      <c r="F7366" t="str">
        <f>"43609"</f>
        <v>43609</v>
      </c>
      <c r="G7366" t="str">
        <f>"753658"</f>
        <v>753658</v>
      </c>
      <c r="H7366" s="2">
        <f>10</f>
        <v>10</v>
      </c>
      <c r="I7366" t="s">
        <v>27</v>
      </c>
      <c r="J7366" t="s">
        <v>39</v>
      </c>
      <c r="K7366" t="str">
        <f>"127053"</f>
        <v>127053</v>
      </c>
    </row>
    <row r="7367" spans="1:11" x14ac:dyDescent="0.25">
      <c r="A7367">
        <v>2025</v>
      </c>
      <c r="B7367" t="s">
        <v>9620</v>
      </c>
      <c r="C7367" t="s">
        <v>9621</v>
      </c>
      <c r="D7367" t="s">
        <v>19</v>
      </c>
      <c r="E7367" t="s">
        <v>20</v>
      </c>
      <c r="F7367" t="str">
        <f>"43611-2548"</f>
        <v>43611-2548</v>
      </c>
      <c r="G7367" t="str">
        <f>"753658"</f>
        <v>753658</v>
      </c>
      <c r="H7367" s="2">
        <f>60</f>
        <v>60</v>
      </c>
      <c r="I7367" t="s">
        <v>27</v>
      </c>
      <c r="J7367" t="s">
        <v>39</v>
      </c>
      <c r="K7367" t="str">
        <f>"131096"</f>
        <v>131096</v>
      </c>
    </row>
    <row r="7368" spans="1:11" x14ac:dyDescent="0.25">
      <c r="A7368">
        <v>2025</v>
      </c>
      <c r="B7368" t="s">
        <v>9624</v>
      </c>
      <c r="C7368" t="s">
        <v>9625</v>
      </c>
      <c r="D7368" t="s">
        <v>1074</v>
      </c>
      <c r="E7368" t="s">
        <v>20</v>
      </c>
      <c r="F7368" t="str">
        <f>"43551"</f>
        <v>43551</v>
      </c>
      <c r="G7368" t="str">
        <f>"759796"</f>
        <v>759796</v>
      </c>
      <c r="H7368" s="2">
        <f>0.2</f>
        <v>0.2</v>
      </c>
      <c r="I7368" t="s">
        <v>27</v>
      </c>
      <c r="J7368" t="s">
        <v>188</v>
      </c>
      <c r="K7368" t="str">
        <f>"46745"</f>
        <v>46745</v>
      </c>
    </row>
    <row r="7369" spans="1:11" x14ac:dyDescent="0.25">
      <c r="A7369">
        <v>2025</v>
      </c>
      <c r="B7369" t="s">
        <v>9637</v>
      </c>
      <c r="C7369" t="s">
        <v>9638</v>
      </c>
      <c r="D7369" t="s">
        <v>19</v>
      </c>
      <c r="E7369" t="s">
        <v>20</v>
      </c>
      <c r="F7369" t="str">
        <f>"43606-4455"</f>
        <v>43606-4455</v>
      </c>
      <c r="G7369" t="str">
        <f t="shared" ref="G7369:G7379" si="270">"753658"</f>
        <v>753658</v>
      </c>
      <c r="H7369" s="2">
        <f>10</f>
        <v>10</v>
      </c>
      <c r="I7369" t="s">
        <v>27</v>
      </c>
      <c r="J7369" t="s">
        <v>39</v>
      </c>
      <c r="K7369" t="str">
        <f>"127924"</f>
        <v>127924</v>
      </c>
    </row>
    <row r="7370" spans="1:11" x14ac:dyDescent="0.25">
      <c r="A7370">
        <v>2025</v>
      </c>
      <c r="B7370" t="s">
        <v>9641</v>
      </c>
      <c r="C7370" t="s">
        <v>9642</v>
      </c>
      <c r="D7370" t="s">
        <v>19</v>
      </c>
      <c r="E7370" t="s">
        <v>20</v>
      </c>
      <c r="F7370" t="str">
        <f>"43611-1543"</f>
        <v>43611-1543</v>
      </c>
      <c r="G7370" t="str">
        <f t="shared" si="270"/>
        <v>753658</v>
      </c>
      <c r="H7370" s="2">
        <f>20</f>
        <v>20</v>
      </c>
      <c r="I7370" t="s">
        <v>27</v>
      </c>
      <c r="J7370" t="s">
        <v>39</v>
      </c>
      <c r="K7370" t="str">
        <f>"129774"</f>
        <v>129774</v>
      </c>
    </row>
    <row r="7371" spans="1:11" x14ac:dyDescent="0.25">
      <c r="A7371">
        <v>2025</v>
      </c>
      <c r="B7371" t="s">
        <v>9647</v>
      </c>
      <c r="C7371" t="s">
        <v>9648</v>
      </c>
      <c r="D7371" t="s">
        <v>58</v>
      </c>
      <c r="E7371" t="s">
        <v>20</v>
      </c>
      <c r="F7371" t="str">
        <f>"43616-3825"</f>
        <v>43616-3825</v>
      </c>
      <c r="G7371" t="str">
        <f t="shared" si="270"/>
        <v>753658</v>
      </c>
      <c r="H7371" s="2">
        <f>10</f>
        <v>10</v>
      </c>
      <c r="I7371" t="s">
        <v>27</v>
      </c>
      <c r="J7371" t="s">
        <v>39</v>
      </c>
      <c r="K7371" t="str">
        <f>"129032"</f>
        <v>129032</v>
      </c>
    </row>
    <row r="7372" spans="1:11" x14ac:dyDescent="0.25">
      <c r="A7372">
        <v>2025</v>
      </c>
      <c r="B7372" t="s">
        <v>9649</v>
      </c>
      <c r="C7372" t="s">
        <v>9650</v>
      </c>
      <c r="D7372" t="s">
        <v>50</v>
      </c>
      <c r="E7372" t="s">
        <v>20</v>
      </c>
      <c r="F7372" t="str">
        <f>"43560-8211"</f>
        <v>43560-8211</v>
      </c>
      <c r="G7372" t="str">
        <f t="shared" si="270"/>
        <v>753658</v>
      </c>
      <c r="H7372" s="2">
        <f>20</f>
        <v>20</v>
      </c>
      <c r="I7372" t="s">
        <v>27</v>
      </c>
      <c r="J7372" t="s">
        <v>39</v>
      </c>
      <c r="K7372" t="str">
        <f>"130896"</f>
        <v>130896</v>
      </c>
    </row>
    <row r="7373" spans="1:11" x14ac:dyDescent="0.25">
      <c r="A7373">
        <v>2025</v>
      </c>
      <c r="B7373" t="s">
        <v>9652</v>
      </c>
      <c r="C7373" t="s">
        <v>9653</v>
      </c>
      <c r="D7373" t="s">
        <v>19</v>
      </c>
      <c r="E7373" t="s">
        <v>20</v>
      </c>
      <c r="F7373" t="str">
        <f>"43615-2202"</f>
        <v>43615-2202</v>
      </c>
      <c r="G7373" t="str">
        <f t="shared" si="270"/>
        <v>753658</v>
      </c>
      <c r="H7373" s="2">
        <f>30</f>
        <v>30</v>
      </c>
      <c r="I7373" t="s">
        <v>27</v>
      </c>
      <c r="J7373" t="s">
        <v>39</v>
      </c>
      <c r="K7373" t="str">
        <f>"127291"</f>
        <v>127291</v>
      </c>
    </row>
    <row r="7374" spans="1:11" x14ac:dyDescent="0.25">
      <c r="A7374">
        <v>2025</v>
      </c>
      <c r="B7374" t="s">
        <v>9654</v>
      </c>
      <c r="C7374" t="s">
        <v>9655</v>
      </c>
      <c r="D7374" t="s">
        <v>19</v>
      </c>
      <c r="E7374" t="s">
        <v>20</v>
      </c>
      <c r="F7374" t="str">
        <f>"43615-6849"</f>
        <v>43615-6849</v>
      </c>
      <c r="G7374" t="str">
        <f t="shared" si="270"/>
        <v>753658</v>
      </c>
      <c r="H7374" s="2">
        <f>20</f>
        <v>20</v>
      </c>
      <c r="I7374" t="s">
        <v>27</v>
      </c>
      <c r="J7374" t="s">
        <v>39</v>
      </c>
      <c r="K7374" t="str">
        <f>"127348"</f>
        <v>127348</v>
      </c>
    </row>
    <row r="7375" spans="1:11" x14ac:dyDescent="0.25">
      <c r="A7375">
        <v>2025</v>
      </c>
      <c r="B7375" t="s">
        <v>9662</v>
      </c>
      <c r="C7375" t="s">
        <v>1692</v>
      </c>
      <c r="D7375" t="s">
        <v>19</v>
      </c>
      <c r="E7375" t="s">
        <v>20</v>
      </c>
      <c r="F7375" t="str">
        <f>"43612-3418"</f>
        <v>43612-3418</v>
      </c>
      <c r="G7375" t="str">
        <f t="shared" si="270"/>
        <v>753658</v>
      </c>
      <c r="H7375" s="2">
        <f>20</f>
        <v>20</v>
      </c>
      <c r="I7375" t="s">
        <v>27</v>
      </c>
      <c r="J7375" t="s">
        <v>39</v>
      </c>
      <c r="K7375" t="str">
        <f>"127657"</f>
        <v>127657</v>
      </c>
    </row>
    <row r="7376" spans="1:11" x14ac:dyDescent="0.25">
      <c r="A7376">
        <v>2025</v>
      </c>
      <c r="B7376" t="s">
        <v>9663</v>
      </c>
      <c r="C7376" t="s">
        <v>9664</v>
      </c>
      <c r="D7376" t="s">
        <v>19</v>
      </c>
      <c r="E7376" t="s">
        <v>20</v>
      </c>
      <c r="F7376" t="str">
        <f>"43615-1307"</f>
        <v>43615-1307</v>
      </c>
      <c r="G7376" t="str">
        <f t="shared" si="270"/>
        <v>753658</v>
      </c>
      <c r="H7376" s="2">
        <f>10</f>
        <v>10</v>
      </c>
      <c r="I7376" t="s">
        <v>27</v>
      </c>
      <c r="J7376" t="s">
        <v>39</v>
      </c>
      <c r="K7376" t="str">
        <f>"125533"</f>
        <v>125533</v>
      </c>
    </row>
    <row r="7377" spans="1:11" x14ac:dyDescent="0.25">
      <c r="A7377">
        <v>2025</v>
      </c>
      <c r="B7377" t="s">
        <v>9675</v>
      </c>
      <c r="C7377" t="s">
        <v>9676</v>
      </c>
      <c r="D7377" t="s">
        <v>50</v>
      </c>
      <c r="E7377" t="s">
        <v>20</v>
      </c>
      <c r="F7377" t="str">
        <f>"43560-1274"</f>
        <v>43560-1274</v>
      </c>
      <c r="G7377" t="str">
        <f t="shared" si="270"/>
        <v>753658</v>
      </c>
      <c r="H7377" s="2">
        <f>10</f>
        <v>10</v>
      </c>
      <c r="I7377" t="s">
        <v>27</v>
      </c>
      <c r="J7377" t="s">
        <v>39</v>
      </c>
      <c r="K7377" t="str">
        <f>"126406"</f>
        <v>126406</v>
      </c>
    </row>
    <row r="7378" spans="1:11" x14ac:dyDescent="0.25">
      <c r="A7378">
        <v>2025</v>
      </c>
      <c r="B7378" t="s">
        <v>9678</v>
      </c>
      <c r="C7378" t="s">
        <v>9679</v>
      </c>
      <c r="D7378" t="s">
        <v>19</v>
      </c>
      <c r="E7378" t="s">
        <v>20</v>
      </c>
      <c r="F7378" t="str">
        <f>"43607-1637"</f>
        <v>43607-1637</v>
      </c>
      <c r="G7378" t="str">
        <f t="shared" si="270"/>
        <v>753658</v>
      </c>
      <c r="H7378" s="2">
        <f>30</f>
        <v>30</v>
      </c>
      <c r="I7378" t="s">
        <v>27</v>
      </c>
      <c r="J7378" t="s">
        <v>39</v>
      </c>
      <c r="K7378" t="str">
        <f>"127703"</f>
        <v>127703</v>
      </c>
    </row>
    <row r="7379" spans="1:11" x14ac:dyDescent="0.25">
      <c r="A7379">
        <v>2025</v>
      </c>
      <c r="B7379" t="s">
        <v>9682</v>
      </c>
      <c r="C7379" t="s">
        <v>4941</v>
      </c>
      <c r="D7379" t="s">
        <v>58</v>
      </c>
      <c r="E7379" t="s">
        <v>20</v>
      </c>
      <c r="F7379" t="str">
        <f>"43616-3604"</f>
        <v>43616-3604</v>
      </c>
      <c r="G7379" t="str">
        <f t="shared" si="270"/>
        <v>753658</v>
      </c>
      <c r="H7379" s="2">
        <f>40</f>
        <v>40</v>
      </c>
      <c r="I7379" t="s">
        <v>27</v>
      </c>
      <c r="J7379" t="s">
        <v>39</v>
      </c>
      <c r="K7379" t="str">
        <f>"131321"</f>
        <v>131321</v>
      </c>
    </row>
    <row r="7380" spans="1:11" x14ac:dyDescent="0.25">
      <c r="A7380">
        <v>2025</v>
      </c>
      <c r="B7380" t="s">
        <v>9683</v>
      </c>
      <c r="C7380" t="s">
        <v>9684</v>
      </c>
      <c r="D7380" t="s">
        <v>125</v>
      </c>
      <c r="E7380" t="s">
        <v>20</v>
      </c>
      <c r="F7380" t="str">
        <f>"43537"</f>
        <v>43537</v>
      </c>
      <c r="G7380" t="str">
        <f>"759796"</f>
        <v>759796</v>
      </c>
      <c r="H7380" s="2">
        <f>92</f>
        <v>92</v>
      </c>
      <c r="I7380" t="s">
        <v>27</v>
      </c>
      <c r="J7380" t="s">
        <v>188</v>
      </c>
      <c r="K7380" t="str">
        <f>"45090"</f>
        <v>45090</v>
      </c>
    </row>
    <row r="7381" spans="1:11" x14ac:dyDescent="0.25">
      <c r="A7381">
        <v>2025</v>
      </c>
      <c r="B7381" t="s">
        <v>9685</v>
      </c>
      <c r="C7381" t="s">
        <v>9686</v>
      </c>
      <c r="D7381" t="s">
        <v>125</v>
      </c>
      <c r="E7381" t="s">
        <v>20</v>
      </c>
      <c r="F7381" t="str">
        <f>"43537-9775"</f>
        <v>43537-9775</v>
      </c>
      <c r="G7381" t="str">
        <f>"753658"</f>
        <v>753658</v>
      </c>
      <c r="H7381" s="2">
        <f>20</f>
        <v>20</v>
      </c>
      <c r="I7381" t="s">
        <v>27</v>
      </c>
      <c r="J7381" t="s">
        <v>39</v>
      </c>
      <c r="K7381" t="str">
        <f>"131548"</f>
        <v>131548</v>
      </c>
    </row>
    <row r="7382" spans="1:11" x14ac:dyDescent="0.25">
      <c r="A7382">
        <v>2025</v>
      </c>
      <c r="B7382" t="s">
        <v>9709</v>
      </c>
      <c r="C7382" t="s">
        <v>9710</v>
      </c>
      <c r="D7382" t="s">
        <v>19</v>
      </c>
      <c r="E7382" t="s">
        <v>20</v>
      </c>
      <c r="F7382" t="str">
        <f>"43614"</f>
        <v>43614</v>
      </c>
      <c r="G7382" t="str">
        <f>"Je09192025"</f>
        <v>Je09192025</v>
      </c>
      <c r="H7382" s="2">
        <f>73.25</f>
        <v>73.25</v>
      </c>
      <c r="I7382" t="s">
        <v>15</v>
      </c>
      <c r="J7382" t="s">
        <v>563</v>
      </c>
      <c r="K7382" t="str">
        <f>"60164474"</f>
        <v>60164474</v>
      </c>
    </row>
    <row r="7383" spans="1:11" x14ac:dyDescent="0.25">
      <c r="A7383">
        <v>2025</v>
      </c>
      <c r="B7383" t="s">
        <v>9722</v>
      </c>
      <c r="C7383" t="s">
        <v>9723</v>
      </c>
      <c r="D7383" t="s">
        <v>58</v>
      </c>
      <c r="E7383" t="s">
        <v>20</v>
      </c>
      <c r="F7383" t="str">
        <f>"43616-3807"</f>
        <v>43616-3807</v>
      </c>
      <c r="G7383" t="str">
        <f>"753658"</f>
        <v>753658</v>
      </c>
      <c r="H7383" s="2">
        <f>20</f>
        <v>20</v>
      </c>
      <c r="I7383" t="s">
        <v>27</v>
      </c>
      <c r="J7383" t="s">
        <v>39</v>
      </c>
      <c r="K7383" t="str">
        <f>"128381"</f>
        <v>128381</v>
      </c>
    </row>
    <row r="7384" spans="1:11" x14ac:dyDescent="0.25">
      <c r="A7384">
        <v>2025</v>
      </c>
      <c r="B7384" t="s">
        <v>9724</v>
      </c>
      <c r="C7384" t="s">
        <v>9725</v>
      </c>
      <c r="D7384" t="s">
        <v>105</v>
      </c>
      <c r="E7384" t="s">
        <v>20</v>
      </c>
      <c r="F7384" t="str">
        <f>"43528"</f>
        <v>43528</v>
      </c>
      <c r="G7384" t="str">
        <f>"751641"</f>
        <v>751641</v>
      </c>
      <c r="H7384" s="2">
        <f>15</f>
        <v>15</v>
      </c>
      <c r="I7384" t="s">
        <v>27</v>
      </c>
      <c r="J7384" t="s">
        <v>219</v>
      </c>
      <c r="K7384" t="str">
        <f>"22027863"</f>
        <v>22027863</v>
      </c>
    </row>
    <row r="7385" spans="1:11" x14ac:dyDescent="0.25">
      <c r="A7385">
        <v>2025</v>
      </c>
      <c r="B7385" t="s">
        <v>9730</v>
      </c>
      <c r="C7385" t="s">
        <v>9731</v>
      </c>
      <c r="D7385" t="s">
        <v>19</v>
      </c>
      <c r="E7385" t="s">
        <v>20</v>
      </c>
      <c r="F7385" t="str">
        <f>"43607"</f>
        <v>43607</v>
      </c>
      <c r="G7385" t="str">
        <f>"Je04082025"</f>
        <v>Je04082025</v>
      </c>
      <c r="H7385" s="2">
        <f>7</f>
        <v>7</v>
      </c>
      <c r="I7385" t="s">
        <v>15</v>
      </c>
      <c r="J7385" t="s">
        <v>24</v>
      </c>
      <c r="K7385" t="str">
        <f>"60146269"</f>
        <v>60146269</v>
      </c>
    </row>
    <row r="7386" spans="1:11" x14ac:dyDescent="0.25">
      <c r="A7386">
        <v>2025</v>
      </c>
      <c r="B7386" t="s">
        <v>9734</v>
      </c>
      <c r="C7386" t="s">
        <v>9735</v>
      </c>
      <c r="D7386" t="s">
        <v>19</v>
      </c>
      <c r="E7386" t="s">
        <v>20</v>
      </c>
      <c r="F7386" t="str">
        <f>"43606-1379"</f>
        <v>43606-1379</v>
      </c>
      <c r="G7386" t="str">
        <f>"Je12092025"</f>
        <v>Je12092025</v>
      </c>
      <c r="H7386" s="2">
        <f>7.5</f>
        <v>7.5</v>
      </c>
      <c r="I7386" t="s">
        <v>15</v>
      </c>
      <c r="J7386" t="s">
        <v>909</v>
      </c>
      <c r="K7386" t="str">
        <f>"60169552"</f>
        <v>60169552</v>
      </c>
    </row>
    <row r="7387" spans="1:11" x14ac:dyDescent="0.25">
      <c r="A7387">
        <v>2025</v>
      </c>
      <c r="B7387" t="s">
        <v>9750</v>
      </c>
      <c r="C7387" t="s">
        <v>9751</v>
      </c>
      <c r="D7387" t="s">
        <v>19</v>
      </c>
      <c r="E7387" t="s">
        <v>20</v>
      </c>
      <c r="F7387" t="str">
        <f>"43613"</f>
        <v>43613</v>
      </c>
      <c r="G7387" t="str">
        <f>"751639"</f>
        <v>751639</v>
      </c>
      <c r="H7387" s="2">
        <f>13.5</f>
        <v>13.5</v>
      </c>
      <c r="I7387" t="s">
        <v>27</v>
      </c>
      <c r="J7387" t="s">
        <v>96</v>
      </c>
      <c r="K7387" t="str">
        <f>"335003"</f>
        <v>335003</v>
      </c>
    </row>
    <row r="7388" spans="1:11" x14ac:dyDescent="0.25">
      <c r="A7388">
        <v>2025</v>
      </c>
      <c r="B7388" t="s">
        <v>9756</v>
      </c>
      <c r="C7388" t="s">
        <v>9757</v>
      </c>
      <c r="D7388" t="s">
        <v>19</v>
      </c>
      <c r="E7388" t="s">
        <v>20</v>
      </c>
      <c r="F7388" t="str">
        <f>"43623-1105"</f>
        <v>43623-1105</v>
      </c>
      <c r="G7388" t="str">
        <f>"753658"</f>
        <v>753658</v>
      </c>
      <c r="H7388" s="2">
        <f>10</f>
        <v>10</v>
      </c>
      <c r="I7388" t="s">
        <v>27</v>
      </c>
      <c r="J7388" t="s">
        <v>39</v>
      </c>
      <c r="K7388" t="str">
        <f>"130945"</f>
        <v>130945</v>
      </c>
    </row>
    <row r="7389" spans="1:11" x14ac:dyDescent="0.25">
      <c r="A7389">
        <v>2025</v>
      </c>
      <c r="B7389" t="s">
        <v>9762</v>
      </c>
      <c r="C7389" t="s">
        <v>9763</v>
      </c>
      <c r="D7389" t="s">
        <v>19</v>
      </c>
      <c r="E7389" t="s">
        <v>20</v>
      </c>
      <c r="F7389" t="str">
        <f>"43604"</f>
        <v>43604</v>
      </c>
      <c r="G7389" t="str">
        <f>"759796"</f>
        <v>759796</v>
      </c>
      <c r="H7389" s="2">
        <f>2.9</f>
        <v>2.9</v>
      </c>
      <c r="I7389" t="s">
        <v>27</v>
      </c>
      <c r="J7389" t="s">
        <v>188</v>
      </c>
      <c r="K7389" t="str">
        <f>"44633"</f>
        <v>44633</v>
      </c>
    </row>
    <row r="7390" spans="1:11" x14ac:dyDescent="0.25">
      <c r="A7390">
        <v>2025</v>
      </c>
      <c r="B7390" t="s">
        <v>9771</v>
      </c>
      <c r="C7390" t="s">
        <v>9772</v>
      </c>
      <c r="D7390" t="s">
        <v>19</v>
      </c>
      <c r="E7390" t="s">
        <v>20</v>
      </c>
      <c r="F7390" t="str">
        <f>"43606-4003"</f>
        <v>43606-4003</v>
      </c>
      <c r="G7390" t="str">
        <f t="shared" ref="G7390:G7395" si="271">"753658"</f>
        <v>753658</v>
      </c>
      <c r="H7390" s="2">
        <f>10</f>
        <v>10</v>
      </c>
      <c r="I7390" t="s">
        <v>27</v>
      </c>
      <c r="J7390" t="s">
        <v>39</v>
      </c>
      <c r="K7390" t="str">
        <f>"131719"</f>
        <v>131719</v>
      </c>
    </row>
    <row r="7391" spans="1:11" x14ac:dyDescent="0.25">
      <c r="A7391">
        <v>2025</v>
      </c>
      <c r="B7391" t="s">
        <v>9775</v>
      </c>
      <c r="C7391" t="s">
        <v>9776</v>
      </c>
      <c r="D7391" t="s">
        <v>19</v>
      </c>
      <c r="E7391" t="s">
        <v>20</v>
      </c>
      <c r="F7391" t="str">
        <f>"43614-3040"</f>
        <v>43614-3040</v>
      </c>
      <c r="G7391" t="str">
        <f t="shared" si="271"/>
        <v>753658</v>
      </c>
      <c r="H7391" s="2">
        <f>10</f>
        <v>10</v>
      </c>
      <c r="I7391" t="s">
        <v>27</v>
      </c>
      <c r="J7391" t="s">
        <v>39</v>
      </c>
      <c r="K7391" t="str">
        <f>"129056"</f>
        <v>129056</v>
      </c>
    </row>
    <row r="7392" spans="1:11" x14ac:dyDescent="0.25">
      <c r="A7392">
        <v>2025</v>
      </c>
      <c r="B7392" t="s">
        <v>9777</v>
      </c>
      <c r="C7392" t="s">
        <v>9778</v>
      </c>
      <c r="D7392" t="s">
        <v>19</v>
      </c>
      <c r="E7392" t="s">
        <v>20</v>
      </c>
      <c r="F7392" t="str">
        <f>"43613-3029"</f>
        <v>43613-3029</v>
      </c>
      <c r="G7392" t="str">
        <f t="shared" si="271"/>
        <v>753658</v>
      </c>
      <c r="H7392" s="2">
        <f>20</f>
        <v>20</v>
      </c>
      <c r="I7392" t="s">
        <v>27</v>
      </c>
      <c r="J7392" t="s">
        <v>39</v>
      </c>
      <c r="K7392" t="str">
        <f>"126052"</f>
        <v>126052</v>
      </c>
    </row>
    <row r="7393" spans="1:11" x14ac:dyDescent="0.25">
      <c r="A7393">
        <v>2025</v>
      </c>
      <c r="B7393" t="s">
        <v>9781</v>
      </c>
      <c r="C7393" t="s">
        <v>9782</v>
      </c>
      <c r="D7393" t="s">
        <v>105</v>
      </c>
      <c r="E7393" t="s">
        <v>20</v>
      </c>
      <c r="F7393" t="str">
        <f>"43528-9721"</f>
        <v>43528-9721</v>
      </c>
      <c r="G7393" t="str">
        <f t="shared" si="271"/>
        <v>753658</v>
      </c>
      <c r="H7393" s="2">
        <f>20</f>
        <v>20</v>
      </c>
      <c r="I7393" t="s">
        <v>27</v>
      </c>
      <c r="J7393" t="s">
        <v>39</v>
      </c>
      <c r="K7393" t="str">
        <f>"130851"</f>
        <v>130851</v>
      </c>
    </row>
    <row r="7394" spans="1:11" x14ac:dyDescent="0.25">
      <c r="A7394">
        <v>2025</v>
      </c>
      <c r="B7394" t="s">
        <v>9783</v>
      </c>
      <c r="C7394" t="s">
        <v>9784</v>
      </c>
      <c r="D7394" t="s">
        <v>19</v>
      </c>
      <c r="E7394" t="s">
        <v>20</v>
      </c>
      <c r="F7394" t="str">
        <f>"43606"</f>
        <v>43606</v>
      </c>
      <c r="G7394" t="str">
        <f t="shared" si="271"/>
        <v>753658</v>
      </c>
      <c r="H7394" s="2">
        <f>10</f>
        <v>10</v>
      </c>
      <c r="I7394" t="s">
        <v>27</v>
      </c>
      <c r="J7394" t="s">
        <v>39</v>
      </c>
      <c r="K7394" t="str">
        <f>"128992"</f>
        <v>128992</v>
      </c>
    </row>
    <row r="7395" spans="1:11" x14ac:dyDescent="0.25">
      <c r="A7395">
        <v>2025</v>
      </c>
      <c r="B7395" t="s">
        <v>9787</v>
      </c>
      <c r="C7395" t="s">
        <v>9788</v>
      </c>
      <c r="D7395" t="s">
        <v>19</v>
      </c>
      <c r="E7395" t="s">
        <v>20</v>
      </c>
      <c r="F7395" t="str">
        <f>"43609-2126"</f>
        <v>43609-2126</v>
      </c>
      <c r="G7395" t="str">
        <f t="shared" si="271"/>
        <v>753658</v>
      </c>
      <c r="H7395" s="2">
        <f>10</f>
        <v>10</v>
      </c>
      <c r="I7395" t="s">
        <v>27</v>
      </c>
      <c r="J7395" t="s">
        <v>39</v>
      </c>
      <c r="K7395" t="str">
        <f>"129940"</f>
        <v>129940</v>
      </c>
    </row>
    <row r="7396" spans="1:11" x14ac:dyDescent="0.25">
      <c r="A7396">
        <v>2025</v>
      </c>
      <c r="B7396" t="s">
        <v>9795</v>
      </c>
      <c r="C7396" t="s">
        <v>9796</v>
      </c>
      <c r="D7396" t="s">
        <v>125</v>
      </c>
      <c r="E7396" t="s">
        <v>20</v>
      </c>
      <c r="F7396" t="str">
        <f>"43537"</f>
        <v>43537</v>
      </c>
      <c r="G7396" t="str">
        <f>"759797"</f>
        <v>759797</v>
      </c>
      <c r="H7396" s="2">
        <f>31603.51</f>
        <v>31603.51</v>
      </c>
      <c r="I7396" t="s">
        <v>27</v>
      </c>
      <c r="J7396" t="s">
        <v>239</v>
      </c>
      <c r="K7396" t="str">
        <f>"N/A"</f>
        <v>N/A</v>
      </c>
    </row>
    <row r="7397" spans="1:11" x14ac:dyDescent="0.25">
      <c r="A7397">
        <v>2025</v>
      </c>
      <c r="B7397" t="s">
        <v>9799</v>
      </c>
      <c r="C7397" t="s">
        <v>9800</v>
      </c>
      <c r="D7397" t="s">
        <v>125</v>
      </c>
      <c r="E7397" t="s">
        <v>20</v>
      </c>
      <c r="F7397" t="str">
        <f>"43537-2919"</f>
        <v>43537-2919</v>
      </c>
      <c r="G7397" t="str">
        <f t="shared" ref="G7397:G7402" si="272">"753658"</f>
        <v>753658</v>
      </c>
      <c r="H7397" s="2">
        <f>20</f>
        <v>20</v>
      </c>
      <c r="I7397" t="s">
        <v>27</v>
      </c>
      <c r="J7397" t="s">
        <v>39</v>
      </c>
      <c r="K7397" t="str">
        <f>"128410"</f>
        <v>128410</v>
      </c>
    </row>
    <row r="7398" spans="1:11" x14ac:dyDescent="0.25">
      <c r="A7398">
        <v>2025</v>
      </c>
      <c r="B7398" t="s">
        <v>9801</v>
      </c>
      <c r="C7398" t="s">
        <v>9802</v>
      </c>
      <c r="D7398" t="s">
        <v>125</v>
      </c>
      <c r="E7398" t="s">
        <v>20</v>
      </c>
      <c r="F7398" t="str">
        <f>"43537-3542"</f>
        <v>43537-3542</v>
      </c>
      <c r="G7398" t="str">
        <f t="shared" si="272"/>
        <v>753658</v>
      </c>
      <c r="H7398" s="2">
        <f>10</f>
        <v>10</v>
      </c>
      <c r="I7398" t="s">
        <v>27</v>
      </c>
      <c r="J7398" t="s">
        <v>39</v>
      </c>
      <c r="K7398" t="str">
        <f>"125221"</f>
        <v>125221</v>
      </c>
    </row>
    <row r="7399" spans="1:11" x14ac:dyDescent="0.25">
      <c r="A7399">
        <v>2025</v>
      </c>
      <c r="B7399" t="s">
        <v>9803</v>
      </c>
      <c r="C7399" t="s">
        <v>9804</v>
      </c>
      <c r="D7399" t="s">
        <v>19</v>
      </c>
      <c r="E7399" t="s">
        <v>20</v>
      </c>
      <c r="F7399" t="str">
        <f>"43623-4002"</f>
        <v>43623-4002</v>
      </c>
      <c r="G7399" t="str">
        <f t="shared" si="272"/>
        <v>753658</v>
      </c>
      <c r="H7399" s="2">
        <f>10</f>
        <v>10</v>
      </c>
      <c r="I7399" t="s">
        <v>27</v>
      </c>
      <c r="J7399" t="s">
        <v>39</v>
      </c>
      <c r="K7399" t="str">
        <f>"128222"</f>
        <v>128222</v>
      </c>
    </row>
    <row r="7400" spans="1:11" x14ac:dyDescent="0.25">
      <c r="A7400">
        <v>2025</v>
      </c>
      <c r="B7400" t="s">
        <v>9817</v>
      </c>
      <c r="C7400" t="s">
        <v>9818</v>
      </c>
      <c r="D7400" t="s">
        <v>19</v>
      </c>
      <c r="E7400" t="s">
        <v>20</v>
      </c>
      <c r="F7400" t="str">
        <f>"43605-3129"</f>
        <v>43605-3129</v>
      </c>
      <c r="G7400" t="str">
        <f t="shared" si="272"/>
        <v>753658</v>
      </c>
      <c r="H7400" s="2">
        <f>10</f>
        <v>10</v>
      </c>
      <c r="I7400" t="s">
        <v>27</v>
      </c>
      <c r="J7400" t="s">
        <v>39</v>
      </c>
      <c r="K7400" t="str">
        <f>"128973"</f>
        <v>128973</v>
      </c>
    </row>
    <row r="7401" spans="1:11" x14ac:dyDescent="0.25">
      <c r="A7401">
        <v>2025</v>
      </c>
      <c r="B7401" t="s">
        <v>9840</v>
      </c>
      <c r="C7401" t="s">
        <v>9841</v>
      </c>
      <c r="D7401" t="s">
        <v>19</v>
      </c>
      <c r="E7401" t="s">
        <v>20</v>
      </c>
      <c r="F7401" t="str">
        <f>"43612-4420"</f>
        <v>43612-4420</v>
      </c>
      <c r="G7401" t="str">
        <f t="shared" si="272"/>
        <v>753658</v>
      </c>
      <c r="H7401" s="2">
        <f>20</f>
        <v>20</v>
      </c>
      <c r="I7401" t="s">
        <v>27</v>
      </c>
      <c r="J7401" t="s">
        <v>39</v>
      </c>
      <c r="K7401" t="str">
        <f>"130088"</f>
        <v>130088</v>
      </c>
    </row>
    <row r="7402" spans="1:11" x14ac:dyDescent="0.25">
      <c r="A7402">
        <v>2025</v>
      </c>
      <c r="B7402" t="s">
        <v>9858</v>
      </c>
      <c r="C7402" t="s">
        <v>9859</v>
      </c>
      <c r="D7402" t="s">
        <v>64</v>
      </c>
      <c r="E7402" t="s">
        <v>20</v>
      </c>
      <c r="F7402" t="str">
        <f>"43566"</f>
        <v>43566</v>
      </c>
      <c r="G7402" t="str">
        <f t="shared" si="272"/>
        <v>753658</v>
      </c>
      <c r="H7402" s="2">
        <f>10</f>
        <v>10</v>
      </c>
      <c r="I7402" t="s">
        <v>27</v>
      </c>
      <c r="J7402" t="s">
        <v>39</v>
      </c>
      <c r="K7402" t="str">
        <f>"126109"</f>
        <v>126109</v>
      </c>
    </row>
    <row r="7403" spans="1:11" x14ac:dyDescent="0.25">
      <c r="A7403">
        <v>2025</v>
      </c>
      <c r="B7403" t="s">
        <v>9875</v>
      </c>
      <c r="C7403" t="s">
        <v>9876</v>
      </c>
      <c r="D7403" t="s">
        <v>58</v>
      </c>
      <c r="E7403" t="s">
        <v>20</v>
      </c>
      <c r="F7403" t="str">
        <f>"43616"</f>
        <v>43616</v>
      </c>
      <c r="G7403" t="str">
        <f>"759797"</f>
        <v>759797</v>
      </c>
      <c r="H7403" s="2">
        <f>1227.33</f>
        <v>1227.33</v>
      </c>
      <c r="I7403" t="s">
        <v>27</v>
      </c>
      <c r="J7403" t="s">
        <v>239</v>
      </c>
      <c r="K7403" t="str">
        <f>"N/A"</f>
        <v>N/A</v>
      </c>
    </row>
    <row r="7404" spans="1:11" x14ac:dyDescent="0.25">
      <c r="A7404">
        <v>2025</v>
      </c>
      <c r="B7404" t="s">
        <v>9889</v>
      </c>
      <c r="C7404" t="s">
        <v>9890</v>
      </c>
      <c r="D7404" t="s">
        <v>19</v>
      </c>
      <c r="E7404" t="s">
        <v>20</v>
      </c>
      <c r="F7404" t="str">
        <f>"43606"</f>
        <v>43606</v>
      </c>
      <c r="G7404" t="str">
        <f>"751641"</f>
        <v>751641</v>
      </c>
      <c r="H7404" s="2">
        <f>3</f>
        <v>3</v>
      </c>
      <c r="I7404" t="s">
        <v>27</v>
      </c>
      <c r="J7404" t="s">
        <v>219</v>
      </c>
      <c r="K7404" t="str">
        <f>"11004651"</f>
        <v>11004651</v>
      </c>
    </row>
    <row r="7405" spans="1:11" x14ac:dyDescent="0.25">
      <c r="A7405">
        <v>2025</v>
      </c>
      <c r="B7405" t="s">
        <v>9916</v>
      </c>
      <c r="C7405" t="s">
        <v>9911</v>
      </c>
      <c r="D7405" t="s">
        <v>4271</v>
      </c>
      <c r="E7405" t="s">
        <v>14</v>
      </c>
      <c r="F7405" t="str">
        <f>"48144"</f>
        <v>48144</v>
      </c>
      <c r="G7405" t="str">
        <f>"740128"</f>
        <v>740128</v>
      </c>
      <c r="H7405" s="2">
        <f>28.15</f>
        <v>28.15</v>
      </c>
      <c r="I7405" t="s">
        <v>148</v>
      </c>
      <c r="J7405" t="s">
        <v>9917</v>
      </c>
      <c r="K7405" t="str">
        <f>"27417"</f>
        <v>27417</v>
      </c>
    </row>
    <row r="7406" spans="1:11" x14ac:dyDescent="0.25">
      <c r="A7406">
        <v>2025</v>
      </c>
      <c r="B7406" t="s">
        <v>9920</v>
      </c>
      <c r="C7406" t="s">
        <v>9921</v>
      </c>
      <c r="D7406" t="s">
        <v>19</v>
      </c>
      <c r="E7406" t="s">
        <v>20</v>
      </c>
      <c r="F7406" t="str">
        <f>"43615-2613"</f>
        <v>43615-2613</v>
      </c>
      <c r="G7406" t="str">
        <f>"753658"</f>
        <v>753658</v>
      </c>
      <c r="H7406" s="2">
        <f>20</f>
        <v>20</v>
      </c>
      <c r="I7406" t="s">
        <v>27</v>
      </c>
      <c r="J7406" t="s">
        <v>39</v>
      </c>
      <c r="K7406" t="str">
        <f>"126640"</f>
        <v>126640</v>
      </c>
    </row>
    <row r="7407" spans="1:11" x14ac:dyDescent="0.25">
      <c r="A7407">
        <v>2025</v>
      </c>
      <c r="B7407" t="s">
        <v>9922</v>
      </c>
      <c r="C7407" t="s">
        <v>9923</v>
      </c>
      <c r="D7407" t="s">
        <v>19</v>
      </c>
      <c r="E7407" t="s">
        <v>20</v>
      </c>
      <c r="F7407" t="str">
        <f>"43606"</f>
        <v>43606</v>
      </c>
      <c r="G7407" t="str">
        <f>"753658"</f>
        <v>753658</v>
      </c>
      <c r="H7407" s="2">
        <f>10</f>
        <v>10</v>
      </c>
      <c r="I7407" t="s">
        <v>27</v>
      </c>
      <c r="J7407" t="s">
        <v>39</v>
      </c>
      <c r="K7407" t="str">
        <f>"125549"</f>
        <v>125549</v>
      </c>
    </row>
    <row r="7408" spans="1:11" x14ac:dyDescent="0.25">
      <c r="A7408">
        <v>2025</v>
      </c>
      <c r="B7408" t="s">
        <v>9948</v>
      </c>
      <c r="C7408" t="s">
        <v>9949</v>
      </c>
      <c r="D7408" t="s">
        <v>19</v>
      </c>
      <c r="E7408" t="s">
        <v>20</v>
      </c>
      <c r="F7408" t="str">
        <f>"43612-3018"</f>
        <v>43612-3018</v>
      </c>
      <c r="G7408" t="str">
        <f>"753658"</f>
        <v>753658</v>
      </c>
      <c r="H7408" s="2">
        <f>10</f>
        <v>10</v>
      </c>
      <c r="I7408" t="s">
        <v>27</v>
      </c>
      <c r="J7408" t="s">
        <v>39</v>
      </c>
      <c r="K7408" t="str">
        <f>"130956"</f>
        <v>130956</v>
      </c>
    </row>
    <row r="7409" spans="1:11" x14ac:dyDescent="0.25">
      <c r="A7409">
        <v>2025</v>
      </c>
      <c r="B7409" t="s">
        <v>9950</v>
      </c>
      <c r="C7409" t="s">
        <v>9951</v>
      </c>
      <c r="D7409" t="s">
        <v>125</v>
      </c>
      <c r="E7409" t="s">
        <v>20</v>
      </c>
      <c r="F7409" t="str">
        <f>"43537-2327"</f>
        <v>43537-2327</v>
      </c>
      <c r="G7409" t="str">
        <f>"753658"</f>
        <v>753658</v>
      </c>
      <c r="H7409" s="2">
        <f>30</f>
        <v>30</v>
      </c>
      <c r="I7409" t="s">
        <v>27</v>
      </c>
      <c r="J7409" t="s">
        <v>39</v>
      </c>
      <c r="K7409" t="str">
        <f>"132022"</f>
        <v>132022</v>
      </c>
    </row>
    <row r="7410" spans="1:11" x14ac:dyDescent="0.25">
      <c r="A7410">
        <v>2025</v>
      </c>
      <c r="B7410" t="s">
        <v>9967</v>
      </c>
      <c r="C7410" t="s">
        <v>9968</v>
      </c>
      <c r="D7410" t="s">
        <v>50</v>
      </c>
      <c r="E7410" t="s">
        <v>20</v>
      </c>
      <c r="F7410" t="str">
        <f>"43560-8200"</f>
        <v>43560-8200</v>
      </c>
      <c r="G7410" t="str">
        <f>"753658"</f>
        <v>753658</v>
      </c>
      <c r="H7410" s="2">
        <f>10</f>
        <v>10</v>
      </c>
      <c r="I7410" t="s">
        <v>27</v>
      </c>
      <c r="J7410" t="s">
        <v>39</v>
      </c>
      <c r="K7410" t="str">
        <f>"126227"</f>
        <v>126227</v>
      </c>
    </row>
    <row r="7411" spans="1:11" x14ac:dyDescent="0.25">
      <c r="A7411">
        <v>2025</v>
      </c>
      <c r="B7411" t="s">
        <v>9969</v>
      </c>
      <c r="C7411" t="s">
        <v>9970</v>
      </c>
      <c r="D7411" t="s">
        <v>19</v>
      </c>
      <c r="E7411" t="s">
        <v>20</v>
      </c>
      <c r="F7411" t="str">
        <f>"43617"</f>
        <v>43617</v>
      </c>
      <c r="G7411" t="str">
        <f>"740128"</f>
        <v>740128</v>
      </c>
      <c r="H7411" s="2">
        <f>88</f>
        <v>88</v>
      </c>
      <c r="I7411" t="s">
        <v>148</v>
      </c>
      <c r="J7411" t="s">
        <v>9971</v>
      </c>
      <c r="K7411" t="str">
        <f>"27417"</f>
        <v>27417</v>
      </c>
    </row>
    <row r="7412" spans="1:11" x14ac:dyDescent="0.25">
      <c r="A7412">
        <v>2025</v>
      </c>
      <c r="B7412" t="s">
        <v>9972</v>
      </c>
      <c r="C7412" t="s">
        <v>9973</v>
      </c>
      <c r="D7412" t="s">
        <v>125</v>
      </c>
      <c r="E7412" t="s">
        <v>20</v>
      </c>
      <c r="F7412" t="str">
        <f>"43537-3411"</f>
        <v>43537-3411</v>
      </c>
      <c r="G7412" t="str">
        <f>"753658"</f>
        <v>753658</v>
      </c>
      <c r="H7412" s="2">
        <f>10</f>
        <v>10</v>
      </c>
      <c r="I7412" t="s">
        <v>27</v>
      </c>
      <c r="J7412" t="s">
        <v>39</v>
      </c>
      <c r="K7412" t="str">
        <f>"125836"</f>
        <v>125836</v>
      </c>
    </row>
    <row r="7413" spans="1:11" x14ac:dyDescent="0.25">
      <c r="A7413">
        <v>2025</v>
      </c>
      <c r="B7413" t="s">
        <v>9980</v>
      </c>
      <c r="C7413" t="s">
        <v>9981</v>
      </c>
      <c r="D7413" t="s">
        <v>19</v>
      </c>
      <c r="E7413" t="s">
        <v>20</v>
      </c>
      <c r="F7413" t="str">
        <f>"43623"</f>
        <v>43623</v>
      </c>
      <c r="G7413" t="str">
        <f>"759797"</f>
        <v>759797</v>
      </c>
      <c r="H7413" s="2">
        <f>32.25</f>
        <v>32.25</v>
      </c>
      <c r="I7413" t="s">
        <v>27</v>
      </c>
      <c r="J7413" t="s">
        <v>239</v>
      </c>
      <c r="K7413" t="str">
        <f>"N/A"</f>
        <v>N/A</v>
      </c>
    </row>
    <row r="7414" spans="1:11" x14ac:dyDescent="0.25">
      <c r="A7414">
        <v>2025</v>
      </c>
      <c r="B7414" t="s">
        <v>9986</v>
      </c>
      <c r="C7414" t="s">
        <v>9987</v>
      </c>
      <c r="D7414" t="s">
        <v>19</v>
      </c>
      <c r="E7414" t="s">
        <v>20</v>
      </c>
      <c r="F7414" t="str">
        <f>"43606-3213"</f>
        <v>43606-3213</v>
      </c>
      <c r="G7414" t="str">
        <f>"753658"</f>
        <v>753658</v>
      </c>
      <c r="H7414" s="2">
        <f>10</f>
        <v>10</v>
      </c>
      <c r="I7414" t="s">
        <v>27</v>
      </c>
      <c r="J7414" t="s">
        <v>39</v>
      </c>
      <c r="K7414" t="str">
        <f>"128958"</f>
        <v>128958</v>
      </c>
    </row>
    <row r="7415" spans="1:11" x14ac:dyDescent="0.25">
      <c r="A7415">
        <v>2025</v>
      </c>
      <c r="B7415" t="s">
        <v>9988</v>
      </c>
      <c r="C7415" t="s">
        <v>9989</v>
      </c>
      <c r="D7415" t="s">
        <v>497</v>
      </c>
      <c r="E7415" t="s">
        <v>20</v>
      </c>
      <c r="F7415" t="str">
        <f>"43606"</f>
        <v>43606</v>
      </c>
      <c r="G7415" t="str">
        <f>"753658"</f>
        <v>753658</v>
      </c>
      <c r="H7415" s="2">
        <f>10</f>
        <v>10</v>
      </c>
      <c r="I7415" t="s">
        <v>27</v>
      </c>
      <c r="J7415" t="s">
        <v>39</v>
      </c>
      <c r="K7415" t="str">
        <f>"129100"</f>
        <v>129100</v>
      </c>
    </row>
    <row r="7416" spans="1:11" x14ac:dyDescent="0.25">
      <c r="A7416">
        <v>2025</v>
      </c>
      <c r="B7416" t="s">
        <v>9992</v>
      </c>
      <c r="C7416" t="s">
        <v>9993</v>
      </c>
      <c r="D7416" t="s">
        <v>19</v>
      </c>
      <c r="E7416" t="s">
        <v>20</v>
      </c>
      <c r="F7416" t="str">
        <f>"43611-3610"</f>
        <v>43611-3610</v>
      </c>
      <c r="G7416" t="str">
        <f>"753658"</f>
        <v>753658</v>
      </c>
      <c r="H7416" s="2">
        <f>10</f>
        <v>10</v>
      </c>
      <c r="I7416" t="s">
        <v>27</v>
      </c>
      <c r="J7416" t="s">
        <v>39</v>
      </c>
      <c r="K7416" t="str">
        <f>"126356"</f>
        <v>126356</v>
      </c>
    </row>
    <row r="7417" spans="1:11" x14ac:dyDescent="0.25">
      <c r="A7417">
        <v>2025</v>
      </c>
      <c r="B7417" t="s">
        <v>10004</v>
      </c>
      <c r="C7417" t="s">
        <v>10005</v>
      </c>
      <c r="D7417" t="s">
        <v>1074</v>
      </c>
      <c r="E7417" t="s">
        <v>20</v>
      </c>
      <c r="F7417" t="str">
        <f>"43551"</f>
        <v>43551</v>
      </c>
      <c r="G7417" t="str">
        <f>"776047"</f>
        <v>776047</v>
      </c>
      <c r="H7417" s="2">
        <f>171.42</f>
        <v>171.42</v>
      </c>
      <c r="I7417" t="s">
        <v>1416</v>
      </c>
      <c r="J7417" t="s">
        <v>1417</v>
      </c>
      <c r="K7417" t="str">
        <f>"28093"</f>
        <v>28093</v>
      </c>
    </row>
    <row r="7418" spans="1:11" x14ac:dyDescent="0.25">
      <c r="A7418">
        <v>2025</v>
      </c>
      <c r="B7418" t="s">
        <v>10020</v>
      </c>
      <c r="C7418" t="s">
        <v>3412</v>
      </c>
      <c r="D7418" t="s">
        <v>125</v>
      </c>
      <c r="E7418" t="s">
        <v>20</v>
      </c>
      <c r="F7418" t="str">
        <f>"43537"</f>
        <v>43537</v>
      </c>
      <c r="G7418" t="str">
        <f>"759796"</f>
        <v>759796</v>
      </c>
      <c r="H7418" s="2">
        <f>11.69</f>
        <v>11.69</v>
      </c>
      <c r="I7418" t="s">
        <v>27</v>
      </c>
      <c r="J7418" t="s">
        <v>188</v>
      </c>
      <c r="K7418" t="str">
        <f>"46357"</f>
        <v>46357</v>
      </c>
    </row>
    <row r="7419" spans="1:11" x14ac:dyDescent="0.25">
      <c r="A7419">
        <v>2025</v>
      </c>
      <c r="B7419" t="s">
        <v>10021</v>
      </c>
      <c r="C7419" t="s">
        <v>10022</v>
      </c>
      <c r="D7419" t="s">
        <v>19</v>
      </c>
      <c r="E7419" t="s">
        <v>20</v>
      </c>
      <c r="F7419" t="str">
        <f>"43615-2545"</f>
        <v>43615-2545</v>
      </c>
      <c r="G7419" t="str">
        <f>"753658"</f>
        <v>753658</v>
      </c>
      <c r="H7419" s="2">
        <f>10</f>
        <v>10</v>
      </c>
      <c r="I7419" t="s">
        <v>27</v>
      </c>
      <c r="J7419" t="s">
        <v>39</v>
      </c>
      <c r="K7419" t="str">
        <f>"129031"</f>
        <v>129031</v>
      </c>
    </row>
    <row r="7420" spans="1:11" x14ac:dyDescent="0.25">
      <c r="A7420">
        <v>2025</v>
      </c>
      <c r="B7420" t="s">
        <v>10030</v>
      </c>
      <c r="C7420" t="s">
        <v>1004</v>
      </c>
      <c r="D7420" t="s">
        <v>1005</v>
      </c>
      <c r="E7420" t="s">
        <v>20</v>
      </c>
      <c r="F7420" t="str">
        <f>"44139"</f>
        <v>44139</v>
      </c>
      <c r="G7420" t="str">
        <f>"759796"</f>
        <v>759796</v>
      </c>
      <c r="H7420" s="2">
        <f>203.6</f>
        <v>203.6</v>
      </c>
      <c r="I7420" t="s">
        <v>27</v>
      </c>
      <c r="J7420" t="s">
        <v>188</v>
      </c>
      <c r="K7420" t="str">
        <f>"45271"</f>
        <v>45271</v>
      </c>
    </row>
    <row r="7421" spans="1:11" x14ac:dyDescent="0.25">
      <c r="A7421">
        <v>2025</v>
      </c>
      <c r="B7421" t="s">
        <v>10031</v>
      </c>
      <c r="C7421" t="s">
        <v>1933</v>
      </c>
      <c r="D7421" t="s">
        <v>1163</v>
      </c>
      <c r="E7421" t="s">
        <v>20</v>
      </c>
      <c r="F7421" t="str">
        <f>"45243"</f>
        <v>45243</v>
      </c>
      <c r="G7421" t="str">
        <f>"759796"</f>
        <v>759796</v>
      </c>
      <c r="H7421" s="2">
        <f>550</f>
        <v>550</v>
      </c>
      <c r="I7421" t="s">
        <v>27</v>
      </c>
      <c r="J7421" t="s">
        <v>188</v>
      </c>
      <c r="K7421" t="str">
        <f>"44128"</f>
        <v>44128</v>
      </c>
    </row>
    <row r="7422" spans="1:11" x14ac:dyDescent="0.25">
      <c r="A7422">
        <v>2025</v>
      </c>
      <c r="B7422" t="s">
        <v>10031</v>
      </c>
      <c r="C7422" t="s">
        <v>1004</v>
      </c>
      <c r="D7422" t="s">
        <v>1005</v>
      </c>
      <c r="E7422" t="s">
        <v>20</v>
      </c>
      <c r="F7422" t="str">
        <f>"44139"</f>
        <v>44139</v>
      </c>
      <c r="G7422" t="str">
        <f>"759796"</f>
        <v>759796</v>
      </c>
      <c r="H7422" s="2">
        <f>146.35</f>
        <v>146.35</v>
      </c>
      <c r="I7422" t="s">
        <v>27</v>
      </c>
      <c r="J7422" t="s">
        <v>188</v>
      </c>
      <c r="K7422" t="str">
        <f>"46679"</f>
        <v>46679</v>
      </c>
    </row>
    <row r="7423" spans="1:11" x14ac:dyDescent="0.25">
      <c r="A7423">
        <v>2025</v>
      </c>
      <c r="B7423" t="s">
        <v>10031</v>
      </c>
      <c r="C7423" t="s">
        <v>1933</v>
      </c>
      <c r="D7423" t="s">
        <v>10032</v>
      </c>
      <c r="E7423" t="s">
        <v>20</v>
      </c>
      <c r="F7423" t="str">
        <f>"45243"</f>
        <v>45243</v>
      </c>
      <c r="G7423" t="str">
        <f>"759796"</f>
        <v>759796</v>
      </c>
      <c r="H7423" s="2">
        <f>198.05</f>
        <v>198.05</v>
      </c>
      <c r="I7423" t="s">
        <v>27</v>
      </c>
      <c r="J7423" t="s">
        <v>188</v>
      </c>
      <c r="K7423" t="str">
        <f>"43925"</f>
        <v>43925</v>
      </c>
    </row>
    <row r="7424" spans="1:11" x14ac:dyDescent="0.25">
      <c r="A7424">
        <v>2025</v>
      </c>
      <c r="B7424" t="s">
        <v>10033</v>
      </c>
      <c r="C7424" t="s">
        <v>1004</v>
      </c>
      <c r="D7424" t="s">
        <v>1005</v>
      </c>
      <c r="E7424" t="s">
        <v>20</v>
      </c>
      <c r="F7424" t="str">
        <f>"44139"</f>
        <v>44139</v>
      </c>
      <c r="G7424" t="str">
        <f>"759796"</f>
        <v>759796</v>
      </c>
      <c r="H7424" s="2">
        <f>184.36</f>
        <v>184.36</v>
      </c>
      <c r="I7424" t="s">
        <v>27</v>
      </c>
      <c r="J7424" t="s">
        <v>188</v>
      </c>
      <c r="K7424" t="str">
        <f>"46665"</f>
        <v>46665</v>
      </c>
    </row>
    <row r="7425" spans="1:11" x14ac:dyDescent="0.25">
      <c r="A7425">
        <v>2025</v>
      </c>
      <c r="B7425" t="s">
        <v>10095</v>
      </c>
      <c r="C7425" t="s">
        <v>10096</v>
      </c>
      <c r="D7425" t="s">
        <v>19</v>
      </c>
      <c r="E7425" t="s">
        <v>20</v>
      </c>
      <c r="F7425" t="str">
        <f>"43620-1261"</f>
        <v>43620-1261</v>
      </c>
      <c r="G7425" t="str">
        <f t="shared" ref="G7425:G7436" si="273">"753658"</f>
        <v>753658</v>
      </c>
      <c r="H7425" s="2">
        <f>60</f>
        <v>60</v>
      </c>
      <c r="I7425" t="s">
        <v>27</v>
      </c>
      <c r="J7425" t="s">
        <v>39</v>
      </c>
      <c r="K7425" t="str">
        <f>"131753"</f>
        <v>131753</v>
      </c>
    </row>
    <row r="7426" spans="1:11" x14ac:dyDescent="0.25">
      <c r="A7426">
        <v>2025</v>
      </c>
      <c r="B7426" t="s">
        <v>10099</v>
      </c>
      <c r="C7426" t="s">
        <v>10100</v>
      </c>
      <c r="D7426" t="s">
        <v>19</v>
      </c>
      <c r="E7426" t="s">
        <v>20</v>
      </c>
      <c r="F7426" t="str">
        <f>"43612-1208"</f>
        <v>43612-1208</v>
      </c>
      <c r="G7426" t="str">
        <f t="shared" si="273"/>
        <v>753658</v>
      </c>
      <c r="H7426" s="2">
        <f>10</f>
        <v>10</v>
      </c>
      <c r="I7426" t="s">
        <v>27</v>
      </c>
      <c r="J7426" t="s">
        <v>39</v>
      </c>
      <c r="K7426" t="str">
        <f>"126357"</f>
        <v>126357</v>
      </c>
    </row>
    <row r="7427" spans="1:11" x14ac:dyDescent="0.25">
      <c r="A7427">
        <v>2025</v>
      </c>
      <c r="B7427" t="s">
        <v>10110</v>
      </c>
      <c r="C7427" t="s">
        <v>10111</v>
      </c>
      <c r="D7427" t="s">
        <v>125</v>
      </c>
      <c r="E7427" t="s">
        <v>20</v>
      </c>
      <c r="F7427" t="str">
        <f>"43537-8700"</f>
        <v>43537-8700</v>
      </c>
      <c r="G7427" t="str">
        <f t="shared" si="273"/>
        <v>753658</v>
      </c>
      <c r="H7427" s="2">
        <f>10</f>
        <v>10</v>
      </c>
      <c r="I7427" t="s">
        <v>27</v>
      </c>
      <c r="J7427" t="s">
        <v>39</v>
      </c>
      <c r="K7427" t="str">
        <f>"126317"</f>
        <v>126317</v>
      </c>
    </row>
    <row r="7428" spans="1:11" x14ac:dyDescent="0.25">
      <c r="A7428">
        <v>2025</v>
      </c>
      <c r="B7428" t="s">
        <v>10112</v>
      </c>
      <c r="C7428" t="s">
        <v>10113</v>
      </c>
      <c r="D7428" t="s">
        <v>164</v>
      </c>
      <c r="E7428" t="s">
        <v>20</v>
      </c>
      <c r="F7428" t="str">
        <f>"43558-9165"</f>
        <v>43558-9165</v>
      </c>
      <c r="G7428" t="str">
        <f t="shared" si="273"/>
        <v>753658</v>
      </c>
      <c r="H7428" s="2">
        <f>10</f>
        <v>10</v>
      </c>
      <c r="I7428" t="s">
        <v>27</v>
      </c>
      <c r="J7428" t="s">
        <v>39</v>
      </c>
      <c r="K7428" t="str">
        <f>"128911"</f>
        <v>128911</v>
      </c>
    </row>
    <row r="7429" spans="1:11" x14ac:dyDescent="0.25">
      <c r="A7429">
        <v>2025</v>
      </c>
      <c r="B7429" t="s">
        <v>10124</v>
      </c>
      <c r="C7429" t="s">
        <v>10125</v>
      </c>
      <c r="D7429" t="s">
        <v>125</v>
      </c>
      <c r="E7429" t="s">
        <v>20</v>
      </c>
      <c r="F7429" t="str">
        <f>"43537-2433"</f>
        <v>43537-2433</v>
      </c>
      <c r="G7429" t="str">
        <f t="shared" si="273"/>
        <v>753658</v>
      </c>
      <c r="H7429" s="2">
        <f>20</f>
        <v>20</v>
      </c>
      <c r="I7429" t="s">
        <v>27</v>
      </c>
      <c r="J7429" t="s">
        <v>39</v>
      </c>
      <c r="K7429" t="str">
        <f>"128314"</f>
        <v>128314</v>
      </c>
    </row>
    <row r="7430" spans="1:11" x14ac:dyDescent="0.25">
      <c r="A7430">
        <v>2025</v>
      </c>
      <c r="B7430" t="s">
        <v>10130</v>
      </c>
      <c r="C7430" t="s">
        <v>10131</v>
      </c>
      <c r="D7430" t="s">
        <v>19</v>
      </c>
      <c r="E7430" t="s">
        <v>20</v>
      </c>
      <c r="F7430" t="str">
        <f>"43614-2568"</f>
        <v>43614-2568</v>
      </c>
      <c r="G7430" t="str">
        <f t="shared" si="273"/>
        <v>753658</v>
      </c>
      <c r="H7430" s="2">
        <f>30</f>
        <v>30</v>
      </c>
      <c r="I7430" t="s">
        <v>27</v>
      </c>
      <c r="J7430" t="s">
        <v>39</v>
      </c>
      <c r="K7430" t="str">
        <f>"130035"</f>
        <v>130035</v>
      </c>
    </row>
    <row r="7431" spans="1:11" x14ac:dyDescent="0.25">
      <c r="A7431">
        <v>2025</v>
      </c>
      <c r="B7431" t="s">
        <v>10139</v>
      </c>
      <c r="C7431" t="s">
        <v>10140</v>
      </c>
      <c r="D7431" t="s">
        <v>19</v>
      </c>
      <c r="E7431" t="s">
        <v>20</v>
      </c>
      <c r="F7431" t="str">
        <f>"43607-3310"</f>
        <v>43607-3310</v>
      </c>
      <c r="G7431" t="str">
        <f t="shared" si="273"/>
        <v>753658</v>
      </c>
      <c r="H7431" s="2">
        <f>10</f>
        <v>10</v>
      </c>
      <c r="I7431" t="s">
        <v>27</v>
      </c>
      <c r="J7431" t="s">
        <v>39</v>
      </c>
      <c r="K7431" t="str">
        <f>"127144"</f>
        <v>127144</v>
      </c>
    </row>
    <row r="7432" spans="1:11" x14ac:dyDescent="0.25">
      <c r="A7432">
        <v>2025</v>
      </c>
      <c r="B7432" t="s">
        <v>10141</v>
      </c>
      <c r="C7432" t="s">
        <v>10142</v>
      </c>
      <c r="D7432" t="s">
        <v>19</v>
      </c>
      <c r="E7432" t="s">
        <v>20</v>
      </c>
      <c r="F7432" t="str">
        <f>"43607-2227"</f>
        <v>43607-2227</v>
      </c>
      <c r="G7432" t="str">
        <f t="shared" si="273"/>
        <v>753658</v>
      </c>
      <c r="H7432" s="2">
        <f>30</f>
        <v>30</v>
      </c>
      <c r="I7432" t="s">
        <v>27</v>
      </c>
      <c r="J7432" t="s">
        <v>39</v>
      </c>
      <c r="K7432" t="str">
        <f>"131391"</f>
        <v>131391</v>
      </c>
    </row>
    <row r="7433" spans="1:11" x14ac:dyDescent="0.25">
      <c r="A7433">
        <v>2025</v>
      </c>
      <c r="B7433" t="s">
        <v>10155</v>
      </c>
      <c r="C7433" t="s">
        <v>10156</v>
      </c>
      <c r="D7433" t="s">
        <v>19</v>
      </c>
      <c r="E7433" t="s">
        <v>20</v>
      </c>
      <c r="F7433" t="str">
        <f>"43606-3414"</f>
        <v>43606-3414</v>
      </c>
      <c r="G7433" t="str">
        <f t="shared" si="273"/>
        <v>753658</v>
      </c>
      <c r="H7433" s="2">
        <f>10</f>
        <v>10</v>
      </c>
      <c r="I7433" t="s">
        <v>27</v>
      </c>
      <c r="J7433" t="s">
        <v>39</v>
      </c>
      <c r="K7433" t="str">
        <f>"129941"</f>
        <v>129941</v>
      </c>
    </row>
    <row r="7434" spans="1:11" x14ac:dyDescent="0.25">
      <c r="A7434">
        <v>2025</v>
      </c>
      <c r="B7434" t="s">
        <v>10163</v>
      </c>
      <c r="C7434" t="s">
        <v>10164</v>
      </c>
      <c r="D7434" t="s">
        <v>50</v>
      </c>
      <c r="E7434" t="s">
        <v>20</v>
      </c>
      <c r="F7434" t="str">
        <f>"43560-1573"</f>
        <v>43560-1573</v>
      </c>
      <c r="G7434" t="str">
        <f t="shared" si="273"/>
        <v>753658</v>
      </c>
      <c r="H7434" s="2">
        <f>10</f>
        <v>10</v>
      </c>
      <c r="I7434" t="s">
        <v>27</v>
      </c>
      <c r="J7434" t="s">
        <v>39</v>
      </c>
      <c r="K7434" t="str">
        <f>"126759"</f>
        <v>126759</v>
      </c>
    </row>
    <row r="7435" spans="1:11" x14ac:dyDescent="0.25">
      <c r="A7435">
        <v>2025</v>
      </c>
      <c r="B7435" t="s">
        <v>10167</v>
      </c>
      <c r="C7435" t="s">
        <v>10168</v>
      </c>
      <c r="D7435" t="s">
        <v>19</v>
      </c>
      <c r="E7435" t="s">
        <v>20</v>
      </c>
      <c r="F7435" t="str">
        <f>"43615-7674"</f>
        <v>43615-7674</v>
      </c>
      <c r="G7435" t="str">
        <f t="shared" si="273"/>
        <v>753658</v>
      </c>
      <c r="H7435" s="2">
        <f>10</f>
        <v>10</v>
      </c>
      <c r="I7435" t="s">
        <v>27</v>
      </c>
      <c r="J7435" t="s">
        <v>39</v>
      </c>
      <c r="K7435" t="str">
        <f>"129307"</f>
        <v>129307</v>
      </c>
    </row>
    <row r="7436" spans="1:11" x14ac:dyDescent="0.25">
      <c r="A7436">
        <v>2025</v>
      </c>
      <c r="B7436" t="s">
        <v>10173</v>
      </c>
      <c r="C7436" t="s">
        <v>10174</v>
      </c>
      <c r="D7436" t="s">
        <v>50</v>
      </c>
      <c r="E7436" t="s">
        <v>20</v>
      </c>
      <c r="F7436" t="str">
        <f>"43560-3563"</f>
        <v>43560-3563</v>
      </c>
      <c r="G7436" t="str">
        <f t="shared" si="273"/>
        <v>753658</v>
      </c>
      <c r="H7436" s="2">
        <f>40</f>
        <v>40</v>
      </c>
      <c r="I7436" t="s">
        <v>27</v>
      </c>
      <c r="J7436" t="s">
        <v>39</v>
      </c>
      <c r="K7436" t="str">
        <f>"127606"</f>
        <v>127606</v>
      </c>
    </row>
    <row r="7437" spans="1:11" x14ac:dyDescent="0.25">
      <c r="A7437">
        <v>2025</v>
      </c>
      <c r="B7437" t="s">
        <v>10200</v>
      </c>
      <c r="C7437" t="s">
        <v>1004</v>
      </c>
      <c r="D7437" t="s">
        <v>1005</v>
      </c>
      <c r="E7437" t="s">
        <v>20</v>
      </c>
      <c r="F7437" t="str">
        <f>"44139"</f>
        <v>44139</v>
      </c>
      <c r="G7437" t="str">
        <f>"759796"</f>
        <v>759796</v>
      </c>
      <c r="H7437" s="2">
        <f>67</f>
        <v>67</v>
      </c>
      <c r="I7437" t="s">
        <v>27</v>
      </c>
      <c r="J7437" t="s">
        <v>188</v>
      </c>
      <c r="K7437" t="str">
        <f>"45581"</f>
        <v>45581</v>
      </c>
    </row>
    <row r="7438" spans="1:11" x14ac:dyDescent="0.25">
      <c r="A7438">
        <v>2025</v>
      </c>
      <c r="B7438" t="s">
        <v>10205</v>
      </c>
      <c r="C7438" t="s">
        <v>10206</v>
      </c>
      <c r="D7438" t="s">
        <v>19</v>
      </c>
      <c r="E7438" t="s">
        <v>20</v>
      </c>
      <c r="F7438" t="str">
        <f>"43613-1102"</f>
        <v>43613-1102</v>
      </c>
      <c r="G7438" t="str">
        <f>"753658"</f>
        <v>753658</v>
      </c>
      <c r="H7438" s="2">
        <f>40</f>
        <v>40</v>
      </c>
      <c r="I7438" t="s">
        <v>27</v>
      </c>
      <c r="J7438" t="s">
        <v>39</v>
      </c>
      <c r="K7438" t="str">
        <f>"129419"</f>
        <v>129419</v>
      </c>
    </row>
    <row r="7439" spans="1:11" x14ac:dyDescent="0.25">
      <c r="A7439">
        <v>2025</v>
      </c>
      <c r="B7439" t="s">
        <v>10213</v>
      </c>
      <c r="C7439" t="s">
        <v>10214</v>
      </c>
      <c r="D7439" t="s">
        <v>19</v>
      </c>
      <c r="E7439" t="s">
        <v>20</v>
      </c>
      <c r="F7439" t="str">
        <f>"43623"</f>
        <v>43623</v>
      </c>
      <c r="G7439" t="str">
        <f>"759796"</f>
        <v>759796</v>
      </c>
      <c r="H7439" s="2">
        <f>20</f>
        <v>20</v>
      </c>
      <c r="I7439" t="s">
        <v>27</v>
      </c>
      <c r="J7439" t="s">
        <v>188</v>
      </c>
      <c r="K7439" t="str">
        <f>"44189"</f>
        <v>44189</v>
      </c>
    </row>
    <row r="7440" spans="1:11" x14ac:dyDescent="0.25">
      <c r="A7440">
        <v>2025</v>
      </c>
      <c r="B7440" t="s">
        <v>10217</v>
      </c>
      <c r="C7440" t="s">
        <v>10218</v>
      </c>
      <c r="D7440" t="s">
        <v>19</v>
      </c>
      <c r="E7440" t="s">
        <v>20</v>
      </c>
      <c r="F7440" t="str">
        <f>"43609"</f>
        <v>43609</v>
      </c>
      <c r="G7440" t="str">
        <f t="shared" ref="G7440:G7449" si="274">"753658"</f>
        <v>753658</v>
      </c>
      <c r="H7440" s="2">
        <f>10</f>
        <v>10</v>
      </c>
      <c r="I7440" t="s">
        <v>27</v>
      </c>
      <c r="J7440" t="s">
        <v>39</v>
      </c>
      <c r="K7440" t="str">
        <f>"128819"</f>
        <v>128819</v>
      </c>
    </row>
    <row r="7441" spans="1:11" x14ac:dyDescent="0.25">
      <c r="A7441">
        <v>2025</v>
      </c>
      <c r="B7441" t="s">
        <v>10219</v>
      </c>
      <c r="C7441" t="s">
        <v>10220</v>
      </c>
      <c r="D7441" t="s">
        <v>19</v>
      </c>
      <c r="E7441" t="s">
        <v>20</v>
      </c>
      <c r="F7441" t="str">
        <f>"43614-1368"</f>
        <v>43614-1368</v>
      </c>
      <c r="G7441" t="str">
        <f t="shared" si="274"/>
        <v>753658</v>
      </c>
      <c r="H7441" s="2">
        <f>20</f>
        <v>20</v>
      </c>
      <c r="I7441" t="s">
        <v>27</v>
      </c>
      <c r="J7441" t="s">
        <v>39</v>
      </c>
      <c r="K7441" t="str">
        <f>"128180"</f>
        <v>128180</v>
      </c>
    </row>
    <row r="7442" spans="1:11" x14ac:dyDescent="0.25">
      <c r="A7442">
        <v>2025</v>
      </c>
      <c r="B7442" t="s">
        <v>10227</v>
      </c>
      <c r="C7442" t="s">
        <v>10228</v>
      </c>
      <c r="D7442" t="s">
        <v>105</v>
      </c>
      <c r="E7442" t="s">
        <v>20</v>
      </c>
      <c r="F7442" t="str">
        <f>"43528-9512"</f>
        <v>43528-9512</v>
      </c>
      <c r="G7442" t="str">
        <f t="shared" si="274"/>
        <v>753658</v>
      </c>
      <c r="H7442" s="2">
        <f>10</f>
        <v>10</v>
      </c>
      <c r="I7442" t="s">
        <v>27</v>
      </c>
      <c r="J7442" t="s">
        <v>39</v>
      </c>
      <c r="K7442" t="str">
        <f>"131655"</f>
        <v>131655</v>
      </c>
    </row>
    <row r="7443" spans="1:11" x14ac:dyDescent="0.25">
      <c r="A7443">
        <v>2025</v>
      </c>
      <c r="B7443" t="s">
        <v>10229</v>
      </c>
      <c r="C7443" t="s">
        <v>10230</v>
      </c>
      <c r="D7443" t="s">
        <v>19</v>
      </c>
      <c r="E7443" t="s">
        <v>20</v>
      </c>
      <c r="F7443" t="str">
        <f>"43613-2129"</f>
        <v>43613-2129</v>
      </c>
      <c r="G7443" t="str">
        <f t="shared" si="274"/>
        <v>753658</v>
      </c>
      <c r="H7443" s="2">
        <f>30</f>
        <v>30</v>
      </c>
      <c r="I7443" t="s">
        <v>27</v>
      </c>
      <c r="J7443" t="s">
        <v>39</v>
      </c>
      <c r="K7443" t="str">
        <f>"126892"</f>
        <v>126892</v>
      </c>
    </row>
    <row r="7444" spans="1:11" x14ac:dyDescent="0.25">
      <c r="A7444">
        <v>2025</v>
      </c>
      <c r="B7444" t="s">
        <v>10231</v>
      </c>
      <c r="C7444" t="s">
        <v>10232</v>
      </c>
      <c r="D7444" t="s">
        <v>19</v>
      </c>
      <c r="E7444" t="s">
        <v>20</v>
      </c>
      <c r="F7444" t="str">
        <f>"43615-3956"</f>
        <v>43615-3956</v>
      </c>
      <c r="G7444" t="str">
        <f t="shared" si="274"/>
        <v>753658</v>
      </c>
      <c r="H7444" s="2">
        <f>40</f>
        <v>40</v>
      </c>
      <c r="I7444" t="s">
        <v>27</v>
      </c>
      <c r="J7444" t="s">
        <v>39</v>
      </c>
      <c r="K7444" t="str">
        <f>"131084"</f>
        <v>131084</v>
      </c>
    </row>
    <row r="7445" spans="1:11" x14ac:dyDescent="0.25">
      <c r="A7445">
        <v>2025</v>
      </c>
      <c r="B7445" t="s">
        <v>10235</v>
      </c>
      <c r="C7445" t="s">
        <v>10236</v>
      </c>
      <c r="D7445" t="s">
        <v>19</v>
      </c>
      <c r="E7445" t="s">
        <v>20</v>
      </c>
      <c r="F7445" t="str">
        <f>"43623-3137"</f>
        <v>43623-3137</v>
      </c>
      <c r="G7445" t="str">
        <f t="shared" si="274"/>
        <v>753658</v>
      </c>
      <c r="H7445" s="2">
        <f>10</f>
        <v>10</v>
      </c>
      <c r="I7445" t="s">
        <v>27</v>
      </c>
      <c r="J7445" t="s">
        <v>39</v>
      </c>
      <c r="K7445" t="str">
        <f>"128062"</f>
        <v>128062</v>
      </c>
    </row>
    <row r="7446" spans="1:11" x14ac:dyDescent="0.25">
      <c r="A7446">
        <v>2025</v>
      </c>
      <c r="B7446" t="s">
        <v>10237</v>
      </c>
      <c r="C7446" t="s">
        <v>10238</v>
      </c>
      <c r="D7446" t="s">
        <v>19</v>
      </c>
      <c r="E7446" t="s">
        <v>20</v>
      </c>
      <c r="F7446" t="str">
        <f>"43623-2707"</f>
        <v>43623-2707</v>
      </c>
      <c r="G7446" t="str">
        <f t="shared" si="274"/>
        <v>753658</v>
      </c>
      <c r="H7446" s="2">
        <f>30</f>
        <v>30</v>
      </c>
      <c r="I7446" t="s">
        <v>27</v>
      </c>
      <c r="J7446" t="s">
        <v>39</v>
      </c>
      <c r="K7446" t="str">
        <f>"127948"</f>
        <v>127948</v>
      </c>
    </row>
    <row r="7447" spans="1:11" x14ac:dyDescent="0.25">
      <c r="A7447">
        <v>2025</v>
      </c>
      <c r="B7447" t="s">
        <v>10255</v>
      </c>
      <c r="C7447" t="s">
        <v>10256</v>
      </c>
      <c r="D7447" t="s">
        <v>19</v>
      </c>
      <c r="E7447" t="s">
        <v>20</v>
      </c>
      <c r="F7447" t="str">
        <f>"43605-2764"</f>
        <v>43605-2764</v>
      </c>
      <c r="G7447" t="str">
        <f t="shared" si="274"/>
        <v>753658</v>
      </c>
      <c r="H7447" s="2">
        <f>10</f>
        <v>10</v>
      </c>
      <c r="I7447" t="s">
        <v>27</v>
      </c>
      <c r="J7447" t="s">
        <v>39</v>
      </c>
      <c r="K7447" t="str">
        <f>"128734"</f>
        <v>128734</v>
      </c>
    </row>
    <row r="7448" spans="1:11" x14ac:dyDescent="0.25">
      <c r="A7448">
        <v>2025</v>
      </c>
      <c r="B7448" t="s">
        <v>10289</v>
      </c>
      <c r="C7448" t="s">
        <v>10290</v>
      </c>
      <c r="D7448" t="s">
        <v>58</v>
      </c>
      <c r="E7448" t="s">
        <v>20</v>
      </c>
      <c r="F7448" t="str">
        <f>"43616-4435"</f>
        <v>43616-4435</v>
      </c>
      <c r="G7448" t="str">
        <f t="shared" si="274"/>
        <v>753658</v>
      </c>
      <c r="H7448" s="2">
        <f>40</f>
        <v>40</v>
      </c>
      <c r="I7448" t="s">
        <v>27</v>
      </c>
      <c r="J7448" t="s">
        <v>39</v>
      </c>
      <c r="K7448" t="str">
        <f>"127791"</f>
        <v>127791</v>
      </c>
    </row>
    <row r="7449" spans="1:11" x14ac:dyDescent="0.25">
      <c r="A7449">
        <v>2025</v>
      </c>
      <c r="B7449" t="s">
        <v>10299</v>
      </c>
      <c r="C7449" t="s">
        <v>10300</v>
      </c>
      <c r="D7449" t="s">
        <v>50</v>
      </c>
      <c r="E7449" t="s">
        <v>20</v>
      </c>
      <c r="F7449" t="str">
        <f>"43560-9007"</f>
        <v>43560-9007</v>
      </c>
      <c r="G7449" t="str">
        <f t="shared" si="274"/>
        <v>753658</v>
      </c>
      <c r="H7449" s="2">
        <f>10</f>
        <v>10</v>
      </c>
      <c r="I7449" t="s">
        <v>27</v>
      </c>
      <c r="J7449" t="s">
        <v>39</v>
      </c>
      <c r="K7449" t="str">
        <f>"126400"</f>
        <v>126400</v>
      </c>
    </row>
    <row r="7450" spans="1:11" x14ac:dyDescent="0.25">
      <c r="A7450">
        <v>2025</v>
      </c>
      <c r="B7450" t="s">
        <v>10301</v>
      </c>
      <c r="C7450" t="s">
        <v>10302</v>
      </c>
      <c r="D7450" t="s">
        <v>10303</v>
      </c>
      <c r="E7450" t="s">
        <v>462</v>
      </c>
      <c r="F7450" t="str">
        <f>"33527"</f>
        <v>33527</v>
      </c>
      <c r="G7450" t="str">
        <f>"751641"</f>
        <v>751641</v>
      </c>
      <c r="H7450" s="2">
        <f>1</f>
        <v>1</v>
      </c>
      <c r="I7450" t="s">
        <v>27</v>
      </c>
      <c r="J7450" t="s">
        <v>219</v>
      </c>
      <c r="K7450" t="str">
        <f>"22027078"</f>
        <v>22027078</v>
      </c>
    </row>
    <row r="7451" spans="1:11" x14ac:dyDescent="0.25">
      <c r="A7451">
        <v>2025</v>
      </c>
      <c r="B7451" t="s">
        <v>10329</v>
      </c>
      <c r="C7451" t="s">
        <v>10330</v>
      </c>
      <c r="D7451" t="s">
        <v>19</v>
      </c>
      <c r="E7451" t="s">
        <v>20</v>
      </c>
      <c r="F7451" t="str">
        <f>"43604-1086"</f>
        <v>43604-1086</v>
      </c>
      <c r="G7451" t="str">
        <f>"753658"</f>
        <v>753658</v>
      </c>
      <c r="H7451" s="2">
        <f>10</f>
        <v>10</v>
      </c>
      <c r="I7451" t="s">
        <v>27</v>
      </c>
      <c r="J7451" t="s">
        <v>39</v>
      </c>
      <c r="K7451" t="str">
        <f>"125228"</f>
        <v>125228</v>
      </c>
    </row>
    <row r="7452" spans="1:11" x14ac:dyDescent="0.25">
      <c r="A7452">
        <v>2025</v>
      </c>
      <c r="B7452" t="s">
        <v>10337</v>
      </c>
      <c r="C7452" t="s">
        <v>10338</v>
      </c>
      <c r="D7452" t="s">
        <v>19</v>
      </c>
      <c r="E7452" t="s">
        <v>20</v>
      </c>
      <c r="F7452" t="str">
        <f>"43609"</f>
        <v>43609</v>
      </c>
      <c r="G7452" t="str">
        <f>"751639"</f>
        <v>751639</v>
      </c>
      <c r="H7452" s="2">
        <f>8.04</f>
        <v>8.0399999999999991</v>
      </c>
      <c r="I7452" t="s">
        <v>27</v>
      </c>
      <c r="J7452" t="s">
        <v>96</v>
      </c>
      <c r="K7452" t="str">
        <f>"334882"</f>
        <v>334882</v>
      </c>
    </row>
    <row r="7453" spans="1:11" x14ac:dyDescent="0.25">
      <c r="A7453">
        <v>2025</v>
      </c>
      <c r="B7453" t="s">
        <v>10375</v>
      </c>
      <c r="C7453" t="s">
        <v>10376</v>
      </c>
      <c r="D7453" t="s">
        <v>19</v>
      </c>
      <c r="E7453" t="s">
        <v>20</v>
      </c>
      <c r="F7453" t="str">
        <f>"43613-1278"</f>
        <v>43613-1278</v>
      </c>
      <c r="G7453" t="str">
        <f>"753658"</f>
        <v>753658</v>
      </c>
      <c r="H7453" s="2">
        <f>10</f>
        <v>10</v>
      </c>
      <c r="I7453" t="s">
        <v>27</v>
      </c>
      <c r="J7453" t="s">
        <v>39</v>
      </c>
      <c r="K7453" t="str">
        <f>"128285"</f>
        <v>128285</v>
      </c>
    </row>
    <row r="7454" spans="1:11" x14ac:dyDescent="0.25">
      <c r="A7454">
        <v>2025</v>
      </c>
      <c r="B7454" t="s">
        <v>10377</v>
      </c>
      <c r="C7454" t="s">
        <v>2269</v>
      </c>
      <c r="D7454" t="s">
        <v>50</v>
      </c>
      <c r="E7454" t="s">
        <v>20</v>
      </c>
      <c r="F7454" t="str">
        <f>"43623"</f>
        <v>43623</v>
      </c>
      <c r="G7454" t="str">
        <f>"759796"</f>
        <v>759796</v>
      </c>
      <c r="H7454" s="2">
        <f>20</f>
        <v>20</v>
      </c>
      <c r="I7454" t="s">
        <v>27</v>
      </c>
      <c r="J7454" t="s">
        <v>188</v>
      </c>
      <c r="K7454" t="str">
        <f>"45929"</f>
        <v>45929</v>
      </c>
    </row>
    <row r="7455" spans="1:11" x14ac:dyDescent="0.25">
      <c r="A7455">
        <v>2025</v>
      </c>
      <c r="B7455" t="s">
        <v>10378</v>
      </c>
      <c r="C7455" t="s">
        <v>10379</v>
      </c>
      <c r="D7455" t="s">
        <v>19</v>
      </c>
      <c r="E7455" t="s">
        <v>20</v>
      </c>
      <c r="F7455" t="str">
        <f>"43613-4320"</f>
        <v>43613-4320</v>
      </c>
      <c r="G7455" t="str">
        <f>"753658"</f>
        <v>753658</v>
      </c>
      <c r="H7455" s="2">
        <f>10</f>
        <v>10</v>
      </c>
      <c r="I7455" t="s">
        <v>27</v>
      </c>
      <c r="J7455" t="s">
        <v>39</v>
      </c>
      <c r="K7455" t="str">
        <f>"128719"</f>
        <v>128719</v>
      </c>
    </row>
    <row r="7456" spans="1:11" x14ac:dyDescent="0.25">
      <c r="A7456">
        <v>2025</v>
      </c>
      <c r="B7456" t="s">
        <v>10382</v>
      </c>
      <c r="C7456" t="s">
        <v>10383</v>
      </c>
      <c r="D7456" t="s">
        <v>10384</v>
      </c>
      <c r="E7456" t="s">
        <v>9729</v>
      </c>
      <c r="F7456" t="str">
        <f>"02125"</f>
        <v>02125</v>
      </c>
      <c r="G7456" t="str">
        <f>"751641"</f>
        <v>751641</v>
      </c>
      <c r="H7456" s="2">
        <f>118.92</f>
        <v>118.92</v>
      </c>
      <c r="I7456" t="s">
        <v>27</v>
      </c>
      <c r="J7456" t="s">
        <v>219</v>
      </c>
      <c r="K7456" t="str">
        <f>"22027841"</f>
        <v>22027841</v>
      </c>
    </row>
    <row r="7457" spans="1:11" x14ac:dyDescent="0.25">
      <c r="A7457">
        <v>2025</v>
      </c>
      <c r="B7457" t="s">
        <v>10385</v>
      </c>
      <c r="C7457" t="s">
        <v>10386</v>
      </c>
      <c r="D7457" t="s">
        <v>125</v>
      </c>
      <c r="E7457" t="s">
        <v>20</v>
      </c>
      <c r="F7457" t="str">
        <f>"43537-1807"</f>
        <v>43537-1807</v>
      </c>
      <c r="G7457" t="str">
        <f>"753658"</f>
        <v>753658</v>
      </c>
      <c r="H7457" s="2">
        <f>10</f>
        <v>10</v>
      </c>
      <c r="I7457" t="s">
        <v>27</v>
      </c>
      <c r="J7457" t="s">
        <v>39</v>
      </c>
      <c r="K7457" t="str">
        <f>"128073"</f>
        <v>128073</v>
      </c>
    </row>
    <row r="7458" spans="1:11" x14ac:dyDescent="0.25">
      <c r="A7458">
        <v>2025</v>
      </c>
      <c r="B7458" t="s">
        <v>10387</v>
      </c>
      <c r="C7458" t="s">
        <v>1321</v>
      </c>
      <c r="D7458" t="s">
        <v>19</v>
      </c>
      <c r="E7458" t="s">
        <v>20</v>
      </c>
      <c r="F7458" t="str">
        <f>"43617"</f>
        <v>43617</v>
      </c>
      <c r="G7458" t="str">
        <f>"759796"</f>
        <v>759796</v>
      </c>
      <c r="H7458" s="2">
        <f>2.88</f>
        <v>2.88</v>
      </c>
      <c r="I7458" t="s">
        <v>27</v>
      </c>
      <c r="J7458" t="s">
        <v>188</v>
      </c>
      <c r="K7458" t="str">
        <f>"45131"</f>
        <v>45131</v>
      </c>
    </row>
    <row r="7459" spans="1:11" x14ac:dyDescent="0.25">
      <c r="A7459">
        <v>2025</v>
      </c>
      <c r="B7459" t="s">
        <v>10390</v>
      </c>
      <c r="C7459" t="s">
        <v>10391</v>
      </c>
      <c r="D7459" t="s">
        <v>19</v>
      </c>
      <c r="E7459" t="s">
        <v>20</v>
      </c>
      <c r="F7459" t="str">
        <f>"43606-3208"</f>
        <v>43606-3208</v>
      </c>
      <c r="G7459" t="str">
        <f t="shared" ref="G7459:G7472" si="275">"753658"</f>
        <v>753658</v>
      </c>
      <c r="H7459" s="2">
        <f>70</f>
        <v>70</v>
      </c>
      <c r="I7459" t="s">
        <v>27</v>
      </c>
      <c r="J7459" t="s">
        <v>39</v>
      </c>
      <c r="K7459" t="str">
        <f>"127145"</f>
        <v>127145</v>
      </c>
    </row>
    <row r="7460" spans="1:11" x14ac:dyDescent="0.25">
      <c r="A7460">
        <v>2025</v>
      </c>
      <c r="B7460" t="s">
        <v>10394</v>
      </c>
      <c r="C7460" t="s">
        <v>10395</v>
      </c>
      <c r="D7460" t="s">
        <v>50</v>
      </c>
      <c r="E7460" t="s">
        <v>20</v>
      </c>
      <c r="F7460" t="str">
        <f>"43560-5505"</f>
        <v>43560-5505</v>
      </c>
      <c r="G7460" t="str">
        <f t="shared" si="275"/>
        <v>753658</v>
      </c>
      <c r="H7460" s="2">
        <f>30</f>
        <v>30</v>
      </c>
      <c r="I7460" t="s">
        <v>27</v>
      </c>
      <c r="J7460" t="s">
        <v>39</v>
      </c>
      <c r="K7460" t="str">
        <f>"128432"</f>
        <v>128432</v>
      </c>
    </row>
    <row r="7461" spans="1:11" x14ac:dyDescent="0.25">
      <c r="A7461">
        <v>2025</v>
      </c>
      <c r="B7461" t="s">
        <v>10396</v>
      </c>
      <c r="C7461" t="s">
        <v>10397</v>
      </c>
      <c r="D7461" t="s">
        <v>19</v>
      </c>
      <c r="E7461" t="s">
        <v>20</v>
      </c>
      <c r="F7461" t="str">
        <f>"43617-1379"</f>
        <v>43617-1379</v>
      </c>
      <c r="G7461" t="str">
        <f t="shared" si="275"/>
        <v>753658</v>
      </c>
      <c r="H7461" s="2">
        <f>20</f>
        <v>20</v>
      </c>
      <c r="I7461" t="s">
        <v>27</v>
      </c>
      <c r="J7461" t="s">
        <v>39</v>
      </c>
      <c r="K7461" t="str">
        <f>"126066"</f>
        <v>126066</v>
      </c>
    </row>
    <row r="7462" spans="1:11" x14ac:dyDescent="0.25">
      <c r="A7462">
        <v>2025</v>
      </c>
      <c r="B7462" t="s">
        <v>10406</v>
      </c>
      <c r="C7462" t="s">
        <v>10407</v>
      </c>
      <c r="D7462" t="s">
        <v>105</v>
      </c>
      <c r="E7462" t="s">
        <v>20</v>
      </c>
      <c r="F7462" t="str">
        <f>"43528-8724"</f>
        <v>43528-8724</v>
      </c>
      <c r="G7462" t="str">
        <f t="shared" si="275"/>
        <v>753658</v>
      </c>
      <c r="H7462" s="2">
        <f>10</f>
        <v>10</v>
      </c>
      <c r="I7462" t="s">
        <v>27</v>
      </c>
      <c r="J7462" t="s">
        <v>39</v>
      </c>
      <c r="K7462" t="str">
        <f>"125238"</f>
        <v>125238</v>
      </c>
    </row>
    <row r="7463" spans="1:11" x14ac:dyDescent="0.25">
      <c r="A7463">
        <v>2025</v>
      </c>
      <c r="B7463" t="s">
        <v>10410</v>
      </c>
      <c r="C7463" t="s">
        <v>10411</v>
      </c>
      <c r="D7463" t="s">
        <v>19</v>
      </c>
      <c r="E7463" t="s">
        <v>20</v>
      </c>
      <c r="F7463" t="str">
        <f>"43609-1652"</f>
        <v>43609-1652</v>
      </c>
      <c r="G7463" t="str">
        <f t="shared" si="275"/>
        <v>753658</v>
      </c>
      <c r="H7463" s="2">
        <f>40</f>
        <v>40</v>
      </c>
      <c r="I7463" t="s">
        <v>27</v>
      </c>
      <c r="J7463" t="s">
        <v>39</v>
      </c>
      <c r="K7463" t="str">
        <f>"125946"</f>
        <v>125946</v>
      </c>
    </row>
    <row r="7464" spans="1:11" x14ac:dyDescent="0.25">
      <c r="A7464">
        <v>2025</v>
      </c>
      <c r="B7464" t="s">
        <v>10410</v>
      </c>
      <c r="C7464" t="s">
        <v>10411</v>
      </c>
      <c r="D7464" t="s">
        <v>19</v>
      </c>
      <c r="E7464" t="s">
        <v>20</v>
      </c>
      <c r="F7464" t="str">
        <f>"43609-1652"</f>
        <v>43609-1652</v>
      </c>
      <c r="G7464" t="str">
        <f t="shared" si="275"/>
        <v>753658</v>
      </c>
      <c r="H7464" s="2">
        <f>40</f>
        <v>40</v>
      </c>
      <c r="I7464" t="s">
        <v>27</v>
      </c>
      <c r="J7464" t="s">
        <v>39</v>
      </c>
      <c r="K7464" t="str">
        <f>"126127"</f>
        <v>126127</v>
      </c>
    </row>
    <row r="7465" spans="1:11" x14ac:dyDescent="0.25">
      <c r="A7465">
        <v>2025</v>
      </c>
      <c r="B7465" t="s">
        <v>10424</v>
      </c>
      <c r="C7465" t="s">
        <v>10419</v>
      </c>
      <c r="D7465" t="s">
        <v>105</v>
      </c>
      <c r="E7465" t="s">
        <v>20</v>
      </c>
      <c r="F7465" t="str">
        <f>"43528-8497"</f>
        <v>43528-8497</v>
      </c>
      <c r="G7465" t="str">
        <f t="shared" si="275"/>
        <v>753658</v>
      </c>
      <c r="H7465" s="2">
        <f>30</f>
        <v>30</v>
      </c>
      <c r="I7465" t="s">
        <v>27</v>
      </c>
      <c r="J7465" t="s">
        <v>39</v>
      </c>
      <c r="K7465" t="str">
        <f>"131183"</f>
        <v>131183</v>
      </c>
    </row>
    <row r="7466" spans="1:11" x14ac:dyDescent="0.25">
      <c r="A7466">
        <v>2025</v>
      </c>
      <c r="B7466" t="s">
        <v>10429</v>
      </c>
      <c r="C7466" t="s">
        <v>10430</v>
      </c>
      <c r="D7466" t="s">
        <v>19</v>
      </c>
      <c r="E7466" t="s">
        <v>20</v>
      </c>
      <c r="F7466" t="str">
        <f>"43623-1147"</f>
        <v>43623-1147</v>
      </c>
      <c r="G7466" t="str">
        <f t="shared" si="275"/>
        <v>753658</v>
      </c>
      <c r="H7466" s="2">
        <f>10</f>
        <v>10</v>
      </c>
      <c r="I7466" t="s">
        <v>27</v>
      </c>
      <c r="J7466" t="s">
        <v>39</v>
      </c>
      <c r="K7466" t="str">
        <f>"129647"</f>
        <v>129647</v>
      </c>
    </row>
    <row r="7467" spans="1:11" x14ac:dyDescent="0.25">
      <c r="A7467">
        <v>2025</v>
      </c>
      <c r="B7467" t="s">
        <v>10431</v>
      </c>
      <c r="C7467" t="s">
        <v>10432</v>
      </c>
      <c r="D7467" t="s">
        <v>64</v>
      </c>
      <c r="E7467" t="s">
        <v>20</v>
      </c>
      <c r="F7467" t="str">
        <f>"43566-9741"</f>
        <v>43566-9741</v>
      </c>
      <c r="G7467" t="str">
        <f t="shared" si="275"/>
        <v>753658</v>
      </c>
      <c r="H7467" s="2">
        <f>10</f>
        <v>10</v>
      </c>
      <c r="I7467" t="s">
        <v>27</v>
      </c>
      <c r="J7467" t="s">
        <v>39</v>
      </c>
      <c r="K7467" t="str">
        <f>"127448"</f>
        <v>127448</v>
      </c>
    </row>
    <row r="7468" spans="1:11" x14ac:dyDescent="0.25">
      <c r="A7468">
        <v>2025</v>
      </c>
      <c r="B7468" t="s">
        <v>10433</v>
      </c>
      <c r="C7468" t="s">
        <v>10434</v>
      </c>
      <c r="D7468" t="s">
        <v>125</v>
      </c>
      <c r="E7468" t="s">
        <v>20</v>
      </c>
      <c r="F7468" t="str">
        <f>"43537-3908"</f>
        <v>43537-3908</v>
      </c>
      <c r="G7468" t="str">
        <f t="shared" si="275"/>
        <v>753658</v>
      </c>
      <c r="H7468" s="2">
        <f>10</f>
        <v>10</v>
      </c>
      <c r="I7468" t="s">
        <v>27</v>
      </c>
      <c r="J7468" t="s">
        <v>39</v>
      </c>
      <c r="K7468" t="str">
        <f>"127886"</f>
        <v>127886</v>
      </c>
    </row>
    <row r="7469" spans="1:11" x14ac:dyDescent="0.25">
      <c r="A7469">
        <v>2025</v>
      </c>
      <c r="B7469" t="s">
        <v>10439</v>
      </c>
      <c r="C7469" t="s">
        <v>10440</v>
      </c>
      <c r="D7469" t="s">
        <v>19</v>
      </c>
      <c r="E7469" t="s">
        <v>20</v>
      </c>
      <c r="F7469" t="str">
        <f>"43606-2117"</f>
        <v>43606-2117</v>
      </c>
      <c r="G7469" t="str">
        <f t="shared" si="275"/>
        <v>753658</v>
      </c>
      <c r="H7469" s="2">
        <f>30</f>
        <v>30</v>
      </c>
      <c r="I7469" t="s">
        <v>27</v>
      </c>
      <c r="J7469" t="s">
        <v>39</v>
      </c>
      <c r="K7469" t="str">
        <f>"125665"</f>
        <v>125665</v>
      </c>
    </row>
    <row r="7470" spans="1:11" x14ac:dyDescent="0.25">
      <c r="A7470">
        <v>2025</v>
      </c>
      <c r="B7470" t="s">
        <v>10441</v>
      </c>
      <c r="C7470" t="s">
        <v>10442</v>
      </c>
      <c r="D7470" t="s">
        <v>19</v>
      </c>
      <c r="E7470" t="s">
        <v>20</v>
      </c>
      <c r="F7470" t="str">
        <f>"43606-1767"</f>
        <v>43606-1767</v>
      </c>
      <c r="G7470" t="str">
        <f t="shared" si="275"/>
        <v>753658</v>
      </c>
      <c r="H7470" s="2">
        <f>10</f>
        <v>10</v>
      </c>
      <c r="I7470" t="s">
        <v>27</v>
      </c>
      <c r="J7470" t="s">
        <v>39</v>
      </c>
      <c r="K7470" t="str">
        <f>"128948"</f>
        <v>128948</v>
      </c>
    </row>
    <row r="7471" spans="1:11" x14ac:dyDescent="0.25">
      <c r="A7471">
        <v>2025</v>
      </c>
      <c r="B7471" t="s">
        <v>10443</v>
      </c>
      <c r="C7471" t="s">
        <v>10444</v>
      </c>
      <c r="D7471" t="s">
        <v>19</v>
      </c>
      <c r="E7471" t="s">
        <v>20</v>
      </c>
      <c r="F7471" t="str">
        <f>"43605-3706"</f>
        <v>43605-3706</v>
      </c>
      <c r="G7471" t="str">
        <f t="shared" si="275"/>
        <v>753658</v>
      </c>
      <c r="H7471" s="2">
        <f>10</f>
        <v>10</v>
      </c>
      <c r="I7471" t="s">
        <v>27</v>
      </c>
      <c r="J7471" t="s">
        <v>39</v>
      </c>
      <c r="K7471" t="str">
        <f>"126491"</f>
        <v>126491</v>
      </c>
    </row>
    <row r="7472" spans="1:11" x14ac:dyDescent="0.25">
      <c r="A7472">
        <v>2025</v>
      </c>
      <c r="B7472" t="s">
        <v>10445</v>
      </c>
      <c r="C7472" t="s">
        <v>10446</v>
      </c>
      <c r="D7472" t="s">
        <v>323</v>
      </c>
      <c r="E7472" t="s">
        <v>20</v>
      </c>
      <c r="F7472" t="str">
        <f>"43571-9350"</f>
        <v>43571-9350</v>
      </c>
      <c r="G7472" t="str">
        <f t="shared" si="275"/>
        <v>753658</v>
      </c>
      <c r="H7472" s="2">
        <f>20</f>
        <v>20</v>
      </c>
      <c r="I7472" t="s">
        <v>27</v>
      </c>
      <c r="J7472" t="s">
        <v>39</v>
      </c>
      <c r="K7472" t="str">
        <f>"126129"</f>
        <v>126129</v>
      </c>
    </row>
    <row r="7473" spans="1:11" x14ac:dyDescent="0.25">
      <c r="A7473">
        <v>2025</v>
      </c>
      <c r="B7473" t="s">
        <v>10447</v>
      </c>
      <c r="C7473" t="s">
        <v>10448</v>
      </c>
      <c r="D7473" t="s">
        <v>19</v>
      </c>
      <c r="E7473" t="s">
        <v>20</v>
      </c>
      <c r="F7473" t="str">
        <f>"43609"</f>
        <v>43609</v>
      </c>
      <c r="G7473" t="str">
        <f>"759796"</f>
        <v>759796</v>
      </c>
      <c r="H7473" s="2">
        <f>738.59</f>
        <v>738.59</v>
      </c>
      <c r="I7473" t="s">
        <v>27</v>
      </c>
      <c r="J7473" t="s">
        <v>188</v>
      </c>
      <c r="K7473" t="str">
        <f>"46573"</f>
        <v>46573</v>
      </c>
    </row>
    <row r="7474" spans="1:11" x14ac:dyDescent="0.25">
      <c r="A7474">
        <v>2025</v>
      </c>
      <c r="B7474" t="s">
        <v>10455</v>
      </c>
      <c r="C7474" t="s">
        <v>10456</v>
      </c>
      <c r="D7474" t="s">
        <v>19</v>
      </c>
      <c r="E7474" t="s">
        <v>20</v>
      </c>
      <c r="F7474" t="str">
        <f>"43612-1002"</f>
        <v>43612-1002</v>
      </c>
      <c r="G7474" t="str">
        <f>"753658"</f>
        <v>753658</v>
      </c>
      <c r="H7474" s="2">
        <f>10</f>
        <v>10</v>
      </c>
      <c r="I7474" t="s">
        <v>27</v>
      </c>
      <c r="J7474" t="s">
        <v>39</v>
      </c>
      <c r="K7474" t="str">
        <f>"129537"</f>
        <v>129537</v>
      </c>
    </row>
    <row r="7475" spans="1:11" x14ac:dyDescent="0.25">
      <c r="A7475">
        <v>2025</v>
      </c>
      <c r="B7475" t="s">
        <v>10504</v>
      </c>
      <c r="C7475" t="s">
        <v>10505</v>
      </c>
      <c r="D7475" t="s">
        <v>19</v>
      </c>
      <c r="E7475" t="s">
        <v>20</v>
      </c>
      <c r="F7475" t="str">
        <f>"43606-3155"</f>
        <v>43606-3155</v>
      </c>
      <c r="G7475" t="str">
        <f>"753658"</f>
        <v>753658</v>
      </c>
      <c r="H7475" s="2">
        <f>10</f>
        <v>10</v>
      </c>
      <c r="I7475" t="s">
        <v>27</v>
      </c>
      <c r="J7475" t="s">
        <v>39</v>
      </c>
      <c r="K7475" t="str">
        <f>"129639"</f>
        <v>129639</v>
      </c>
    </row>
    <row r="7476" spans="1:11" x14ac:dyDescent="0.25">
      <c r="A7476">
        <v>2025</v>
      </c>
      <c r="B7476" t="s">
        <v>10512</v>
      </c>
      <c r="C7476" t="s">
        <v>10513</v>
      </c>
      <c r="D7476" t="s">
        <v>19</v>
      </c>
      <c r="E7476" t="s">
        <v>20</v>
      </c>
      <c r="F7476" t="str">
        <f>"43613-5425"</f>
        <v>43613-5425</v>
      </c>
      <c r="G7476" t="str">
        <f>"753658"</f>
        <v>753658</v>
      </c>
      <c r="H7476" s="2">
        <f>20</f>
        <v>20</v>
      </c>
      <c r="I7476" t="s">
        <v>27</v>
      </c>
      <c r="J7476" t="s">
        <v>39</v>
      </c>
      <c r="K7476" t="str">
        <f>"127231"</f>
        <v>127231</v>
      </c>
    </row>
    <row r="7477" spans="1:11" x14ac:dyDescent="0.25">
      <c r="A7477">
        <v>2025</v>
      </c>
      <c r="B7477" t="s">
        <v>10521</v>
      </c>
      <c r="C7477" t="s">
        <v>10522</v>
      </c>
      <c r="D7477" t="s">
        <v>1299</v>
      </c>
      <c r="E7477" t="s">
        <v>20</v>
      </c>
      <c r="F7477" t="str">
        <f>"43504-9786"</f>
        <v>43504-9786</v>
      </c>
      <c r="G7477" t="str">
        <f>"753658"</f>
        <v>753658</v>
      </c>
      <c r="H7477" s="2">
        <f>30</f>
        <v>30</v>
      </c>
      <c r="I7477" t="s">
        <v>27</v>
      </c>
      <c r="J7477" t="s">
        <v>39</v>
      </c>
      <c r="K7477" t="str">
        <f>"127654"</f>
        <v>127654</v>
      </c>
    </row>
    <row r="7478" spans="1:11" x14ac:dyDescent="0.25">
      <c r="A7478">
        <v>2025</v>
      </c>
      <c r="B7478" t="s">
        <v>10523</v>
      </c>
      <c r="C7478" t="s">
        <v>10524</v>
      </c>
      <c r="D7478" t="s">
        <v>105</v>
      </c>
      <c r="E7478" t="s">
        <v>20</v>
      </c>
      <c r="F7478" t="str">
        <f>"43528-9554"</f>
        <v>43528-9554</v>
      </c>
      <c r="G7478" t="str">
        <f>"753658"</f>
        <v>753658</v>
      </c>
      <c r="H7478" s="2">
        <f>10</f>
        <v>10</v>
      </c>
      <c r="I7478" t="s">
        <v>27</v>
      </c>
      <c r="J7478" t="s">
        <v>39</v>
      </c>
      <c r="K7478" t="str">
        <f>"126422"</f>
        <v>126422</v>
      </c>
    </row>
    <row r="7479" spans="1:11" x14ac:dyDescent="0.25">
      <c r="A7479">
        <v>2025</v>
      </c>
      <c r="B7479" t="s">
        <v>10527</v>
      </c>
      <c r="C7479" t="s">
        <v>10528</v>
      </c>
      <c r="D7479" t="s">
        <v>19</v>
      </c>
      <c r="E7479" t="s">
        <v>20</v>
      </c>
      <c r="F7479" t="str">
        <f>"43604"</f>
        <v>43604</v>
      </c>
      <c r="G7479" t="str">
        <f>"740128"</f>
        <v>740128</v>
      </c>
      <c r="H7479" s="2">
        <f>10</f>
        <v>10</v>
      </c>
      <c r="I7479" t="s">
        <v>148</v>
      </c>
      <c r="J7479" t="s">
        <v>10529</v>
      </c>
      <c r="K7479" t="str">
        <f>"27417"</f>
        <v>27417</v>
      </c>
    </row>
    <row r="7480" spans="1:11" x14ac:dyDescent="0.25">
      <c r="A7480">
        <v>2025</v>
      </c>
      <c r="B7480" t="s">
        <v>10530</v>
      </c>
      <c r="C7480" t="s">
        <v>10531</v>
      </c>
      <c r="D7480" t="s">
        <v>19</v>
      </c>
      <c r="E7480" t="s">
        <v>20</v>
      </c>
      <c r="F7480" t="str">
        <f>"43612-3309"</f>
        <v>43612-3309</v>
      </c>
      <c r="G7480" t="str">
        <f t="shared" ref="G7480:G7485" si="276">"753658"</f>
        <v>753658</v>
      </c>
      <c r="H7480" s="2">
        <f>10</f>
        <v>10</v>
      </c>
      <c r="I7480" t="s">
        <v>27</v>
      </c>
      <c r="J7480" t="s">
        <v>39</v>
      </c>
      <c r="K7480" t="str">
        <f>"126085"</f>
        <v>126085</v>
      </c>
    </row>
    <row r="7481" spans="1:11" x14ac:dyDescent="0.25">
      <c r="A7481">
        <v>2025</v>
      </c>
      <c r="B7481" t="s">
        <v>10532</v>
      </c>
      <c r="C7481" t="s">
        <v>10533</v>
      </c>
      <c r="D7481" t="s">
        <v>64</v>
      </c>
      <c r="E7481" t="s">
        <v>20</v>
      </c>
      <c r="F7481" t="str">
        <f>"43566-9408"</f>
        <v>43566-9408</v>
      </c>
      <c r="G7481" t="str">
        <f t="shared" si="276"/>
        <v>753658</v>
      </c>
      <c r="H7481" s="2">
        <f>20</f>
        <v>20</v>
      </c>
      <c r="I7481" t="s">
        <v>27</v>
      </c>
      <c r="J7481" t="s">
        <v>39</v>
      </c>
      <c r="K7481" t="str">
        <f>"131240"</f>
        <v>131240</v>
      </c>
    </row>
    <row r="7482" spans="1:11" x14ac:dyDescent="0.25">
      <c r="A7482">
        <v>2025</v>
      </c>
      <c r="B7482" t="s">
        <v>10534</v>
      </c>
      <c r="C7482" t="s">
        <v>10535</v>
      </c>
      <c r="D7482" t="s">
        <v>19</v>
      </c>
      <c r="E7482" t="s">
        <v>20</v>
      </c>
      <c r="F7482" t="str">
        <f>"43611"</f>
        <v>43611</v>
      </c>
      <c r="G7482" t="str">
        <f t="shared" si="276"/>
        <v>753658</v>
      </c>
      <c r="H7482" s="2">
        <f>20</f>
        <v>20</v>
      </c>
      <c r="I7482" t="s">
        <v>27</v>
      </c>
      <c r="J7482" t="s">
        <v>39</v>
      </c>
      <c r="K7482" t="str">
        <f>"128926"</f>
        <v>128926</v>
      </c>
    </row>
    <row r="7483" spans="1:11" x14ac:dyDescent="0.25">
      <c r="A7483">
        <v>2025</v>
      </c>
      <c r="B7483" t="s">
        <v>10536</v>
      </c>
      <c r="C7483" t="s">
        <v>10537</v>
      </c>
      <c r="D7483" t="s">
        <v>50</v>
      </c>
      <c r="E7483" t="s">
        <v>20</v>
      </c>
      <c r="F7483" t="str">
        <f>"43560-3104"</f>
        <v>43560-3104</v>
      </c>
      <c r="G7483" t="str">
        <f t="shared" si="276"/>
        <v>753658</v>
      </c>
      <c r="H7483" s="2">
        <f>20</f>
        <v>20</v>
      </c>
      <c r="I7483" t="s">
        <v>27</v>
      </c>
      <c r="J7483" t="s">
        <v>39</v>
      </c>
      <c r="K7483" t="str">
        <f>"126590"</f>
        <v>126590</v>
      </c>
    </row>
    <row r="7484" spans="1:11" x14ac:dyDescent="0.25">
      <c r="A7484">
        <v>2025</v>
      </c>
      <c r="B7484" t="s">
        <v>10538</v>
      </c>
      <c r="C7484" t="s">
        <v>10539</v>
      </c>
      <c r="D7484" t="s">
        <v>50</v>
      </c>
      <c r="E7484" t="s">
        <v>20</v>
      </c>
      <c r="F7484" t="str">
        <f>"43560-1117"</f>
        <v>43560-1117</v>
      </c>
      <c r="G7484" t="str">
        <f t="shared" si="276"/>
        <v>753658</v>
      </c>
      <c r="H7484" s="2">
        <f>20</f>
        <v>20</v>
      </c>
      <c r="I7484" t="s">
        <v>27</v>
      </c>
      <c r="J7484" t="s">
        <v>39</v>
      </c>
      <c r="K7484" t="str">
        <f>"130993"</f>
        <v>130993</v>
      </c>
    </row>
    <row r="7485" spans="1:11" x14ac:dyDescent="0.25">
      <c r="A7485">
        <v>2025</v>
      </c>
      <c r="B7485" t="s">
        <v>10542</v>
      </c>
      <c r="C7485" t="s">
        <v>10543</v>
      </c>
      <c r="D7485" t="s">
        <v>50</v>
      </c>
      <c r="E7485" t="s">
        <v>20</v>
      </c>
      <c r="F7485" t="str">
        <f>"43560-3922"</f>
        <v>43560-3922</v>
      </c>
      <c r="G7485" t="str">
        <f t="shared" si="276"/>
        <v>753658</v>
      </c>
      <c r="H7485" s="2">
        <f>20</f>
        <v>20</v>
      </c>
      <c r="I7485" t="s">
        <v>27</v>
      </c>
      <c r="J7485" t="s">
        <v>39</v>
      </c>
      <c r="K7485" t="str">
        <f>"128631"</f>
        <v>128631</v>
      </c>
    </row>
    <row r="7486" spans="1:11" x14ac:dyDescent="0.25">
      <c r="A7486">
        <v>2025</v>
      </c>
      <c r="B7486" t="s">
        <v>10544</v>
      </c>
      <c r="C7486" t="s">
        <v>10545</v>
      </c>
      <c r="D7486" t="s">
        <v>19</v>
      </c>
      <c r="E7486" t="s">
        <v>20</v>
      </c>
      <c r="F7486" t="str">
        <f>"43624"</f>
        <v>43624</v>
      </c>
      <c r="G7486" t="str">
        <f>"751639"</f>
        <v>751639</v>
      </c>
      <c r="H7486" s="2">
        <f>55.22</f>
        <v>55.22</v>
      </c>
      <c r="I7486" t="s">
        <v>27</v>
      </c>
      <c r="J7486" t="s">
        <v>96</v>
      </c>
      <c r="K7486" t="str">
        <f>"335063"</f>
        <v>335063</v>
      </c>
    </row>
    <row r="7487" spans="1:11" x14ac:dyDescent="0.25">
      <c r="A7487">
        <v>2025</v>
      </c>
      <c r="B7487" t="s">
        <v>10546</v>
      </c>
      <c r="C7487" t="s">
        <v>10547</v>
      </c>
      <c r="D7487" t="s">
        <v>19</v>
      </c>
      <c r="E7487" t="s">
        <v>20</v>
      </c>
      <c r="F7487" t="str">
        <f>"43615-5250"</f>
        <v>43615-5250</v>
      </c>
      <c r="G7487" t="str">
        <f>"753658"</f>
        <v>753658</v>
      </c>
      <c r="H7487" s="2">
        <f>10</f>
        <v>10</v>
      </c>
      <c r="I7487" t="s">
        <v>27</v>
      </c>
      <c r="J7487" t="s">
        <v>39</v>
      </c>
      <c r="K7487" t="str">
        <f>"128701"</f>
        <v>128701</v>
      </c>
    </row>
    <row r="7488" spans="1:11" x14ac:dyDescent="0.25">
      <c r="A7488">
        <v>2025</v>
      </c>
      <c r="B7488" t="s">
        <v>10546</v>
      </c>
      <c r="C7488" t="s">
        <v>10547</v>
      </c>
      <c r="D7488" t="s">
        <v>19</v>
      </c>
      <c r="E7488" t="s">
        <v>20</v>
      </c>
      <c r="F7488" t="str">
        <f>"43615-5250"</f>
        <v>43615-5250</v>
      </c>
      <c r="G7488" t="str">
        <f>"753658"</f>
        <v>753658</v>
      </c>
      <c r="H7488" s="2">
        <f>10</f>
        <v>10</v>
      </c>
      <c r="I7488" t="s">
        <v>27</v>
      </c>
      <c r="J7488" t="s">
        <v>39</v>
      </c>
      <c r="K7488" t="str">
        <f>"128801"</f>
        <v>128801</v>
      </c>
    </row>
    <row r="7489" spans="1:11" x14ac:dyDescent="0.25">
      <c r="A7489">
        <v>2025</v>
      </c>
      <c r="B7489" t="s">
        <v>10550</v>
      </c>
      <c r="C7489" t="s">
        <v>10551</v>
      </c>
      <c r="D7489" t="s">
        <v>19</v>
      </c>
      <c r="E7489" t="s">
        <v>20</v>
      </c>
      <c r="F7489" t="str">
        <f>"43604"</f>
        <v>43604</v>
      </c>
      <c r="G7489" t="str">
        <f>"751639"</f>
        <v>751639</v>
      </c>
      <c r="H7489" s="2">
        <f>4.05</f>
        <v>4.05</v>
      </c>
      <c r="I7489" t="s">
        <v>27</v>
      </c>
      <c r="J7489" t="s">
        <v>96</v>
      </c>
      <c r="K7489" t="str">
        <f>"334921"</f>
        <v>334921</v>
      </c>
    </row>
    <row r="7490" spans="1:11" x14ac:dyDescent="0.25">
      <c r="A7490">
        <v>2025</v>
      </c>
      <c r="B7490" t="s">
        <v>10557</v>
      </c>
      <c r="C7490" t="s">
        <v>10558</v>
      </c>
      <c r="D7490" t="s">
        <v>50</v>
      </c>
      <c r="E7490" t="s">
        <v>20</v>
      </c>
      <c r="F7490" t="str">
        <f>"43560-3561"</f>
        <v>43560-3561</v>
      </c>
      <c r="G7490" t="str">
        <f t="shared" ref="G7490:G7499" si="277">"753658"</f>
        <v>753658</v>
      </c>
      <c r="H7490" s="2">
        <f>30</f>
        <v>30</v>
      </c>
      <c r="I7490" t="s">
        <v>27</v>
      </c>
      <c r="J7490" t="s">
        <v>39</v>
      </c>
      <c r="K7490" t="str">
        <f>"125358"</f>
        <v>125358</v>
      </c>
    </row>
    <row r="7491" spans="1:11" x14ac:dyDescent="0.25">
      <c r="A7491">
        <v>2025</v>
      </c>
      <c r="B7491" t="s">
        <v>10564</v>
      </c>
      <c r="C7491" t="s">
        <v>10565</v>
      </c>
      <c r="D7491" t="s">
        <v>58</v>
      </c>
      <c r="E7491" t="s">
        <v>20</v>
      </c>
      <c r="F7491" t="str">
        <f>"43616-2722"</f>
        <v>43616-2722</v>
      </c>
      <c r="G7491" t="str">
        <f t="shared" si="277"/>
        <v>753658</v>
      </c>
      <c r="H7491" s="2">
        <f>10</f>
        <v>10</v>
      </c>
      <c r="I7491" t="s">
        <v>27</v>
      </c>
      <c r="J7491" t="s">
        <v>39</v>
      </c>
      <c r="K7491" t="str">
        <f>"128186"</f>
        <v>128186</v>
      </c>
    </row>
    <row r="7492" spans="1:11" x14ac:dyDescent="0.25">
      <c r="A7492">
        <v>2025</v>
      </c>
      <c r="B7492" t="s">
        <v>10566</v>
      </c>
      <c r="C7492" t="s">
        <v>10567</v>
      </c>
      <c r="D7492" t="s">
        <v>50</v>
      </c>
      <c r="E7492" t="s">
        <v>20</v>
      </c>
      <c r="F7492" t="str">
        <f>"43560-2633"</f>
        <v>43560-2633</v>
      </c>
      <c r="G7492" t="str">
        <f t="shared" si="277"/>
        <v>753658</v>
      </c>
      <c r="H7492" s="2">
        <f>20</f>
        <v>20</v>
      </c>
      <c r="I7492" t="s">
        <v>27</v>
      </c>
      <c r="J7492" t="s">
        <v>39</v>
      </c>
      <c r="K7492" t="str">
        <f>"126116"</f>
        <v>126116</v>
      </c>
    </row>
    <row r="7493" spans="1:11" x14ac:dyDescent="0.25">
      <c r="A7493">
        <v>2025</v>
      </c>
      <c r="B7493" t="s">
        <v>10570</v>
      </c>
      <c r="C7493" t="s">
        <v>10571</v>
      </c>
      <c r="D7493" t="s">
        <v>58</v>
      </c>
      <c r="E7493" t="s">
        <v>20</v>
      </c>
      <c r="F7493" t="str">
        <f>"43616-4229"</f>
        <v>43616-4229</v>
      </c>
      <c r="G7493" t="str">
        <f t="shared" si="277"/>
        <v>753658</v>
      </c>
      <c r="H7493" s="2">
        <f>10</f>
        <v>10</v>
      </c>
      <c r="I7493" t="s">
        <v>27</v>
      </c>
      <c r="J7493" t="s">
        <v>39</v>
      </c>
      <c r="K7493" t="str">
        <f>"129501"</f>
        <v>129501</v>
      </c>
    </row>
    <row r="7494" spans="1:11" x14ac:dyDescent="0.25">
      <c r="A7494">
        <v>2025</v>
      </c>
      <c r="B7494" t="s">
        <v>10572</v>
      </c>
      <c r="C7494" t="s">
        <v>10573</v>
      </c>
      <c r="D7494" t="s">
        <v>125</v>
      </c>
      <c r="E7494" t="s">
        <v>20</v>
      </c>
      <c r="F7494" t="str">
        <f>"43537-9155"</f>
        <v>43537-9155</v>
      </c>
      <c r="G7494" t="str">
        <f t="shared" si="277"/>
        <v>753658</v>
      </c>
      <c r="H7494" s="2">
        <f>20</f>
        <v>20</v>
      </c>
      <c r="I7494" t="s">
        <v>27</v>
      </c>
      <c r="J7494" t="s">
        <v>39</v>
      </c>
      <c r="K7494" t="str">
        <f>"127225"</f>
        <v>127225</v>
      </c>
    </row>
    <row r="7495" spans="1:11" x14ac:dyDescent="0.25">
      <c r="A7495">
        <v>2025</v>
      </c>
      <c r="B7495" t="s">
        <v>10578</v>
      </c>
      <c r="C7495" t="s">
        <v>10579</v>
      </c>
      <c r="D7495" t="s">
        <v>19</v>
      </c>
      <c r="E7495" t="s">
        <v>20</v>
      </c>
      <c r="F7495" t="str">
        <f>"43611-1564"</f>
        <v>43611-1564</v>
      </c>
      <c r="G7495" t="str">
        <f t="shared" si="277"/>
        <v>753658</v>
      </c>
      <c r="H7495" s="2">
        <f>10</f>
        <v>10</v>
      </c>
      <c r="I7495" t="s">
        <v>27</v>
      </c>
      <c r="J7495" t="s">
        <v>39</v>
      </c>
      <c r="K7495" t="str">
        <f>"128504"</f>
        <v>128504</v>
      </c>
    </row>
    <row r="7496" spans="1:11" x14ac:dyDescent="0.25">
      <c r="A7496">
        <v>2025</v>
      </c>
      <c r="B7496" t="s">
        <v>10580</v>
      </c>
      <c r="C7496" t="s">
        <v>10581</v>
      </c>
      <c r="D7496" t="s">
        <v>19</v>
      </c>
      <c r="E7496" t="s">
        <v>20</v>
      </c>
      <c r="F7496" t="str">
        <f>"43606-2704"</f>
        <v>43606-2704</v>
      </c>
      <c r="G7496" t="str">
        <f t="shared" si="277"/>
        <v>753658</v>
      </c>
      <c r="H7496" s="2">
        <f>20</f>
        <v>20</v>
      </c>
      <c r="I7496" t="s">
        <v>27</v>
      </c>
      <c r="J7496" t="s">
        <v>39</v>
      </c>
      <c r="K7496" t="str">
        <f>"128689"</f>
        <v>128689</v>
      </c>
    </row>
    <row r="7497" spans="1:11" x14ac:dyDescent="0.25">
      <c r="A7497">
        <v>2025</v>
      </c>
      <c r="B7497" t="s">
        <v>10582</v>
      </c>
      <c r="C7497" t="s">
        <v>10583</v>
      </c>
      <c r="D7497" t="s">
        <v>19</v>
      </c>
      <c r="E7497" t="s">
        <v>20</v>
      </c>
      <c r="F7497" t="str">
        <f>"43614-2148"</f>
        <v>43614-2148</v>
      </c>
      <c r="G7497" t="str">
        <f t="shared" si="277"/>
        <v>753658</v>
      </c>
      <c r="H7497" s="2">
        <f>20</f>
        <v>20</v>
      </c>
      <c r="I7497" t="s">
        <v>27</v>
      </c>
      <c r="J7497" t="s">
        <v>39</v>
      </c>
      <c r="K7497" t="str">
        <f>"126558"</f>
        <v>126558</v>
      </c>
    </row>
    <row r="7498" spans="1:11" x14ac:dyDescent="0.25">
      <c r="A7498">
        <v>2025</v>
      </c>
      <c r="B7498" t="s">
        <v>10584</v>
      </c>
      <c r="C7498" t="s">
        <v>10585</v>
      </c>
      <c r="D7498" t="s">
        <v>19</v>
      </c>
      <c r="E7498" t="s">
        <v>20</v>
      </c>
      <c r="F7498" t="str">
        <f>"43611-1572"</f>
        <v>43611-1572</v>
      </c>
      <c r="G7498" t="str">
        <f t="shared" si="277"/>
        <v>753658</v>
      </c>
      <c r="H7498" s="2">
        <f>30</f>
        <v>30</v>
      </c>
      <c r="I7498" t="s">
        <v>27</v>
      </c>
      <c r="J7498" t="s">
        <v>39</v>
      </c>
      <c r="K7498" t="str">
        <f>"126586"</f>
        <v>126586</v>
      </c>
    </row>
    <row r="7499" spans="1:11" x14ac:dyDescent="0.25">
      <c r="A7499">
        <v>2025</v>
      </c>
      <c r="B7499" t="s">
        <v>10586</v>
      </c>
      <c r="C7499" t="s">
        <v>10587</v>
      </c>
      <c r="D7499" t="s">
        <v>19</v>
      </c>
      <c r="E7499" t="s">
        <v>20</v>
      </c>
      <c r="F7499" t="str">
        <f>"43615-5909"</f>
        <v>43615-5909</v>
      </c>
      <c r="G7499" t="str">
        <f t="shared" si="277"/>
        <v>753658</v>
      </c>
      <c r="H7499" s="2">
        <f>10</f>
        <v>10</v>
      </c>
      <c r="I7499" t="s">
        <v>27</v>
      </c>
      <c r="J7499" t="s">
        <v>39</v>
      </c>
      <c r="K7499" t="str">
        <f>"129687"</f>
        <v>129687</v>
      </c>
    </row>
    <row r="7500" spans="1:11" x14ac:dyDescent="0.25">
      <c r="A7500">
        <v>2025</v>
      </c>
      <c r="B7500" t="s">
        <v>10592</v>
      </c>
      <c r="C7500" t="s">
        <v>10593</v>
      </c>
      <c r="D7500" t="s">
        <v>5024</v>
      </c>
      <c r="E7500" t="s">
        <v>1341</v>
      </c>
      <c r="F7500" t="str">
        <f>"75019"</f>
        <v>75019</v>
      </c>
      <c r="G7500" t="str">
        <f>"Je12092025"</f>
        <v>Je12092025</v>
      </c>
      <c r="H7500" s="2">
        <f>976.66</f>
        <v>976.66</v>
      </c>
      <c r="I7500" t="s">
        <v>15</v>
      </c>
      <c r="J7500" t="s">
        <v>909</v>
      </c>
      <c r="K7500" t="str">
        <f>"60166210"</f>
        <v>60166210</v>
      </c>
    </row>
    <row r="7501" spans="1:11" x14ac:dyDescent="0.25">
      <c r="A7501">
        <v>2025</v>
      </c>
      <c r="B7501" t="s">
        <v>10594</v>
      </c>
      <c r="C7501" t="s">
        <v>1004</v>
      </c>
      <c r="D7501" t="s">
        <v>1005</v>
      </c>
      <c r="E7501" t="s">
        <v>20</v>
      </c>
      <c r="F7501" t="str">
        <f>"44139"</f>
        <v>44139</v>
      </c>
      <c r="G7501" t="str">
        <f>"759796"</f>
        <v>759796</v>
      </c>
      <c r="H7501" s="2">
        <f>550</f>
        <v>550</v>
      </c>
      <c r="I7501" t="s">
        <v>27</v>
      </c>
      <c r="J7501" t="s">
        <v>188</v>
      </c>
      <c r="K7501" t="str">
        <f>"46053"</f>
        <v>46053</v>
      </c>
    </row>
    <row r="7502" spans="1:11" x14ac:dyDescent="0.25">
      <c r="A7502">
        <v>2025</v>
      </c>
      <c r="B7502" t="s">
        <v>10594</v>
      </c>
      <c r="C7502" t="s">
        <v>1004</v>
      </c>
      <c r="D7502" t="s">
        <v>1005</v>
      </c>
      <c r="E7502" t="s">
        <v>20</v>
      </c>
      <c r="F7502" t="str">
        <f>"44139"</f>
        <v>44139</v>
      </c>
      <c r="G7502" t="str">
        <f>"759796"</f>
        <v>759796</v>
      </c>
      <c r="H7502" s="2">
        <f>305</f>
        <v>305</v>
      </c>
      <c r="I7502" t="s">
        <v>27</v>
      </c>
      <c r="J7502" t="s">
        <v>188</v>
      </c>
      <c r="K7502" t="str">
        <f>"44996"</f>
        <v>44996</v>
      </c>
    </row>
    <row r="7503" spans="1:11" x14ac:dyDescent="0.25">
      <c r="A7503">
        <v>2025</v>
      </c>
      <c r="B7503" t="s">
        <v>10595</v>
      </c>
      <c r="C7503" t="s">
        <v>10596</v>
      </c>
      <c r="D7503" t="s">
        <v>19</v>
      </c>
      <c r="E7503" t="s">
        <v>20</v>
      </c>
      <c r="F7503" t="str">
        <f>"43611-2931"</f>
        <v>43611-2931</v>
      </c>
      <c r="G7503" t="str">
        <f>"753658"</f>
        <v>753658</v>
      </c>
      <c r="H7503" s="2">
        <f>20</f>
        <v>20</v>
      </c>
      <c r="I7503" t="s">
        <v>27</v>
      </c>
      <c r="J7503" t="s">
        <v>39</v>
      </c>
      <c r="K7503" t="str">
        <f>"129925"</f>
        <v>129925</v>
      </c>
    </row>
    <row r="7504" spans="1:11" x14ac:dyDescent="0.25">
      <c r="A7504">
        <v>2025</v>
      </c>
      <c r="B7504" t="s">
        <v>10606</v>
      </c>
      <c r="C7504" t="s">
        <v>10607</v>
      </c>
      <c r="D7504" t="s">
        <v>125</v>
      </c>
      <c r="E7504" t="s">
        <v>20</v>
      </c>
      <c r="F7504" t="str">
        <f>"43537-1219"</f>
        <v>43537-1219</v>
      </c>
      <c r="G7504" t="str">
        <f>"753658"</f>
        <v>753658</v>
      </c>
      <c r="H7504" s="2">
        <f>20</f>
        <v>20</v>
      </c>
      <c r="I7504" t="s">
        <v>27</v>
      </c>
      <c r="J7504" t="s">
        <v>39</v>
      </c>
      <c r="K7504" t="str">
        <f>"131179"</f>
        <v>131179</v>
      </c>
    </row>
    <row r="7505" spans="1:11" x14ac:dyDescent="0.25">
      <c r="A7505">
        <v>2025</v>
      </c>
      <c r="B7505" t="s">
        <v>10615</v>
      </c>
      <c r="C7505" t="s">
        <v>1004</v>
      </c>
      <c r="D7505" t="s">
        <v>1005</v>
      </c>
      <c r="E7505" t="s">
        <v>20</v>
      </c>
      <c r="F7505" t="str">
        <f>"44139"</f>
        <v>44139</v>
      </c>
      <c r="G7505" t="str">
        <f>"759796"</f>
        <v>759796</v>
      </c>
      <c r="H7505" s="2">
        <f>127.3</f>
        <v>127.3</v>
      </c>
      <c r="I7505" t="s">
        <v>27</v>
      </c>
      <c r="J7505" t="s">
        <v>188</v>
      </c>
      <c r="K7505" t="str">
        <f>"46279"</f>
        <v>46279</v>
      </c>
    </row>
    <row r="7506" spans="1:11" x14ac:dyDescent="0.25">
      <c r="A7506">
        <v>2025</v>
      </c>
      <c r="B7506" t="s">
        <v>10618</v>
      </c>
      <c r="C7506" t="s">
        <v>10619</v>
      </c>
      <c r="D7506" t="s">
        <v>19</v>
      </c>
      <c r="E7506" t="s">
        <v>20</v>
      </c>
      <c r="F7506" t="str">
        <f>"43609"</f>
        <v>43609</v>
      </c>
      <c r="G7506" t="str">
        <f>"751641"</f>
        <v>751641</v>
      </c>
      <c r="H7506" s="2">
        <f>2</f>
        <v>2</v>
      </c>
      <c r="I7506" t="s">
        <v>27</v>
      </c>
      <c r="J7506" t="s">
        <v>219</v>
      </c>
      <c r="K7506" t="str">
        <f>"44010460"</f>
        <v>44010460</v>
      </c>
    </row>
    <row r="7507" spans="1:11" x14ac:dyDescent="0.25">
      <c r="A7507">
        <v>2025</v>
      </c>
      <c r="B7507" t="s">
        <v>10632</v>
      </c>
      <c r="C7507" t="s">
        <v>10633</v>
      </c>
      <c r="D7507" t="s">
        <v>19</v>
      </c>
      <c r="E7507" t="s">
        <v>20</v>
      </c>
      <c r="F7507" t="str">
        <f>"43606"</f>
        <v>43606</v>
      </c>
      <c r="G7507" t="str">
        <f>"759796"</f>
        <v>759796</v>
      </c>
      <c r="H7507" s="2">
        <f>166.35</f>
        <v>166.35</v>
      </c>
      <c r="I7507" t="s">
        <v>27</v>
      </c>
      <c r="J7507" t="s">
        <v>188</v>
      </c>
      <c r="K7507" t="str">
        <f>"45558"</f>
        <v>45558</v>
      </c>
    </row>
    <row r="7508" spans="1:11" x14ac:dyDescent="0.25">
      <c r="A7508">
        <v>2025</v>
      </c>
      <c r="B7508" t="s">
        <v>10634</v>
      </c>
      <c r="C7508" t="s">
        <v>10635</v>
      </c>
      <c r="D7508" t="s">
        <v>19</v>
      </c>
      <c r="E7508" t="s">
        <v>20</v>
      </c>
      <c r="F7508" t="str">
        <f>"43604"</f>
        <v>43604</v>
      </c>
      <c r="G7508" t="str">
        <f>"759796"</f>
        <v>759796</v>
      </c>
      <c r="H7508" s="2">
        <f>20</f>
        <v>20</v>
      </c>
      <c r="I7508" t="s">
        <v>27</v>
      </c>
      <c r="J7508" t="s">
        <v>188</v>
      </c>
      <c r="K7508" t="str">
        <f>"44720"</f>
        <v>44720</v>
      </c>
    </row>
    <row r="7509" spans="1:11" x14ac:dyDescent="0.25">
      <c r="A7509">
        <v>2025</v>
      </c>
      <c r="B7509" t="s">
        <v>10636</v>
      </c>
      <c r="C7509" t="s">
        <v>10637</v>
      </c>
      <c r="D7509" t="s">
        <v>19</v>
      </c>
      <c r="E7509" t="s">
        <v>20</v>
      </c>
      <c r="F7509" t="str">
        <f>"43612-3205"</f>
        <v>43612-3205</v>
      </c>
      <c r="G7509" t="str">
        <f t="shared" ref="G7509:G7520" si="278">"753658"</f>
        <v>753658</v>
      </c>
      <c r="H7509" s="2">
        <f>30</f>
        <v>30</v>
      </c>
      <c r="I7509" t="s">
        <v>27</v>
      </c>
      <c r="J7509" t="s">
        <v>39</v>
      </c>
      <c r="K7509" t="str">
        <f>"127039"</f>
        <v>127039</v>
      </c>
    </row>
    <row r="7510" spans="1:11" x14ac:dyDescent="0.25">
      <c r="A7510">
        <v>2025</v>
      </c>
      <c r="B7510" t="s">
        <v>10644</v>
      </c>
      <c r="C7510" t="s">
        <v>10645</v>
      </c>
      <c r="D7510" t="s">
        <v>19</v>
      </c>
      <c r="E7510" t="s">
        <v>20</v>
      </c>
      <c r="F7510" t="str">
        <f>"43607-2639"</f>
        <v>43607-2639</v>
      </c>
      <c r="G7510" t="str">
        <f t="shared" si="278"/>
        <v>753658</v>
      </c>
      <c r="H7510" s="2">
        <f>60</f>
        <v>60</v>
      </c>
      <c r="I7510" t="s">
        <v>27</v>
      </c>
      <c r="J7510" t="s">
        <v>39</v>
      </c>
      <c r="K7510" t="str">
        <f>"125655"</f>
        <v>125655</v>
      </c>
    </row>
    <row r="7511" spans="1:11" x14ac:dyDescent="0.25">
      <c r="A7511">
        <v>2025</v>
      </c>
      <c r="B7511" t="s">
        <v>10652</v>
      </c>
      <c r="C7511" t="s">
        <v>10653</v>
      </c>
      <c r="D7511" t="s">
        <v>19</v>
      </c>
      <c r="E7511" t="s">
        <v>20</v>
      </c>
      <c r="F7511" t="str">
        <f>"43611-1451"</f>
        <v>43611-1451</v>
      </c>
      <c r="G7511" t="str">
        <f t="shared" si="278"/>
        <v>753658</v>
      </c>
      <c r="H7511" s="2">
        <f>10</f>
        <v>10</v>
      </c>
      <c r="I7511" t="s">
        <v>27</v>
      </c>
      <c r="J7511" t="s">
        <v>39</v>
      </c>
      <c r="K7511" t="str">
        <f>"126415"</f>
        <v>126415</v>
      </c>
    </row>
    <row r="7512" spans="1:11" x14ac:dyDescent="0.25">
      <c r="A7512">
        <v>2025</v>
      </c>
      <c r="B7512" t="s">
        <v>10664</v>
      </c>
      <c r="C7512" t="s">
        <v>10665</v>
      </c>
      <c r="D7512" t="s">
        <v>50</v>
      </c>
      <c r="E7512" t="s">
        <v>20</v>
      </c>
      <c r="F7512" t="str">
        <f>"43560-9589"</f>
        <v>43560-9589</v>
      </c>
      <c r="G7512" t="str">
        <f t="shared" si="278"/>
        <v>753658</v>
      </c>
      <c r="H7512" s="2">
        <f>80</f>
        <v>80</v>
      </c>
      <c r="I7512" t="s">
        <v>27</v>
      </c>
      <c r="J7512" t="s">
        <v>39</v>
      </c>
      <c r="K7512" t="str">
        <f>"129318"</f>
        <v>129318</v>
      </c>
    </row>
    <row r="7513" spans="1:11" x14ac:dyDescent="0.25">
      <c r="A7513">
        <v>2025</v>
      </c>
      <c r="B7513" t="s">
        <v>10677</v>
      </c>
      <c r="C7513" t="s">
        <v>10678</v>
      </c>
      <c r="D7513" t="s">
        <v>19</v>
      </c>
      <c r="E7513" t="s">
        <v>20</v>
      </c>
      <c r="F7513" t="str">
        <f>"43612-2407"</f>
        <v>43612-2407</v>
      </c>
      <c r="G7513" t="str">
        <f t="shared" si="278"/>
        <v>753658</v>
      </c>
      <c r="H7513" s="2">
        <f>20</f>
        <v>20</v>
      </c>
      <c r="I7513" t="s">
        <v>27</v>
      </c>
      <c r="J7513" t="s">
        <v>39</v>
      </c>
      <c r="K7513" t="str">
        <f>"129346"</f>
        <v>129346</v>
      </c>
    </row>
    <row r="7514" spans="1:11" x14ac:dyDescent="0.25">
      <c r="A7514">
        <v>2025</v>
      </c>
      <c r="B7514" t="s">
        <v>10679</v>
      </c>
      <c r="C7514" t="s">
        <v>10680</v>
      </c>
      <c r="D7514" t="s">
        <v>50</v>
      </c>
      <c r="E7514" t="s">
        <v>20</v>
      </c>
      <c r="F7514" t="str">
        <f>"43560-1139"</f>
        <v>43560-1139</v>
      </c>
      <c r="G7514" t="str">
        <f t="shared" si="278"/>
        <v>753658</v>
      </c>
      <c r="H7514" s="2">
        <f>20</f>
        <v>20</v>
      </c>
      <c r="I7514" t="s">
        <v>27</v>
      </c>
      <c r="J7514" t="s">
        <v>39</v>
      </c>
      <c r="K7514" t="str">
        <f>"127475"</f>
        <v>127475</v>
      </c>
    </row>
    <row r="7515" spans="1:11" x14ac:dyDescent="0.25">
      <c r="A7515">
        <v>2025</v>
      </c>
      <c r="B7515" t="s">
        <v>10689</v>
      </c>
      <c r="C7515" t="s">
        <v>10690</v>
      </c>
      <c r="D7515" t="s">
        <v>125</v>
      </c>
      <c r="E7515" t="s">
        <v>20</v>
      </c>
      <c r="F7515" t="str">
        <f>"43537-8632"</f>
        <v>43537-8632</v>
      </c>
      <c r="G7515" t="str">
        <f t="shared" si="278"/>
        <v>753658</v>
      </c>
      <c r="H7515" s="2">
        <f>10</f>
        <v>10</v>
      </c>
      <c r="I7515" t="s">
        <v>27</v>
      </c>
      <c r="J7515" t="s">
        <v>39</v>
      </c>
      <c r="K7515" t="str">
        <f>"126031"</f>
        <v>126031</v>
      </c>
    </row>
    <row r="7516" spans="1:11" x14ac:dyDescent="0.25">
      <c r="A7516">
        <v>2025</v>
      </c>
      <c r="B7516" t="s">
        <v>10691</v>
      </c>
      <c r="C7516" t="s">
        <v>10692</v>
      </c>
      <c r="D7516" t="s">
        <v>19</v>
      </c>
      <c r="E7516" t="s">
        <v>20</v>
      </c>
      <c r="F7516" t="str">
        <f>"43606-3045"</f>
        <v>43606-3045</v>
      </c>
      <c r="G7516" t="str">
        <f t="shared" si="278"/>
        <v>753658</v>
      </c>
      <c r="H7516" s="2">
        <f>20</f>
        <v>20</v>
      </c>
      <c r="I7516" t="s">
        <v>27</v>
      </c>
      <c r="J7516" t="s">
        <v>39</v>
      </c>
      <c r="K7516" t="str">
        <f>"125473"</f>
        <v>125473</v>
      </c>
    </row>
    <row r="7517" spans="1:11" x14ac:dyDescent="0.25">
      <c r="A7517">
        <v>2025</v>
      </c>
      <c r="B7517" t="s">
        <v>10699</v>
      </c>
      <c r="C7517" t="s">
        <v>10700</v>
      </c>
      <c r="D7517" t="s">
        <v>19</v>
      </c>
      <c r="E7517" t="s">
        <v>20</v>
      </c>
      <c r="F7517" t="str">
        <f>"43614-1837"</f>
        <v>43614-1837</v>
      </c>
      <c r="G7517" t="str">
        <f t="shared" si="278"/>
        <v>753658</v>
      </c>
      <c r="H7517" s="2">
        <f>10</f>
        <v>10</v>
      </c>
      <c r="I7517" t="s">
        <v>27</v>
      </c>
      <c r="J7517" t="s">
        <v>39</v>
      </c>
      <c r="K7517" t="str">
        <f>"127017"</f>
        <v>127017</v>
      </c>
    </row>
    <row r="7518" spans="1:11" x14ac:dyDescent="0.25">
      <c r="A7518">
        <v>2025</v>
      </c>
      <c r="B7518" t="s">
        <v>10717</v>
      </c>
      <c r="C7518" t="s">
        <v>10718</v>
      </c>
      <c r="D7518" t="s">
        <v>19</v>
      </c>
      <c r="E7518" t="s">
        <v>20</v>
      </c>
      <c r="F7518" t="str">
        <f>"43623-2752"</f>
        <v>43623-2752</v>
      </c>
      <c r="G7518" t="str">
        <f t="shared" si="278"/>
        <v>753658</v>
      </c>
      <c r="H7518" s="2">
        <f>20</f>
        <v>20</v>
      </c>
      <c r="I7518" t="s">
        <v>27</v>
      </c>
      <c r="J7518" t="s">
        <v>39</v>
      </c>
      <c r="K7518" t="str">
        <f>"126523"</f>
        <v>126523</v>
      </c>
    </row>
    <row r="7519" spans="1:11" x14ac:dyDescent="0.25">
      <c r="A7519">
        <v>2025</v>
      </c>
      <c r="B7519" t="s">
        <v>10731</v>
      </c>
      <c r="C7519" t="s">
        <v>10732</v>
      </c>
      <c r="D7519" t="s">
        <v>19</v>
      </c>
      <c r="E7519" t="s">
        <v>20</v>
      </c>
      <c r="F7519" t="str">
        <f>"43613-5218"</f>
        <v>43613-5218</v>
      </c>
      <c r="G7519" t="str">
        <f t="shared" si="278"/>
        <v>753658</v>
      </c>
      <c r="H7519" s="2">
        <f>10</f>
        <v>10</v>
      </c>
      <c r="I7519" t="s">
        <v>27</v>
      </c>
      <c r="J7519" t="s">
        <v>39</v>
      </c>
      <c r="K7519" t="str">
        <f>"128493"</f>
        <v>128493</v>
      </c>
    </row>
    <row r="7520" spans="1:11" x14ac:dyDescent="0.25">
      <c r="A7520">
        <v>2025</v>
      </c>
      <c r="B7520" t="s">
        <v>10735</v>
      </c>
      <c r="C7520" t="s">
        <v>10736</v>
      </c>
      <c r="D7520" t="s">
        <v>50</v>
      </c>
      <c r="E7520" t="s">
        <v>20</v>
      </c>
      <c r="F7520" t="str">
        <f>"43560-3235"</f>
        <v>43560-3235</v>
      </c>
      <c r="G7520" t="str">
        <f t="shared" si="278"/>
        <v>753658</v>
      </c>
      <c r="H7520" s="2">
        <f>30</f>
        <v>30</v>
      </c>
      <c r="I7520" t="s">
        <v>27</v>
      </c>
      <c r="J7520" t="s">
        <v>39</v>
      </c>
      <c r="K7520" t="str">
        <f>"126874"</f>
        <v>126874</v>
      </c>
    </row>
    <row r="7521" spans="1:11" x14ac:dyDescent="0.25">
      <c r="A7521">
        <v>2025</v>
      </c>
      <c r="B7521" t="s">
        <v>10739</v>
      </c>
      <c r="C7521" t="s">
        <v>10740</v>
      </c>
      <c r="D7521" t="s">
        <v>10741</v>
      </c>
      <c r="E7521" t="s">
        <v>3751</v>
      </c>
      <c r="F7521" t="str">
        <f>"70785"</f>
        <v>70785</v>
      </c>
      <c r="G7521" t="str">
        <f>"763729"</f>
        <v>763729</v>
      </c>
      <c r="H7521" s="2">
        <f>5546.01</f>
        <v>5546.01</v>
      </c>
      <c r="I7521" t="s">
        <v>148</v>
      </c>
      <c r="J7521" t="s">
        <v>10742</v>
      </c>
      <c r="K7521" t="str">
        <f>"27810"</f>
        <v>27810</v>
      </c>
    </row>
    <row r="7522" spans="1:11" x14ac:dyDescent="0.25">
      <c r="A7522">
        <v>2025</v>
      </c>
      <c r="B7522" t="s">
        <v>10745</v>
      </c>
      <c r="C7522" t="s">
        <v>10746</v>
      </c>
      <c r="D7522" t="s">
        <v>50</v>
      </c>
      <c r="E7522" t="s">
        <v>20</v>
      </c>
      <c r="F7522" t="str">
        <f>"43560-9375"</f>
        <v>43560-9375</v>
      </c>
      <c r="G7522" t="str">
        <f>"753658"</f>
        <v>753658</v>
      </c>
      <c r="H7522" s="2">
        <f>40</f>
        <v>40</v>
      </c>
      <c r="I7522" t="s">
        <v>27</v>
      </c>
      <c r="J7522" t="s">
        <v>39</v>
      </c>
      <c r="K7522" t="str">
        <f>"131253"</f>
        <v>131253</v>
      </c>
    </row>
    <row r="7523" spans="1:11" x14ac:dyDescent="0.25">
      <c r="A7523">
        <v>2025</v>
      </c>
      <c r="B7523" t="s">
        <v>10749</v>
      </c>
      <c r="C7523" t="s">
        <v>10750</v>
      </c>
      <c r="D7523" t="s">
        <v>19</v>
      </c>
      <c r="E7523" t="s">
        <v>20</v>
      </c>
      <c r="F7523" t="str">
        <f>"43608-2321"</f>
        <v>43608-2321</v>
      </c>
      <c r="G7523" t="str">
        <f>"753658"</f>
        <v>753658</v>
      </c>
      <c r="H7523" s="2">
        <f>40</f>
        <v>40</v>
      </c>
      <c r="I7523" t="s">
        <v>27</v>
      </c>
      <c r="J7523" t="s">
        <v>39</v>
      </c>
      <c r="K7523" t="str">
        <f>"126261"</f>
        <v>126261</v>
      </c>
    </row>
    <row r="7524" spans="1:11" x14ac:dyDescent="0.25">
      <c r="A7524">
        <v>2025</v>
      </c>
      <c r="B7524" t="s">
        <v>10753</v>
      </c>
      <c r="C7524" t="s">
        <v>10754</v>
      </c>
      <c r="D7524" t="s">
        <v>19</v>
      </c>
      <c r="E7524" t="s">
        <v>20</v>
      </c>
      <c r="F7524" t="str">
        <f>"43608-1403"</f>
        <v>43608-1403</v>
      </c>
      <c r="G7524" t="str">
        <f>"753658"</f>
        <v>753658</v>
      </c>
      <c r="H7524" s="2">
        <f>10</f>
        <v>10</v>
      </c>
      <c r="I7524" t="s">
        <v>27</v>
      </c>
      <c r="J7524" t="s">
        <v>39</v>
      </c>
      <c r="K7524" t="str">
        <f>"126195"</f>
        <v>126195</v>
      </c>
    </row>
    <row r="7525" spans="1:11" x14ac:dyDescent="0.25">
      <c r="A7525">
        <v>2025</v>
      </c>
      <c r="B7525" t="s">
        <v>10757</v>
      </c>
      <c r="C7525" t="s">
        <v>10756</v>
      </c>
      <c r="D7525" t="s">
        <v>19</v>
      </c>
      <c r="E7525" t="s">
        <v>20</v>
      </c>
      <c r="F7525" t="str">
        <f>"43606-3723"</f>
        <v>43606-3723</v>
      </c>
      <c r="G7525" t="str">
        <f>"753658"</f>
        <v>753658</v>
      </c>
      <c r="H7525" s="2">
        <f>30</f>
        <v>30</v>
      </c>
      <c r="I7525" t="s">
        <v>27</v>
      </c>
      <c r="J7525" t="s">
        <v>39</v>
      </c>
      <c r="K7525" t="str">
        <f>"131340"</f>
        <v>131340</v>
      </c>
    </row>
    <row r="7526" spans="1:11" x14ac:dyDescent="0.25">
      <c r="A7526">
        <v>2025</v>
      </c>
      <c r="B7526" t="s">
        <v>10774</v>
      </c>
      <c r="C7526" t="s">
        <v>10775</v>
      </c>
      <c r="D7526" t="s">
        <v>19</v>
      </c>
      <c r="E7526" t="s">
        <v>20</v>
      </c>
      <c r="F7526" t="str">
        <f>"43612"</f>
        <v>43612</v>
      </c>
      <c r="G7526" t="str">
        <f>"Je07082025"</f>
        <v>Je07082025</v>
      </c>
      <c r="H7526" s="2">
        <f>249</f>
        <v>249</v>
      </c>
      <c r="I7526" t="s">
        <v>15</v>
      </c>
      <c r="J7526" t="s">
        <v>185</v>
      </c>
      <c r="K7526" t="str">
        <f>"60156869"</f>
        <v>60156869</v>
      </c>
    </row>
    <row r="7527" spans="1:11" x14ac:dyDescent="0.25">
      <c r="A7527">
        <v>2025</v>
      </c>
      <c r="B7527" t="s">
        <v>10779</v>
      </c>
      <c r="C7527" t="s">
        <v>10780</v>
      </c>
      <c r="D7527" t="s">
        <v>58</v>
      </c>
      <c r="E7527" t="s">
        <v>20</v>
      </c>
      <c r="F7527" t="str">
        <f>"43616"</f>
        <v>43616</v>
      </c>
      <c r="G7527" t="str">
        <f>"Je07082025"</f>
        <v>Je07082025</v>
      </c>
      <c r="H7527" s="2">
        <f>25.28</f>
        <v>25.28</v>
      </c>
      <c r="I7527" t="s">
        <v>15</v>
      </c>
      <c r="J7527" t="s">
        <v>185</v>
      </c>
      <c r="K7527" t="str">
        <f>"60148497"</f>
        <v>60148497</v>
      </c>
    </row>
    <row r="7528" spans="1:11" x14ac:dyDescent="0.25">
      <c r="A7528">
        <v>2025</v>
      </c>
      <c r="B7528" t="s">
        <v>10783</v>
      </c>
      <c r="C7528" t="s">
        <v>10784</v>
      </c>
      <c r="D7528" t="s">
        <v>19</v>
      </c>
      <c r="E7528" t="s">
        <v>20</v>
      </c>
      <c r="F7528" t="str">
        <f>"43615-6920"</f>
        <v>43615-6920</v>
      </c>
      <c r="G7528" t="str">
        <f>"753658"</f>
        <v>753658</v>
      </c>
      <c r="H7528" s="2">
        <f>10</f>
        <v>10</v>
      </c>
      <c r="I7528" t="s">
        <v>27</v>
      </c>
      <c r="J7528" t="s">
        <v>39</v>
      </c>
      <c r="K7528" t="str">
        <f>"125463"</f>
        <v>125463</v>
      </c>
    </row>
    <row r="7529" spans="1:11" x14ac:dyDescent="0.25">
      <c r="A7529">
        <v>2025</v>
      </c>
      <c r="B7529" t="s">
        <v>10789</v>
      </c>
      <c r="C7529" t="s">
        <v>4979</v>
      </c>
      <c r="D7529" t="s">
        <v>19</v>
      </c>
      <c r="E7529" t="s">
        <v>20</v>
      </c>
      <c r="F7529" t="str">
        <f>"43613-2406"</f>
        <v>43613-2406</v>
      </c>
      <c r="G7529" t="str">
        <f>"753658"</f>
        <v>753658</v>
      </c>
      <c r="H7529" s="2">
        <f>10</f>
        <v>10</v>
      </c>
      <c r="I7529" t="s">
        <v>27</v>
      </c>
      <c r="J7529" t="s">
        <v>39</v>
      </c>
      <c r="K7529" t="str">
        <f>"128545"</f>
        <v>128545</v>
      </c>
    </row>
    <row r="7530" spans="1:11" x14ac:dyDescent="0.25">
      <c r="A7530">
        <v>2025</v>
      </c>
      <c r="B7530" t="s">
        <v>10792</v>
      </c>
      <c r="C7530" t="s">
        <v>10793</v>
      </c>
      <c r="D7530" t="s">
        <v>19</v>
      </c>
      <c r="E7530" t="s">
        <v>20</v>
      </c>
      <c r="F7530" t="str">
        <f>"43613-4607"</f>
        <v>43613-4607</v>
      </c>
      <c r="G7530" t="str">
        <f>"753658"</f>
        <v>753658</v>
      </c>
      <c r="H7530" s="2">
        <f>40</f>
        <v>40</v>
      </c>
      <c r="I7530" t="s">
        <v>27</v>
      </c>
      <c r="J7530" t="s">
        <v>39</v>
      </c>
      <c r="K7530" t="str">
        <f>"127915"</f>
        <v>127915</v>
      </c>
    </row>
    <row r="7531" spans="1:11" x14ac:dyDescent="0.25">
      <c r="A7531">
        <v>2025</v>
      </c>
      <c r="B7531" t="s">
        <v>10796</v>
      </c>
      <c r="C7531" t="s">
        <v>10797</v>
      </c>
      <c r="D7531" t="s">
        <v>19</v>
      </c>
      <c r="E7531" t="s">
        <v>20</v>
      </c>
      <c r="F7531" t="str">
        <f>"43613-1030"</f>
        <v>43613-1030</v>
      </c>
      <c r="G7531" t="str">
        <f>"753658"</f>
        <v>753658</v>
      </c>
      <c r="H7531" s="2">
        <f>20</f>
        <v>20</v>
      </c>
      <c r="I7531" t="s">
        <v>27</v>
      </c>
      <c r="J7531" t="s">
        <v>39</v>
      </c>
      <c r="K7531" t="str">
        <f>"125257"</f>
        <v>125257</v>
      </c>
    </row>
    <row r="7532" spans="1:11" x14ac:dyDescent="0.25">
      <c r="A7532">
        <v>2025</v>
      </c>
      <c r="B7532" t="s">
        <v>10802</v>
      </c>
      <c r="C7532" t="s">
        <v>10803</v>
      </c>
      <c r="D7532" t="s">
        <v>19</v>
      </c>
      <c r="E7532" t="s">
        <v>20</v>
      </c>
      <c r="F7532" t="str">
        <f>"43620"</f>
        <v>43620</v>
      </c>
      <c r="G7532" t="str">
        <f>"759796"</f>
        <v>759796</v>
      </c>
      <c r="H7532" s="2">
        <f>3</f>
        <v>3</v>
      </c>
      <c r="I7532" t="s">
        <v>27</v>
      </c>
      <c r="J7532" t="s">
        <v>188</v>
      </c>
      <c r="K7532" t="str">
        <f>"43655"</f>
        <v>43655</v>
      </c>
    </row>
    <row r="7533" spans="1:11" x14ac:dyDescent="0.25">
      <c r="A7533">
        <v>2025</v>
      </c>
      <c r="B7533" t="s">
        <v>10804</v>
      </c>
      <c r="C7533" t="s">
        <v>5922</v>
      </c>
      <c r="D7533" t="s">
        <v>19</v>
      </c>
      <c r="E7533" t="s">
        <v>20</v>
      </c>
      <c r="F7533" t="str">
        <f>"43610-1460"</f>
        <v>43610-1460</v>
      </c>
      <c r="G7533" t="str">
        <f>"753658"</f>
        <v>753658</v>
      </c>
      <c r="H7533" s="2">
        <f>10</f>
        <v>10</v>
      </c>
      <c r="I7533" t="s">
        <v>27</v>
      </c>
      <c r="J7533" t="s">
        <v>39</v>
      </c>
      <c r="K7533" t="str">
        <f>"130013"</f>
        <v>130013</v>
      </c>
    </row>
    <row r="7534" spans="1:11" x14ac:dyDescent="0.25">
      <c r="A7534">
        <v>2025</v>
      </c>
      <c r="B7534" t="s">
        <v>10807</v>
      </c>
      <c r="C7534" t="s">
        <v>10808</v>
      </c>
      <c r="D7534" t="s">
        <v>19</v>
      </c>
      <c r="E7534" t="s">
        <v>20</v>
      </c>
      <c r="F7534" t="str">
        <f>"43623-1097"</f>
        <v>43623-1097</v>
      </c>
      <c r="G7534" t="str">
        <f>"753658"</f>
        <v>753658</v>
      </c>
      <c r="H7534" s="2">
        <f>30</f>
        <v>30</v>
      </c>
      <c r="I7534" t="s">
        <v>27</v>
      </c>
      <c r="J7534" t="s">
        <v>39</v>
      </c>
      <c r="K7534" t="str">
        <f>"128341"</f>
        <v>128341</v>
      </c>
    </row>
    <row r="7535" spans="1:11" x14ac:dyDescent="0.25">
      <c r="A7535">
        <v>2025</v>
      </c>
      <c r="B7535" t="s">
        <v>10811</v>
      </c>
      <c r="C7535" t="s">
        <v>10812</v>
      </c>
      <c r="D7535" t="s">
        <v>105</v>
      </c>
      <c r="E7535" t="s">
        <v>20</v>
      </c>
      <c r="F7535" t="str">
        <f>"43528"</f>
        <v>43528</v>
      </c>
      <c r="G7535" t="str">
        <f>"740128"</f>
        <v>740128</v>
      </c>
      <c r="H7535" s="2">
        <f>65</f>
        <v>65</v>
      </c>
      <c r="I7535" t="s">
        <v>148</v>
      </c>
      <c r="J7535" t="s">
        <v>10813</v>
      </c>
      <c r="K7535" t="str">
        <f>"27417"</f>
        <v>27417</v>
      </c>
    </row>
    <row r="7536" spans="1:11" x14ac:dyDescent="0.25">
      <c r="A7536">
        <v>2025</v>
      </c>
      <c r="B7536" t="s">
        <v>10817</v>
      </c>
      <c r="C7536" t="s">
        <v>10818</v>
      </c>
      <c r="D7536" t="s">
        <v>19</v>
      </c>
      <c r="E7536" t="s">
        <v>20</v>
      </c>
      <c r="F7536" t="str">
        <f>"43623-1925"</f>
        <v>43623-1925</v>
      </c>
      <c r="G7536" t="str">
        <f>"753658"</f>
        <v>753658</v>
      </c>
      <c r="H7536" s="2">
        <f>10</f>
        <v>10</v>
      </c>
      <c r="I7536" t="s">
        <v>27</v>
      </c>
      <c r="J7536" t="s">
        <v>39</v>
      </c>
      <c r="K7536" t="str">
        <f>"125514"</f>
        <v>125514</v>
      </c>
    </row>
    <row r="7537" spans="1:11" x14ac:dyDescent="0.25">
      <c r="A7537">
        <v>2025</v>
      </c>
      <c r="B7537" t="s">
        <v>10821</v>
      </c>
      <c r="C7537" t="s">
        <v>10822</v>
      </c>
      <c r="D7537" t="s">
        <v>19</v>
      </c>
      <c r="E7537" t="s">
        <v>20</v>
      </c>
      <c r="F7537" t="str">
        <f>"43615-7058"</f>
        <v>43615-7058</v>
      </c>
      <c r="G7537" t="str">
        <f>"753658"</f>
        <v>753658</v>
      </c>
      <c r="H7537" s="2">
        <f>10</f>
        <v>10</v>
      </c>
      <c r="I7537" t="s">
        <v>27</v>
      </c>
      <c r="J7537" t="s">
        <v>39</v>
      </c>
      <c r="K7537" t="str">
        <f>"129951"</f>
        <v>129951</v>
      </c>
    </row>
    <row r="7538" spans="1:11" x14ac:dyDescent="0.25">
      <c r="A7538">
        <v>2025</v>
      </c>
      <c r="B7538" t="s">
        <v>10836</v>
      </c>
      <c r="C7538" t="s">
        <v>10837</v>
      </c>
      <c r="D7538" t="s">
        <v>50</v>
      </c>
      <c r="E7538" t="s">
        <v>20</v>
      </c>
      <c r="F7538" t="str">
        <f>"43560-3322"</f>
        <v>43560-3322</v>
      </c>
      <c r="G7538" t="str">
        <f>"753658"</f>
        <v>753658</v>
      </c>
      <c r="H7538" s="2">
        <f>10</f>
        <v>10</v>
      </c>
      <c r="I7538" t="s">
        <v>27</v>
      </c>
      <c r="J7538" t="s">
        <v>39</v>
      </c>
      <c r="K7538" t="str">
        <f>"125811"</f>
        <v>125811</v>
      </c>
    </row>
    <row r="7539" spans="1:11" x14ac:dyDescent="0.25">
      <c r="A7539">
        <v>2025</v>
      </c>
      <c r="B7539" t="s">
        <v>10844</v>
      </c>
      <c r="C7539" t="s">
        <v>10845</v>
      </c>
      <c r="D7539" t="s">
        <v>19</v>
      </c>
      <c r="E7539" t="s">
        <v>20</v>
      </c>
      <c r="F7539" t="str">
        <f>"43612-1517"</f>
        <v>43612-1517</v>
      </c>
      <c r="G7539" t="str">
        <f>"753658"</f>
        <v>753658</v>
      </c>
      <c r="H7539" s="2">
        <f>20</f>
        <v>20</v>
      </c>
      <c r="I7539" t="s">
        <v>27</v>
      </c>
      <c r="J7539" t="s">
        <v>39</v>
      </c>
      <c r="K7539" t="str">
        <f>"126521"</f>
        <v>126521</v>
      </c>
    </row>
    <row r="7540" spans="1:11" x14ac:dyDescent="0.25">
      <c r="A7540">
        <v>2025</v>
      </c>
      <c r="B7540" t="s">
        <v>10846</v>
      </c>
      <c r="C7540" t="s">
        <v>10847</v>
      </c>
      <c r="D7540" t="s">
        <v>19</v>
      </c>
      <c r="E7540" t="s">
        <v>20</v>
      </c>
      <c r="F7540" t="str">
        <f>"43615"</f>
        <v>43615</v>
      </c>
      <c r="G7540" t="str">
        <f>"753658"</f>
        <v>753658</v>
      </c>
      <c r="H7540" s="2">
        <f>80</f>
        <v>80</v>
      </c>
      <c r="I7540" t="s">
        <v>27</v>
      </c>
      <c r="J7540" t="s">
        <v>39</v>
      </c>
      <c r="K7540" t="str">
        <f>"126894"</f>
        <v>126894</v>
      </c>
    </row>
    <row r="7541" spans="1:11" x14ac:dyDescent="0.25">
      <c r="A7541">
        <v>2025</v>
      </c>
      <c r="B7541" t="s">
        <v>10857</v>
      </c>
      <c r="C7541" t="s">
        <v>10858</v>
      </c>
      <c r="D7541" t="s">
        <v>19</v>
      </c>
      <c r="E7541" t="s">
        <v>20</v>
      </c>
      <c r="F7541" t="str">
        <f>"43623"</f>
        <v>43623</v>
      </c>
      <c r="G7541" t="str">
        <f>"Je09192025"</f>
        <v>Je09192025</v>
      </c>
      <c r="H7541" s="2">
        <f>74.61</f>
        <v>74.61</v>
      </c>
      <c r="I7541" t="s">
        <v>15</v>
      </c>
      <c r="J7541" t="s">
        <v>563</v>
      </c>
      <c r="K7541" t="str">
        <f>"60162445"</f>
        <v>60162445</v>
      </c>
    </row>
    <row r="7542" spans="1:11" x14ac:dyDescent="0.25">
      <c r="A7542">
        <v>2025</v>
      </c>
      <c r="B7542" t="s">
        <v>10868</v>
      </c>
      <c r="C7542" t="s">
        <v>10869</v>
      </c>
      <c r="D7542" t="s">
        <v>19</v>
      </c>
      <c r="E7542" t="s">
        <v>20</v>
      </c>
      <c r="F7542" t="str">
        <f>"43604-5939"</f>
        <v>43604-5939</v>
      </c>
      <c r="G7542" t="str">
        <f>"753658"</f>
        <v>753658</v>
      </c>
      <c r="H7542" s="2">
        <f>40</f>
        <v>40</v>
      </c>
      <c r="I7542" t="s">
        <v>27</v>
      </c>
      <c r="J7542" t="s">
        <v>39</v>
      </c>
      <c r="K7542" t="str">
        <f>"128951"</f>
        <v>128951</v>
      </c>
    </row>
    <row r="7543" spans="1:11" x14ac:dyDescent="0.25">
      <c r="A7543">
        <v>2025</v>
      </c>
      <c r="B7543" t="s">
        <v>10874</v>
      </c>
      <c r="C7543" t="s">
        <v>3412</v>
      </c>
      <c r="D7543" t="s">
        <v>125</v>
      </c>
      <c r="E7543" t="s">
        <v>20</v>
      </c>
      <c r="F7543" t="str">
        <f>"43537"</f>
        <v>43537</v>
      </c>
      <c r="G7543" t="str">
        <f>"759796"</f>
        <v>759796</v>
      </c>
      <c r="H7543" s="2">
        <f>20</f>
        <v>20</v>
      </c>
      <c r="I7543" t="s">
        <v>27</v>
      </c>
      <c r="J7543" t="s">
        <v>188</v>
      </c>
      <c r="K7543" t="str">
        <f>"43711"</f>
        <v>43711</v>
      </c>
    </row>
    <row r="7544" spans="1:11" x14ac:dyDescent="0.25">
      <c r="A7544">
        <v>2025</v>
      </c>
      <c r="B7544" t="s">
        <v>10885</v>
      </c>
      <c r="C7544" t="s">
        <v>10886</v>
      </c>
      <c r="D7544" t="s">
        <v>19</v>
      </c>
      <c r="E7544" t="s">
        <v>20</v>
      </c>
      <c r="F7544" t="str">
        <f>"43611-8031"</f>
        <v>43611-8031</v>
      </c>
      <c r="G7544" t="str">
        <f>"753658"</f>
        <v>753658</v>
      </c>
      <c r="H7544" s="2">
        <f>30</f>
        <v>30</v>
      </c>
      <c r="I7544" t="s">
        <v>27</v>
      </c>
      <c r="J7544" t="s">
        <v>39</v>
      </c>
      <c r="K7544" t="str">
        <f>"131335"</f>
        <v>131335</v>
      </c>
    </row>
    <row r="7545" spans="1:11" x14ac:dyDescent="0.25">
      <c r="A7545">
        <v>2025</v>
      </c>
      <c r="B7545" t="s">
        <v>10887</v>
      </c>
      <c r="C7545" t="s">
        <v>10888</v>
      </c>
      <c r="D7545" t="s">
        <v>10889</v>
      </c>
      <c r="E7545" t="s">
        <v>923</v>
      </c>
      <c r="F7545" t="str">
        <f>"90251"</f>
        <v>90251</v>
      </c>
      <c r="G7545" t="str">
        <f>"751641"</f>
        <v>751641</v>
      </c>
      <c r="H7545" s="2">
        <f>5</f>
        <v>5</v>
      </c>
      <c r="I7545" t="s">
        <v>10890</v>
      </c>
      <c r="J7545" t="s">
        <v>219</v>
      </c>
      <c r="K7545" t="str">
        <f>"11004752"</f>
        <v>11004752</v>
      </c>
    </row>
    <row r="7546" spans="1:11" x14ac:dyDescent="0.25">
      <c r="A7546">
        <v>2025</v>
      </c>
      <c r="B7546" t="s">
        <v>10941</v>
      </c>
      <c r="C7546" t="s">
        <v>10942</v>
      </c>
      <c r="D7546" t="s">
        <v>19</v>
      </c>
      <c r="E7546" t="s">
        <v>20</v>
      </c>
      <c r="F7546" t="str">
        <f>"43612-1515"</f>
        <v>43612-1515</v>
      </c>
      <c r="G7546" t="str">
        <f>"753658"</f>
        <v>753658</v>
      </c>
      <c r="H7546" s="2">
        <f>10</f>
        <v>10</v>
      </c>
      <c r="I7546" t="s">
        <v>27</v>
      </c>
      <c r="J7546" t="s">
        <v>39</v>
      </c>
      <c r="K7546" t="str">
        <f>"127249"</f>
        <v>127249</v>
      </c>
    </row>
    <row r="7547" spans="1:11" x14ac:dyDescent="0.25">
      <c r="A7547">
        <v>2025</v>
      </c>
      <c r="B7547" t="s">
        <v>10953</v>
      </c>
      <c r="C7547" t="s">
        <v>10954</v>
      </c>
      <c r="D7547" t="s">
        <v>19</v>
      </c>
      <c r="E7547" t="s">
        <v>20</v>
      </c>
      <c r="F7547" t="str">
        <f>"43613-3708"</f>
        <v>43613-3708</v>
      </c>
      <c r="G7547" t="str">
        <f>"753658"</f>
        <v>753658</v>
      </c>
      <c r="H7547" s="2">
        <f>10</f>
        <v>10</v>
      </c>
      <c r="I7547" t="s">
        <v>27</v>
      </c>
      <c r="J7547" t="s">
        <v>39</v>
      </c>
      <c r="K7547" t="str">
        <f>"126192"</f>
        <v>126192</v>
      </c>
    </row>
    <row r="7548" spans="1:11" x14ac:dyDescent="0.25">
      <c r="A7548">
        <v>2025</v>
      </c>
      <c r="B7548" t="s">
        <v>10955</v>
      </c>
      <c r="C7548" t="s">
        <v>10956</v>
      </c>
      <c r="D7548" t="s">
        <v>19</v>
      </c>
      <c r="E7548" t="s">
        <v>20</v>
      </c>
      <c r="F7548" t="str">
        <f>"43612-4009"</f>
        <v>43612-4009</v>
      </c>
      <c r="G7548" t="str">
        <f>"753658"</f>
        <v>753658</v>
      </c>
      <c r="H7548" s="2">
        <f>10</f>
        <v>10</v>
      </c>
      <c r="I7548" t="s">
        <v>27</v>
      </c>
      <c r="J7548" t="s">
        <v>39</v>
      </c>
      <c r="K7548" t="str">
        <f>"129051"</f>
        <v>129051</v>
      </c>
    </row>
    <row r="7549" spans="1:11" x14ac:dyDescent="0.25">
      <c r="A7549">
        <v>2025</v>
      </c>
      <c r="B7549" t="s">
        <v>10961</v>
      </c>
      <c r="C7549" t="s">
        <v>10962</v>
      </c>
      <c r="D7549" t="s">
        <v>19</v>
      </c>
      <c r="E7549" t="s">
        <v>20</v>
      </c>
      <c r="F7549" t="str">
        <f>"43607-3626"</f>
        <v>43607-3626</v>
      </c>
      <c r="G7549" t="str">
        <f>"753658"</f>
        <v>753658</v>
      </c>
      <c r="H7549" s="2">
        <f>20</f>
        <v>20</v>
      </c>
      <c r="I7549" t="s">
        <v>27</v>
      </c>
      <c r="J7549" t="s">
        <v>39</v>
      </c>
      <c r="K7549" t="str">
        <f>"129489"</f>
        <v>129489</v>
      </c>
    </row>
    <row r="7550" spans="1:11" x14ac:dyDescent="0.25">
      <c r="A7550">
        <v>2025</v>
      </c>
      <c r="B7550" t="s">
        <v>10963</v>
      </c>
      <c r="C7550" t="s">
        <v>10964</v>
      </c>
      <c r="D7550" t="s">
        <v>19</v>
      </c>
      <c r="E7550" t="s">
        <v>20</v>
      </c>
      <c r="F7550" t="str">
        <f>"43609"</f>
        <v>43609</v>
      </c>
      <c r="G7550" t="str">
        <f>"751641"</f>
        <v>751641</v>
      </c>
      <c r="H7550" s="2">
        <f>2.5</f>
        <v>2.5</v>
      </c>
      <c r="I7550" t="s">
        <v>27</v>
      </c>
      <c r="J7550" t="s">
        <v>219</v>
      </c>
      <c r="K7550" t="str">
        <f>"22027813"</f>
        <v>22027813</v>
      </c>
    </row>
    <row r="7551" spans="1:11" x14ac:dyDescent="0.25">
      <c r="A7551">
        <v>2025</v>
      </c>
      <c r="B7551" t="s">
        <v>10973</v>
      </c>
      <c r="C7551" t="s">
        <v>10974</v>
      </c>
      <c r="D7551" t="s">
        <v>19</v>
      </c>
      <c r="E7551" t="s">
        <v>20</v>
      </c>
      <c r="F7551" t="str">
        <f>"43605"</f>
        <v>43605</v>
      </c>
      <c r="G7551" t="str">
        <f>"Je12092025"</f>
        <v>Je12092025</v>
      </c>
      <c r="H7551" s="2">
        <f>15.44</f>
        <v>15.44</v>
      </c>
      <c r="I7551" t="s">
        <v>15</v>
      </c>
      <c r="J7551" t="s">
        <v>909</v>
      </c>
      <c r="K7551" t="str">
        <f>"60166971"</f>
        <v>60166971</v>
      </c>
    </row>
    <row r="7552" spans="1:11" x14ac:dyDescent="0.25">
      <c r="A7552">
        <v>2025</v>
      </c>
      <c r="B7552" t="s">
        <v>11009</v>
      </c>
      <c r="C7552" t="s">
        <v>11010</v>
      </c>
      <c r="D7552" t="s">
        <v>125</v>
      </c>
      <c r="E7552" t="s">
        <v>20</v>
      </c>
      <c r="F7552" t="str">
        <f>"43537-1207"</f>
        <v>43537-1207</v>
      </c>
      <c r="G7552" t="str">
        <f>"753658"</f>
        <v>753658</v>
      </c>
      <c r="H7552" s="2">
        <f>80</f>
        <v>80</v>
      </c>
      <c r="I7552" t="s">
        <v>27</v>
      </c>
      <c r="J7552" t="s">
        <v>39</v>
      </c>
      <c r="K7552" t="str">
        <f>"129317"</f>
        <v>129317</v>
      </c>
    </row>
    <row r="7553" spans="1:11" x14ac:dyDescent="0.25">
      <c r="A7553">
        <v>2025</v>
      </c>
      <c r="B7553" t="s">
        <v>11011</v>
      </c>
      <c r="C7553" t="s">
        <v>11012</v>
      </c>
      <c r="D7553" t="s">
        <v>512</v>
      </c>
      <c r="E7553" t="s">
        <v>20</v>
      </c>
      <c r="F7553" t="str">
        <f>"43512"</f>
        <v>43512</v>
      </c>
      <c r="G7553" t="str">
        <f>"751639"</f>
        <v>751639</v>
      </c>
      <c r="H7553" s="2">
        <f>1.84</f>
        <v>1.84</v>
      </c>
      <c r="I7553" t="s">
        <v>27</v>
      </c>
      <c r="J7553" t="s">
        <v>96</v>
      </c>
      <c r="K7553" t="str">
        <f>"334892"</f>
        <v>334892</v>
      </c>
    </row>
    <row r="7554" spans="1:11" x14ac:dyDescent="0.25">
      <c r="A7554">
        <v>2025</v>
      </c>
      <c r="B7554" t="s">
        <v>11013</v>
      </c>
      <c r="C7554" t="s">
        <v>11014</v>
      </c>
      <c r="D7554" t="s">
        <v>50</v>
      </c>
      <c r="E7554" t="s">
        <v>20</v>
      </c>
      <c r="F7554" t="str">
        <f>"43560-2637"</f>
        <v>43560-2637</v>
      </c>
      <c r="G7554" t="str">
        <f>"753658"</f>
        <v>753658</v>
      </c>
      <c r="H7554" s="2">
        <f>10</f>
        <v>10</v>
      </c>
      <c r="I7554" t="s">
        <v>27</v>
      </c>
      <c r="J7554" t="s">
        <v>39</v>
      </c>
      <c r="K7554" t="str">
        <f>"129366"</f>
        <v>129366</v>
      </c>
    </row>
    <row r="7555" spans="1:11" x14ac:dyDescent="0.25">
      <c r="A7555">
        <v>2025</v>
      </c>
      <c r="B7555" t="s">
        <v>11019</v>
      </c>
      <c r="C7555" t="s">
        <v>8437</v>
      </c>
      <c r="D7555" t="s">
        <v>19</v>
      </c>
      <c r="E7555" t="s">
        <v>20</v>
      </c>
      <c r="F7555" t="str">
        <f>"43604"</f>
        <v>43604</v>
      </c>
      <c r="G7555" t="str">
        <f t="shared" ref="G7555:G7562" si="279">"759796"</f>
        <v>759796</v>
      </c>
      <c r="H7555" s="2">
        <f>24.55</f>
        <v>24.55</v>
      </c>
      <c r="I7555" t="s">
        <v>27</v>
      </c>
      <c r="J7555" t="s">
        <v>188</v>
      </c>
      <c r="K7555" t="str">
        <f>"46030"</f>
        <v>46030</v>
      </c>
    </row>
    <row r="7556" spans="1:11" x14ac:dyDescent="0.25">
      <c r="A7556">
        <v>2025</v>
      </c>
      <c r="B7556" t="s">
        <v>11022</v>
      </c>
      <c r="C7556" t="s">
        <v>11023</v>
      </c>
      <c r="D7556" t="s">
        <v>19</v>
      </c>
      <c r="E7556" t="s">
        <v>20</v>
      </c>
      <c r="F7556" t="str">
        <f>"43614"</f>
        <v>43614</v>
      </c>
      <c r="G7556" t="str">
        <f t="shared" si="279"/>
        <v>759796</v>
      </c>
      <c r="H7556" s="2">
        <f>20</f>
        <v>20</v>
      </c>
      <c r="I7556" t="s">
        <v>27</v>
      </c>
      <c r="J7556" t="s">
        <v>188</v>
      </c>
      <c r="K7556" t="str">
        <f>"45389"</f>
        <v>45389</v>
      </c>
    </row>
    <row r="7557" spans="1:11" x14ac:dyDescent="0.25">
      <c r="A7557">
        <v>2025</v>
      </c>
      <c r="B7557" t="s">
        <v>11055</v>
      </c>
      <c r="C7557" t="s">
        <v>421</v>
      </c>
      <c r="D7557" t="s">
        <v>422</v>
      </c>
      <c r="E7557" t="s">
        <v>20</v>
      </c>
      <c r="F7557" t="str">
        <f>"44114"</f>
        <v>44114</v>
      </c>
      <c r="G7557" t="str">
        <f t="shared" si="279"/>
        <v>759796</v>
      </c>
      <c r="H7557" s="2">
        <f>200</f>
        <v>200</v>
      </c>
      <c r="I7557" t="s">
        <v>27</v>
      </c>
      <c r="J7557" t="s">
        <v>188</v>
      </c>
      <c r="K7557" t="str">
        <f>"44862"</f>
        <v>44862</v>
      </c>
    </row>
    <row r="7558" spans="1:11" x14ac:dyDescent="0.25">
      <c r="A7558">
        <v>2025</v>
      </c>
      <c r="B7558" t="s">
        <v>11055</v>
      </c>
      <c r="C7558" t="s">
        <v>11056</v>
      </c>
      <c r="D7558" t="s">
        <v>422</v>
      </c>
      <c r="E7558" t="s">
        <v>20</v>
      </c>
      <c r="F7558" t="str">
        <f>"44113"</f>
        <v>44113</v>
      </c>
      <c r="G7558" t="str">
        <f t="shared" si="279"/>
        <v>759796</v>
      </c>
      <c r="H7558" s="2">
        <f>125</f>
        <v>125</v>
      </c>
      <c r="I7558" t="s">
        <v>27</v>
      </c>
      <c r="J7558" t="s">
        <v>188</v>
      </c>
      <c r="K7558" t="str">
        <f>"44863"</f>
        <v>44863</v>
      </c>
    </row>
    <row r="7559" spans="1:11" x14ac:dyDescent="0.25">
      <c r="A7559">
        <v>2025</v>
      </c>
      <c r="B7559" t="s">
        <v>11057</v>
      </c>
      <c r="C7559" t="s">
        <v>8177</v>
      </c>
      <c r="D7559" t="s">
        <v>19</v>
      </c>
      <c r="E7559" t="s">
        <v>20</v>
      </c>
      <c r="F7559" t="str">
        <f>"43604"</f>
        <v>43604</v>
      </c>
      <c r="G7559" t="str">
        <f t="shared" si="279"/>
        <v>759796</v>
      </c>
      <c r="H7559" s="2">
        <f>12</f>
        <v>12</v>
      </c>
      <c r="I7559" t="s">
        <v>27</v>
      </c>
      <c r="J7559" t="s">
        <v>188</v>
      </c>
      <c r="K7559" t="str">
        <f>"46361"</f>
        <v>46361</v>
      </c>
    </row>
    <row r="7560" spans="1:11" x14ac:dyDescent="0.25">
      <c r="A7560">
        <v>2025</v>
      </c>
      <c r="B7560" t="s">
        <v>11058</v>
      </c>
      <c r="C7560" t="s">
        <v>11056</v>
      </c>
      <c r="D7560" t="s">
        <v>422</v>
      </c>
      <c r="E7560" t="s">
        <v>20</v>
      </c>
      <c r="F7560" t="str">
        <f>"44113"</f>
        <v>44113</v>
      </c>
      <c r="G7560" t="str">
        <f t="shared" si="279"/>
        <v>759796</v>
      </c>
      <c r="H7560" s="2">
        <f>200</f>
        <v>200</v>
      </c>
      <c r="I7560" t="s">
        <v>27</v>
      </c>
      <c r="J7560" t="s">
        <v>188</v>
      </c>
      <c r="K7560" t="str">
        <f>"44663"</f>
        <v>44663</v>
      </c>
    </row>
    <row r="7561" spans="1:11" x14ac:dyDescent="0.25">
      <c r="A7561">
        <v>2025</v>
      </c>
      <c r="B7561" t="s">
        <v>11059</v>
      </c>
      <c r="C7561" t="s">
        <v>11060</v>
      </c>
      <c r="D7561" t="s">
        <v>111</v>
      </c>
      <c r="E7561" t="s">
        <v>20</v>
      </c>
      <c r="F7561" t="str">
        <f>"43215"</f>
        <v>43215</v>
      </c>
      <c r="G7561" t="str">
        <f t="shared" si="279"/>
        <v>759796</v>
      </c>
      <c r="H7561" s="2">
        <f>12</f>
        <v>12</v>
      </c>
      <c r="I7561" t="s">
        <v>27</v>
      </c>
      <c r="J7561" t="s">
        <v>188</v>
      </c>
      <c r="K7561" t="str">
        <f>"45439"</f>
        <v>45439</v>
      </c>
    </row>
    <row r="7562" spans="1:11" x14ac:dyDescent="0.25">
      <c r="A7562">
        <v>2025</v>
      </c>
      <c r="B7562" t="s">
        <v>11061</v>
      </c>
      <c r="C7562" t="s">
        <v>2653</v>
      </c>
      <c r="D7562" t="s">
        <v>512</v>
      </c>
      <c r="E7562" t="s">
        <v>20</v>
      </c>
      <c r="F7562" t="str">
        <f>"43512"</f>
        <v>43512</v>
      </c>
      <c r="G7562" t="str">
        <f t="shared" si="279"/>
        <v>759796</v>
      </c>
      <c r="H7562" s="2">
        <f>22.99</f>
        <v>22.99</v>
      </c>
      <c r="I7562" t="s">
        <v>27</v>
      </c>
      <c r="J7562" t="s">
        <v>188</v>
      </c>
      <c r="K7562" t="str">
        <f>"44025"</f>
        <v>44025</v>
      </c>
    </row>
    <row r="7563" spans="1:11" x14ac:dyDescent="0.25">
      <c r="A7563">
        <v>2025</v>
      </c>
      <c r="B7563" t="s">
        <v>11064</v>
      </c>
      <c r="C7563" t="s">
        <v>11065</v>
      </c>
      <c r="D7563" t="s">
        <v>19</v>
      </c>
      <c r="E7563" t="s">
        <v>20</v>
      </c>
      <c r="F7563" t="str">
        <f>"43615"</f>
        <v>43615</v>
      </c>
      <c r="G7563" t="str">
        <f>"Je04082025"</f>
        <v>Je04082025</v>
      </c>
      <c r="H7563" s="2">
        <f>326.44</f>
        <v>326.44</v>
      </c>
      <c r="I7563" t="s">
        <v>15</v>
      </c>
      <c r="J7563" t="s">
        <v>24</v>
      </c>
      <c r="K7563" t="str">
        <f>"60145623"</f>
        <v>60145623</v>
      </c>
    </row>
    <row r="7564" spans="1:11" x14ac:dyDescent="0.25">
      <c r="A7564">
        <v>2025</v>
      </c>
      <c r="B7564" t="s">
        <v>11070</v>
      </c>
      <c r="C7564" t="s">
        <v>11071</v>
      </c>
      <c r="D7564" t="s">
        <v>19</v>
      </c>
      <c r="E7564" t="s">
        <v>20</v>
      </c>
      <c r="F7564" t="str">
        <f>"43606-3115"</f>
        <v>43606-3115</v>
      </c>
      <c r="G7564" t="str">
        <f t="shared" ref="G7564:G7572" si="280">"753658"</f>
        <v>753658</v>
      </c>
      <c r="H7564" s="2">
        <f>10</f>
        <v>10</v>
      </c>
      <c r="I7564" t="s">
        <v>27</v>
      </c>
      <c r="J7564" t="s">
        <v>39</v>
      </c>
      <c r="K7564" t="str">
        <f>"127826"</f>
        <v>127826</v>
      </c>
    </row>
    <row r="7565" spans="1:11" x14ac:dyDescent="0.25">
      <c r="A7565">
        <v>2025</v>
      </c>
      <c r="B7565" t="s">
        <v>11094</v>
      </c>
      <c r="C7565" t="s">
        <v>11095</v>
      </c>
      <c r="D7565" t="s">
        <v>125</v>
      </c>
      <c r="E7565" t="s">
        <v>20</v>
      </c>
      <c r="F7565" t="str">
        <f>"43537-8624"</f>
        <v>43537-8624</v>
      </c>
      <c r="G7565" t="str">
        <f t="shared" si="280"/>
        <v>753658</v>
      </c>
      <c r="H7565" s="2">
        <f>10</f>
        <v>10</v>
      </c>
      <c r="I7565" t="s">
        <v>27</v>
      </c>
      <c r="J7565" t="s">
        <v>39</v>
      </c>
      <c r="K7565" t="str">
        <f>"128134"</f>
        <v>128134</v>
      </c>
    </row>
    <row r="7566" spans="1:11" x14ac:dyDescent="0.25">
      <c r="A7566">
        <v>2025</v>
      </c>
      <c r="B7566" t="s">
        <v>11098</v>
      </c>
      <c r="C7566" t="s">
        <v>11099</v>
      </c>
      <c r="D7566" t="s">
        <v>19</v>
      </c>
      <c r="E7566" t="s">
        <v>20</v>
      </c>
      <c r="F7566" t="str">
        <f>"43606-3922"</f>
        <v>43606-3922</v>
      </c>
      <c r="G7566" t="str">
        <f t="shared" si="280"/>
        <v>753658</v>
      </c>
      <c r="H7566" s="2">
        <f>10</f>
        <v>10</v>
      </c>
      <c r="I7566" t="s">
        <v>27</v>
      </c>
      <c r="J7566" t="s">
        <v>39</v>
      </c>
      <c r="K7566" t="str">
        <f>"128531"</f>
        <v>128531</v>
      </c>
    </row>
    <row r="7567" spans="1:11" x14ac:dyDescent="0.25">
      <c r="A7567">
        <v>2025</v>
      </c>
      <c r="B7567" t="s">
        <v>11102</v>
      </c>
      <c r="C7567" t="s">
        <v>11103</v>
      </c>
      <c r="D7567" t="s">
        <v>50</v>
      </c>
      <c r="E7567" t="s">
        <v>20</v>
      </c>
      <c r="F7567" t="str">
        <f>"43560-2006"</f>
        <v>43560-2006</v>
      </c>
      <c r="G7567" t="str">
        <f t="shared" si="280"/>
        <v>753658</v>
      </c>
      <c r="H7567" s="2">
        <f>10</f>
        <v>10</v>
      </c>
      <c r="I7567" t="s">
        <v>27</v>
      </c>
      <c r="J7567" t="s">
        <v>39</v>
      </c>
      <c r="K7567" t="str">
        <f>"126395"</f>
        <v>126395</v>
      </c>
    </row>
    <row r="7568" spans="1:11" x14ac:dyDescent="0.25">
      <c r="A7568">
        <v>2025</v>
      </c>
      <c r="B7568" t="s">
        <v>11104</v>
      </c>
      <c r="C7568" t="s">
        <v>11105</v>
      </c>
      <c r="D7568" t="s">
        <v>50</v>
      </c>
      <c r="E7568" t="s">
        <v>20</v>
      </c>
      <c r="F7568" t="str">
        <f>"43560-9877"</f>
        <v>43560-9877</v>
      </c>
      <c r="G7568" t="str">
        <f t="shared" si="280"/>
        <v>753658</v>
      </c>
      <c r="H7568" s="2">
        <f>30</f>
        <v>30</v>
      </c>
      <c r="I7568" t="s">
        <v>27</v>
      </c>
      <c r="J7568" t="s">
        <v>39</v>
      </c>
      <c r="K7568" t="str">
        <f>"128267"</f>
        <v>128267</v>
      </c>
    </row>
    <row r="7569" spans="1:11" x14ac:dyDescent="0.25">
      <c r="A7569">
        <v>2025</v>
      </c>
      <c r="B7569" t="s">
        <v>11108</v>
      </c>
      <c r="C7569" t="s">
        <v>11109</v>
      </c>
      <c r="D7569" t="s">
        <v>125</v>
      </c>
      <c r="E7569" t="s">
        <v>20</v>
      </c>
      <c r="F7569" t="str">
        <f>"43537-9244"</f>
        <v>43537-9244</v>
      </c>
      <c r="G7569" t="str">
        <f t="shared" si="280"/>
        <v>753658</v>
      </c>
      <c r="H7569" s="2">
        <f>10</f>
        <v>10</v>
      </c>
      <c r="I7569" t="s">
        <v>27</v>
      </c>
      <c r="J7569" t="s">
        <v>39</v>
      </c>
      <c r="K7569" t="str">
        <f>"128338"</f>
        <v>128338</v>
      </c>
    </row>
    <row r="7570" spans="1:11" x14ac:dyDescent="0.25">
      <c r="A7570">
        <v>2025</v>
      </c>
      <c r="B7570" t="s">
        <v>11129</v>
      </c>
      <c r="C7570" t="s">
        <v>11130</v>
      </c>
      <c r="D7570" t="s">
        <v>19</v>
      </c>
      <c r="E7570" t="s">
        <v>20</v>
      </c>
      <c r="F7570" t="str">
        <f>"43614-4531"</f>
        <v>43614-4531</v>
      </c>
      <c r="G7570" t="str">
        <f t="shared" si="280"/>
        <v>753658</v>
      </c>
      <c r="H7570" s="2">
        <f>10</f>
        <v>10</v>
      </c>
      <c r="I7570" t="s">
        <v>27</v>
      </c>
      <c r="J7570" t="s">
        <v>39</v>
      </c>
      <c r="K7570" t="str">
        <f>"131646"</f>
        <v>131646</v>
      </c>
    </row>
    <row r="7571" spans="1:11" x14ac:dyDescent="0.25">
      <c r="A7571">
        <v>2025</v>
      </c>
      <c r="B7571" t="s">
        <v>11133</v>
      </c>
      <c r="C7571" t="s">
        <v>11134</v>
      </c>
      <c r="D7571" t="s">
        <v>19</v>
      </c>
      <c r="E7571" t="s">
        <v>20</v>
      </c>
      <c r="F7571" t="str">
        <f>"43613"</f>
        <v>43613</v>
      </c>
      <c r="G7571" t="str">
        <f t="shared" si="280"/>
        <v>753658</v>
      </c>
      <c r="H7571" s="2">
        <f>10</f>
        <v>10</v>
      </c>
      <c r="I7571" t="s">
        <v>27</v>
      </c>
      <c r="J7571" t="s">
        <v>39</v>
      </c>
      <c r="K7571" t="str">
        <f>"128060"</f>
        <v>128060</v>
      </c>
    </row>
    <row r="7572" spans="1:11" x14ac:dyDescent="0.25">
      <c r="A7572">
        <v>2025</v>
      </c>
      <c r="B7572" t="s">
        <v>11144</v>
      </c>
      <c r="C7572" t="s">
        <v>11145</v>
      </c>
      <c r="D7572" t="s">
        <v>19</v>
      </c>
      <c r="E7572" t="s">
        <v>20</v>
      </c>
      <c r="F7572" t="str">
        <f>"43615"</f>
        <v>43615</v>
      </c>
      <c r="G7572" t="str">
        <f t="shared" si="280"/>
        <v>753658</v>
      </c>
      <c r="H7572" s="2">
        <f>10</f>
        <v>10</v>
      </c>
      <c r="I7572" t="s">
        <v>27</v>
      </c>
      <c r="J7572" t="s">
        <v>39</v>
      </c>
      <c r="K7572" t="str">
        <f>"129423"</f>
        <v>129423</v>
      </c>
    </row>
    <row r="7573" spans="1:11" x14ac:dyDescent="0.25">
      <c r="A7573">
        <v>2025</v>
      </c>
      <c r="B7573" t="s">
        <v>11146</v>
      </c>
      <c r="C7573" t="s">
        <v>11147</v>
      </c>
      <c r="D7573" t="s">
        <v>323</v>
      </c>
      <c r="E7573" t="s">
        <v>20</v>
      </c>
      <c r="F7573" t="str">
        <f>"43571"</f>
        <v>43571</v>
      </c>
      <c r="G7573" t="str">
        <f>"759797"</f>
        <v>759797</v>
      </c>
      <c r="H7573" s="2">
        <f>26.61</f>
        <v>26.61</v>
      </c>
      <c r="I7573" t="s">
        <v>27</v>
      </c>
      <c r="J7573" t="s">
        <v>239</v>
      </c>
      <c r="K7573" t="str">
        <f>"N/A"</f>
        <v>N/A</v>
      </c>
    </row>
    <row r="7574" spans="1:11" x14ac:dyDescent="0.25">
      <c r="A7574">
        <v>2025</v>
      </c>
      <c r="B7574" t="s">
        <v>11152</v>
      </c>
      <c r="C7574" t="s">
        <v>11153</v>
      </c>
      <c r="D7574" t="s">
        <v>19</v>
      </c>
      <c r="E7574" t="s">
        <v>20</v>
      </c>
      <c r="F7574" t="str">
        <f>"43612-1710"</f>
        <v>43612-1710</v>
      </c>
      <c r="G7574" t="str">
        <f t="shared" ref="G7574:G7581" si="281">"753658"</f>
        <v>753658</v>
      </c>
      <c r="H7574" s="2">
        <f>20</f>
        <v>20</v>
      </c>
      <c r="I7574" t="s">
        <v>27</v>
      </c>
      <c r="J7574" t="s">
        <v>39</v>
      </c>
      <c r="K7574" t="str">
        <f>"126983"</f>
        <v>126983</v>
      </c>
    </row>
    <row r="7575" spans="1:11" x14ac:dyDescent="0.25">
      <c r="A7575">
        <v>2025</v>
      </c>
      <c r="B7575" t="s">
        <v>11160</v>
      </c>
      <c r="C7575" t="s">
        <v>11161</v>
      </c>
      <c r="D7575" t="s">
        <v>64</v>
      </c>
      <c r="E7575" t="s">
        <v>20</v>
      </c>
      <c r="F7575" t="str">
        <f>"43566-8726"</f>
        <v>43566-8726</v>
      </c>
      <c r="G7575" t="str">
        <f t="shared" si="281"/>
        <v>753658</v>
      </c>
      <c r="H7575" s="2">
        <f>30</f>
        <v>30</v>
      </c>
      <c r="I7575" t="s">
        <v>27</v>
      </c>
      <c r="J7575" t="s">
        <v>39</v>
      </c>
      <c r="K7575" t="str">
        <f>"126915"</f>
        <v>126915</v>
      </c>
    </row>
    <row r="7576" spans="1:11" x14ac:dyDescent="0.25">
      <c r="A7576">
        <v>2025</v>
      </c>
      <c r="B7576" t="s">
        <v>11164</v>
      </c>
      <c r="C7576" t="s">
        <v>11165</v>
      </c>
      <c r="D7576" t="s">
        <v>19</v>
      </c>
      <c r="E7576" t="s">
        <v>20</v>
      </c>
      <c r="F7576" t="str">
        <f>"43607-2564"</f>
        <v>43607-2564</v>
      </c>
      <c r="G7576" t="str">
        <f t="shared" si="281"/>
        <v>753658</v>
      </c>
      <c r="H7576" s="2">
        <f>10</f>
        <v>10</v>
      </c>
      <c r="I7576" t="s">
        <v>27</v>
      </c>
      <c r="J7576" t="s">
        <v>39</v>
      </c>
      <c r="K7576" t="str">
        <f>"129458"</f>
        <v>129458</v>
      </c>
    </row>
    <row r="7577" spans="1:11" x14ac:dyDescent="0.25">
      <c r="A7577">
        <v>2025</v>
      </c>
      <c r="B7577" t="s">
        <v>11174</v>
      </c>
      <c r="C7577" t="s">
        <v>11175</v>
      </c>
      <c r="D7577" t="s">
        <v>19</v>
      </c>
      <c r="E7577" t="s">
        <v>20</v>
      </c>
      <c r="F7577" t="str">
        <f>"43613-4422"</f>
        <v>43613-4422</v>
      </c>
      <c r="G7577" t="str">
        <f t="shared" si="281"/>
        <v>753658</v>
      </c>
      <c r="H7577" s="2">
        <f>60</f>
        <v>60</v>
      </c>
      <c r="I7577" t="s">
        <v>27</v>
      </c>
      <c r="J7577" t="s">
        <v>39</v>
      </c>
      <c r="K7577" t="str">
        <f>"127296"</f>
        <v>127296</v>
      </c>
    </row>
    <row r="7578" spans="1:11" x14ac:dyDescent="0.25">
      <c r="A7578">
        <v>2025</v>
      </c>
      <c r="B7578" t="s">
        <v>11176</v>
      </c>
      <c r="C7578" t="s">
        <v>11177</v>
      </c>
      <c r="D7578" t="s">
        <v>164</v>
      </c>
      <c r="E7578" t="s">
        <v>20</v>
      </c>
      <c r="F7578" t="str">
        <f>"43558-8569"</f>
        <v>43558-8569</v>
      </c>
      <c r="G7578" t="str">
        <f t="shared" si="281"/>
        <v>753658</v>
      </c>
      <c r="H7578" s="2">
        <f>10</f>
        <v>10</v>
      </c>
      <c r="I7578" t="s">
        <v>27</v>
      </c>
      <c r="J7578" t="s">
        <v>39</v>
      </c>
      <c r="K7578" t="str">
        <f>"128918"</f>
        <v>128918</v>
      </c>
    </row>
    <row r="7579" spans="1:11" x14ac:dyDescent="0.25">
      <c r="A7579">
        <v>2025</v>
      </c>
      <c r="B7579" t="s">
        <v>11180</v>
      </c>
      <c r="C7579" t="s">
        <v>11181</v>
      </c>
      <c r="D7579" t="s">
        <v>19</v>
      </c>
      <c r="E7579" t="s">
        <v>20</v>
      </c>
      <c r="F7579" t="str">
        <f>"43606-3060"</f>
        <v>43606-3060</v>
      </c>
      <c r="G7579" t="str">
        <f t="shared" si="281"/>
        <v>753658</v>
      </c>
      <c r="H7579" s="2">
        <f>40</f>
        <v>40</v>
      </c>
      <c r="I7579" t="s">
        <v>27</v>
      </c>
      <c r="J7579" t="s">
        <v>39</v>
      </c>
      <c r="K7579" t="str">
        <f>"126210"</f>
        <v>126210</v>
      </c>
    </row>
    <row r="7580" spans="1:11" x14ac:dyDescent="0.25">
      <c r="A7580">
        <v>2025</v>
      </c>
      <c r="B7580" t="s">
        <v>11182</v>
      </c>
      <c r="C7580" t="s">
        <v>11183</v>
      </c>
      <c r="D7580" t="s">
        <v>125</v>
      </c>
      <c r="E7580" t="s">
        <v>20</v>
      </c>
      <c r="F7580" t="str">
        <f>"43537-1216"</f>
        <v>43537-1216</v>
      </c>
      <c r="G7580" t="str">
        <f t="shared" si="281"/>
        <v>753658</v>
      </c>
      <c r="H7580" s="2">
        <f>20</f>
        <v>20</v>
      </c>
      <c r="I7580" t="s">
        <v>27</v>
      </c>
      <c r="J7580" t="s">
        <v>39</v>
      </c>
      <c r="K7580" t="str">
        <f>"125281"</f>
        <v>125281</v>
      </c>
    </row>
    <row r="7581" spans="1:11" x14ac:dyDescent="0.25">
      <c r="A7581">
        <v>2025</v>
      </c>
      <c r="B7581" t="s">
        <v>11192</v>
      </c>
      <c r="C7581" t="s">
        <v>11193</v>
      </c>
      <c r="D7581" t="s">
        <v>19</v>
      </c>
      <c r="E7581" t="s">
        <v>20</v>
      </c>
      <c r="F7581" t="str">
        <f>"43611-2725"</f>
        <v>43611-2725</v>
      </c>
      <c r="G7581" t="str">
        <f t="shared" si="281"/>
        <v>753658</v>
      </c>
      <c r="H7581" s="2">
        <f>20</f>
        <v>20</v>
      </c>
      <c r="I7581" t="s">
        <v>27</v>
      </c>
      <c r="J7581" t="s">
        <v>39</v>
      </c>
      <c r="K7581" t="str">
        <f>"129387"</f>
        <v>129387</v>
      </c>
    </row>
    <row r="7582" spans="1:11" x14ac:dyDescent="0.25">
      <c r="A7582">
        <v>2025</v>
      </c>
      <c r="B7582" t="s">
        <v>11204</v>
      </c>
      <c r="C7582" t="s">
        <v>11205</v>
      </c>
      <c r="D7582" t="s">
        <v>11206</v>
      </c>
      <c r="E7582" t="s">
        <v>70</v>
      </c>
      <c r="F7582" t="str">
        <f>"63102"</f>
        <v>63102</v>
      </c>
      <c r="G7582" t="str">
        <f>"Je09192025"</f>
        <v>Je09192025</v>
      </c>
      <c r="H7582" s="2">
        <f>1943.07</f>
        <v>1943.07</v>
      </c>
      <c r="I7582" t="s">
        <v>15</v>
      </c>
      <c r="J7582" t="s">
        <v>563</v>
      </c>
      <c r="K7582" t="str">
        <f>"60163926"</f>
        <v>60163926</v>
      </c>
    </row>
    <row r="7583" spans="1:11" x14ac:dyDescent="0.25">
      <c r="A7583">
        <v>2025</v>
      </c>
      <c r="B7583" t="s">
        <v>11232</v>
      </c>
      <c r="C7583" t="s">
        <v>11233</v>
      </c>
      <c r="D7583" t="s">
        <v>19</v>
      </c>
      <c r="E7583" t="s">
        <v>20</v>
      </c>
      <c r="F7583" t="str">
        <f>"43605"</f>
        <v>43605</v>
      </c>
      <c r="G7583" t="str">
        <f>"759796"</f>
        <v>759796</v>
      </c>
      <c r="H7583" s="2">
        <f>2.99</f>
        <v>2.99</v>
      </c>
      <c r="I7583" t="s">
        <v>27</v>
      </c>
      <c r="J7583" t="s">
        <v>188</v>
      </c>
      <c r="K7583" t="str">
        <f>"44984"</f>
        <v>44984</v>
      </c>
    </row>
    <row r="7584" spans="1:11" x14ac:dyDescent="0.25">
      <c r="A7584">
        <v>2025</v>
      </c>
      <c r="B7584" t="s">
        <v>11254</v>
      </c>
      <c r="C7584" t="s">
        <v>11255</v>
      </c>
      <c r="D7584" t="s">
        <v>1074</v>
      </c>
      <c r="E7584" t="s">
        <v>20</v>
      </c>
      <c r="F7584" t="str">
        <f>"43551"</f>
        <v>43551</v>
      </c>
      <c r="G7584" t="str">
        <f>"Je12092025"</f>
        <v>Je12092025</v>
      </c>
      <c r="H7584" s="2">
        <f>144.1</f>
        <v>144.1</v>
      </c>
      <c r="I7584" t="s">
        <v>15</v>
      </c>
      <c r="J7584" t="s">
        <v>909</v>
      </c>
      <c r="K7584" t="str">
        <f>"60169670"</f>
        <v>60169670</v>
      </c>
    </row>
    <row r="7585" spans="1:11" x14ac:dyDescent="0.25">
      <c r="A7585">
        <v>2025</v>
      </c>
      <c r="B7585" t="s">
        <v>11256</v>
      </c>
      <c r="C7585" t="s">
        <v>1379</v>
      </c>
      <c r="D7585" t="s">
        <v>125</v>
      </c>
      <c r="E7585" t="s">
        <v>20</v>
      </c>
      <c r="F7585" t="str">
        <f>"43537-1254"</f>
        <v>43537-1254</v>
      </c>
      <c r="G7585" t="str">
        <f>"753658"</f>
        <v>753658</v>
      </c>
      <c r="H7585" s="2">
        <f>40</f>
        <v>40</v>
      </c>
      <c r="I7585" t="s">
        <v>27</v>
      </c>
      <c r="J7585" t="s">
        <v>39</v>
      </c>
      <c r="K7585" t="str">
        <f>"129385"</f>
        <v>129385</v>
      </c>
    </row>
    <row r="7586" spans="1:11" x14ac:dyDescent="0.25">
      <c r="A7586">
        <v>2025</v>
      </c>
      <c r="B7586" t="s">
        <v>11257</v>
      </c>
      <c r="C7586" t="s">
        <v>11258</v>
      </c>
      <c r="D7586" t="s">
        <v>829</v>
      </c>
      <c r="E7586" t="s">
        <v>20</v>
      </c>
      <c r="F7586" t="str">
        <f>"44132"</f>
        <v>44132</v>
      </c>
      <c r="G7586" t="str">
        <f>"759796"</f>
        <v>759796</v>
      </c>
      <c r="H7586" s="2">
        <f>20</f>
        <v>20</v>
      </c>
      <c r="I7586" t="s">
        <v>27</v>
      </c>
      <c r="J7586" t="s">
        <v>188</v>
      </c>
      <c r="K7586" t="str">
        <f>"44202"</f>
        <v>44202</v>
      </c>
    </row>
    <row r="7587" spans="1:11" x14ac:dyDescent="0.25">
      <c r="A7587">
        <v>2025</v>
      </c>
      <c r="B7587" t="s">
        <v>11265</v>
      </c>
      <c r="C7587" t="s">
        <v>11266</v>
      </c>
      <c r="D7587" t="s">
        <v>125</v>
      </c>
      <c r="E7587" t="s">
        <v>20</v>
      </c>
      <c r="F7587" t="str">
        <f>"43537"</f>
        <v>43537</v>
      </c>
      <c r="G7587" t="str">
        <f>"751641"</f>
        <v>751641</v>
      </c>
      <c r="H7587" s="2">
        <f>8.81</f>
        <v>8.81</v>
      </c>
      <c r="I7587" t="s">
        <v>27</v>
      </c>
      <c r="J7587" t="s">
        <v>219</v>
      </c>
      <c r="K7587" t="str">
        <f>"22027203"</f>
        <v>22027203</v>
      </c>
    </row>
    <row r="7588" spans="1:11" x14ac:dyDescent="0.25">
      <c r="A7588">
        <v>2025</v>
      </c>
      <c r="B7588" t="s">
        <v>11282</v>
      </c>
      <c r="C7588" t="s">
        <v>11283</v>
      </c>
      <c r="D7588" t="s">
        <v>11284</v>
      </c>
      <c r="E7588" t="s">
        <v>14</v>
      </c>
      <c r="F7588" t="str">
        <f>"48617"</f>
        <v>48617</v>
      </c>
      <c r="G7588" t="str">
        <f>"765838"</f>
        <v>765838</v>
      </c>
      <c r="H7588" s="2">
        <f>250</f>
        <v>250</v>
      </c>
      <c r="I7588" t="s">
        <v>148</v>
      </c>
      <c r="J7588" t="s">
        <v>4165</v>
      </c>
      <c r="K7588" t="str">
        <f>"27949"</f>
        <v>27949</v>
      </c>
    </row>
    <row r="7589" spans="1:11" x14ac:dyDescent="0.25">
      <c r="A7589">
        <v>2025</v>
      </c>
      <c r="B7589" t="s">
        <v>11291</v>
      </c>
      <c r="C7589" t="s">
        <v>11292</v>
      </c>
      <c r="D7589" t="s">
        <v>50</v>
      </c>
      <c r="E7589" t="s">
        <v>20</v>
      </c>
      <c r="F7589" t="str">
        <f>"43560-9040"</f>
        <v>43560-9040</v>
      </c>
      <c r="G7589" t="str">
        <f>"753658"</f>
        <v>753658</v>
      </c>
      <c r="H7589" s="2">
        <f>10</f>
        <v>10</v>
      </c>
      <c r="I7589" t="s">
        <v>27</v>
      </c>
      <c r="J7589" t="s">
        <v>39</v>
      </c>
      <c r="K7589" t="str">
        <f>"129361"</f>
        <v>129361</v>
      </c>
    </row>
    <row r="7590" spans="1:11" x14ac:dyDescent="0.25">
      <c r="A7590">
        <v>2025</v>
      </c>
      <c r="B7590" t="s">
        <v>11297</v>
      </c>
      <c r="C7590" t="s">
        <v>11298</v>
      </c>
      <c r="D7590" t="s">
        <v>19</v>
      </c>
      <c r="E7590" t="s">
        <v>20</v>
      </c>
      <c r="F7590" t="str">
        <f>"43614-4436"</f>
        <v>43614-4436</v>
      </c>
      <c r="G7590" t="str">
        <f>"753658"</f>
        <v>753658</v>
      </c>
      <c r="H7590" s="2">
        <f>30</f>
        <v>30</v>
      </c>
      <c r="I7590" t="s">
        <v>27</v>
      </c>
      <c r="J7590" t="s">
        <v>39</v>
      </c>
      <c r="K7590" t="str">
        <f>"127297"</f>
        <v>127297</v>
      </c>
    </row>
    <row r="7591" spans="1:11" x14ac:dyDescent="0.25">
      <c r="A7591">
        <v>2025</v>
      </c>
      <c r="B7591" t="s">
        <v>11302</v>
      </c>
      <c r="C7591" t="s">
        <v>11303</v>
      </c>
      <c r="D7591" t="s">
        <v>125</v>
      </c>
      <c r="E7591" t="s">
        <v>20</v>
      </c>
      <c r="F7591" t="str">
        <f>"43537-2904"</f>
        <v>43537-2904</v>
      </c>
      <c r="G7591" t="str">
        <f>"753658"</f>
        <v>753658</v>
      </c>
      <c r="H7591" s="2">
        <f>10</f>
        <v>10</v>
      </c>
      <c r="I7591" t="s">
        <v>27</v>
      </c>
      <c r="J7591" t="s">
        <v>39</v>
      </c>
      <c r="K7591" t="str">
        <f>"126046"</f>
        <v>126046</v>
      </c>
    </row>
    <row r="7592" spans="1:11" x14ac:dyDescent="0.25">
      <c r="A7592">
        <v>2025</v>
      </c>
      <c r="B7592" t="s">
        <v>11304</v>
      </c>
      <c r="C7592" t="s">
        <v>11305</v>
      </c>
      <c r="D7592" t="s">
        <v>19</v>
      </c>
      <c r="E7592" t="s">
        <v>20</v>
      </c>
      <c r="F7592" t="str">
        <f>"43614"</f>
        <v>43614</v>
      </c>
      <c r="G7592" t="str">
        <f>"753658"</f>
        <v>753658</v>
      </c>
      <c r="H7592" s="2">
        <f>20</f>
        <v>20</v>
      </c>
      <c r="I7592" t="s">
        <v>27</v>
      </c>
      <c r="J7592" t="s">
        <v>39</v>
      </c>
      <c r="K7592" t="str">
        <f>"125462"</f>
        <v>125462</v>
      </c>
    </row>
    <row r="7593" spans="1:11" x14ac:dyDescent="0.25">
      <c r="A7593">
        <v>2025</v>
      </c>
      <c r="B7593" t="s">
        <v>11310</v>
      </c>
      <c r="C7593" t="s">
        <v>11311</v>
      </c>
      <c r="D7593" t="s">
        <v>19</v>
      </c>
      <c r="E7593" t="s">
        <v>20</v>
      </c>
      <c r="F7593" t="str">
        <f>"43605"</f>
        <v>43605</v>
      </c>
      <c r="G7593" t="str">
        <f>"Je07082025"</f>
        <v>Je07082025</v>
      </c>
      <c r="H7593" s="2">
        <f>25</f>
        <v>25</v>
      </c>
      <c r="I7593" t="s">
        <v>15</v>
      </c>
      <c r="J7593" t="s">
        <v>185</v>
      </c>
      <c r="K7593" t="str">
        <f>"60152030"</f>
        <v>60152030</v>
      </c>
    </row>
    <row r="7594" spans="1:11" x14ac:dyDescent="0.25">
      <c r="A7594">
        <v>2025</v>
      </c>
      <c r="B7594" t="s">
        <v>11329</v>
      </c>
      <c r="C7594" t="s">
        <v>10214</v>
      </c>
      <c r="D7594" t="s">
        <v>19</v>
      </c>
      <c r="E7594" t="s">
        <v>20</v>
      </c>
      <c r="F7594" t="str">
        <f>"43623"</f>
        <v>43623</v>
      </c>
      <c r="G7594" t="str">
        <f>"759796"</f>
        <v>759796</v>
      </c>
      <c r="H7594" s="2">
        <f>20</f>
        <v>20</v>
      </c>
      <c r="I7594" t="s">
        <v>27</v>
      </c>
      <c r="J7594" t="s">
        <v>188</v>
      </c>
      <c r="K7594" t="str">
        <f>"45837"</f>
        <v>45837</v>
      </c>
    </row>
    <row r="7595" spans="1:11" x14ac:dyDescent="0.25">
      <c r="A7595">
        <v>2025</v>
      </c>
      <c r="B7595" t="s">
        <v>11336</v>
      </c>
      <c r="C7595" t="s">
        <v>11337</v>
      </c>
      <c r="D7595" t="s">
        <v>19</v>
      </c>
      <c r="E7595" t="s">
        <v>20</v>
      </c>
      <c r="F7595" t="str">
        <f>"43623-4207"</f>
        <v>43623-4207</v>
      </c>
      <c r="G7595" t="str">
        <f t="shared" ref="G7595:G7601" si="282">"753658"</f>
        <v>753658</v>
      </c>
      <c r="H7595" s="2">
        <f>20</f>
        <v>20</v>
      </c>
      <c r="I7595" t="s">
        <v>27</v>
      </c>
      <c r="J7595" t="s">
        <v>39</v>
      </c>
      <c r="K7595" t="str">
        <f>"131349"</f>
        <v>131349</v>
      </c>
    </row>
    <row r="7596" spans="1:11" x14ac:dyDescent="0.25">
      <c r="A7596">
        <v>2025</v>
      </c>
      <c r="B7596" t="s">
        <v>11347</v>
      </c>
      <c r="C7596" t="s">
        <v>11348</v>
      </c>
      <c r="D7596" t="s">
        <v>19</v>
      </c>
      <c r="E7596" t="s">
        <v>20</v>
      </c>
      <c r="F7596" t="str">
        <f>"43607-3138"</f>
        <v>43607-3138</v>
      </c>
      <c r="G7596" t="str">
        <f t="shared" si="282"/>
        <v>753658</v>
      </c>
      <c r="H7596" s="2">
        <f>30</f>
        <v>30</v>
      </c>
      <c r="I7596" t="s">
        <v>27</v>
      </c>
      <c r="J7596" t="s">
        <v>39</v>
      </c>
      <c r="K7596" t="str">
        <f>"125249"</f>
        <v>125249</v>
      </c>
    </row>
    <row r="7597" spans="1:11" x14ac:dyDescent="0.25">
      <c r="A7597">
        <v>2025</v>
      </c>
      <c r="B7597" t="s">
        <v>11351</v>
      </c>
      <c r="C7597" t="s">
        <v>11352</v>
      </c>
      <c r="D7597" t="s">
        <v>19</v>
      </c>
      <c r="E7597" t="s">
        <v>20</v>
      </c>
      <c r="F7597" t="str">
        <f>"43606-2818"</f>
        <v>43606-2818</v>
      </c>
      <c r="G7597" t="str">
        <f t="shared" si="282"/>
        <v>753658</v>
      </c>
      <c r="H7597" s="2">
        <f>30</f>
        <v>30</v>
      </c>
      <c r="I7597" t="s">
        <v>27</v>
      </c>
      <c r="J7597" t="s">
        <v>39</v>
      </c>
      <c r="K7597" t="str">
        <f>"131296"</f>
        <v>131296</v>
      </c>
    </row>
    <row r="7598" spans="1:11" x14ac:dyDescent="0.25">
      <c r="A7598">
        <v>2025</v>
      </c>
      <c r="B7598" t="s">
        <v>11360</v>
      </c>
      <c r="C7598" t="s">
        <v>11361</v>
      </c>
      <c r="D7598" t="s">
        <v>1299</v>
      </c>
      <c r="E7598" t="s">
        <v>20</v>
      </c>
      <c r="F7598" t="str">
        <f>"43504-9712"</f>
        <v>43504-9712</v>
      </c>
      <c r="G7598" t="str">
        <f t="shared" si="282"/>
        <v>753658</v>
      </c>
      <c r="H7598" s="2">
        <f>10</f>
        <v>10</v>
      </c>
      <c r="I7598" t="s">
        <v>27</v>
      </c>
      <c r="J7598" t="s">
        <v>39</v>
      </c>
      <c r="K7598" t="str">
        <f>"128312"</f>
        <v>128312</v>
      </c>
    </row>
    <row r="7599" spans="1:11" x14ac:dyDescent="0.25">
      <c r="A7599">
        <v>2025</v>
      </c>
      <c r="B7599" t="s">
        <v>11362</v>
      </c>
      <c r="C7599" t="s">
        <v>11363</v>
      </c>
      <c r="D7599" t="s">
        <v>19</v>
      </c>
      <c r="E7599" t="s">
        <v>20</v>
      </c>
      <c r="F7599" t="str">
        <f>"43611-1219"</f>
        <v>43611-1219</v>
      </c>
      <c r="G7599" t="str">
        <f t="shared" si="282"/>
        <v>753658</v>
      </c>
      <c r="H7599" s="2">
        <f>10</f>
        <v>10</v>
      </c>
      <c r="I7599" t="s">
        <v>27</v>
      </c>
      <c r="J7599" t="s">
        <v>39</v>
      </c>
      <c r="K7599" t="str">
        <f>"129344"</f>
        <v>129344</v>
      </c>
    </row>
    <row r="7600" spans="1:11" x14ac:dyDescent="0.25">
      <c r="A7600">
        <v>2025</v>
      </c>
      <c r="B7600" t="s">
        <v>11367</v>
      </c>
      <c r="C7600" t="s">
        <v>11368</v>
      </c>
      <c r="D7600" t="s">
        <v>19</v>
      </c>
      <c r="E7600" t="s">
        <v>20</v>
      </c>
      <c r="F7600" t="str">
        <f>"43607-1816"</f>
        <v>43607-1816</v>
      </c>
      <c r="G7600" t="str">
        <f t="shared" si="282"/>
        <v>753658</v>
      </c>
      <c r="H7600" s="2">
        <f>10</f>
        <v>10</v>
      </c>
      <c r="I7600" t="s">
        <v>27</v>
      </c>
      <c r="J7600" t="s">
        <v>39</v>
      </c>
      <c r="K7600" t="str">
        <f>"126437"</f>
        <v>126437</v>
      </c>
    </row>
    <row r="7601" spans="1:11" x14ac:dyDescent="0.25">
      <c r="A7601">
        <v>2025</v>
      </c>
      <c r="B7601" t="s">
        <v>11375</v>
      </c>
      <c r="C7601" t="s">
        <v>11376</v>
      </c>
      <c r="D7601" t="s">
        <v>19</v>
      </c>
      <c r="E7601" t="s">
        <v>20</v>
      </c>
      <c r="F7601" t="str">
        <f>"43605-1940"</f>
        <v>43605-1940</v>
      </c>
      <c r="G7601" t="str">
        <f t="shared" si="282"/>
        <v>753658</v>
      </c>
      <c r="H7601" s="2">
        <f>10</f>
        <v>10</v>
      </c>
      <c r="I7601" t="s">
        <v>27</v>
      </c>
      <c r="J7601" t="s">
        <v>39</v>
      </c>
      <c r="K7601" t="str">
        <f>"125359"</f>
        <v>125359</v>
      </c>
    </row>
    <row r="7602" spans="1:11" x14ac:dyDescent="0.25">
      <c r="A7602">
        <v>2025</v>
      </c>
      <c r="B7602" t="s">
        <v>11386</v>
      </c>
      <c r="C7602" t="s">
        <v>11387</v>
      </c>
      <c r="D7602" t="s">
        <v>11388</v>
      </c>
      <c r="E7602" t="s">
        <v>462</v>
      </c>
      <c r="F7602" t="str">
        <f>"33612"</f>
        <v>33612</v>
      </c>
      <c r="G7602" t="str">
        <f>"751641"</f>
        <v>751641</v>
      </c>
      <c r="H7602" s="2">
        <f>1</f>
        <v>1</v>
      </c>
      <c r="I7602" t="s">
        <v>27</v>
      </c>
      <c r="J7602" t="s">
        <v>219</v>
      </c>
      <c r="K7602" t="str">
        <f>"22026953"</f>
        <v>22026953</v>
      </c>
    </row>
    <row r="7603" spans="1:11" x14ac:dyDescent="0.25">
      <c r="A7603">
        <v>2025</v>
      </c>
      <c r="B7603" t="s">
        <v>11389</v>
      </c>
      <c r="C7603" t="s">
        <v>11390</v>
      </c>
      <c r="D7603" t="s">
        <v>19</v>
      </c>
      <c r="E7603" t="s">
        <v>20</v>
      </c>
      <c r="F7603" t="str">
        <f>"43612-2154"</f>
        <v>43612-2154</v>
      </c>
      <c r="G7603" t="str">
        <f>"753658"</f>
        <v>753658</v>
      </c>
      <c r="H7603" s="2">
        <f>20</f>
        <v>20</v>
      </c>
      <c r="I7603" t="s">
        <v>27</v>
      </c>
      <c r="J7603" t="s">
        <v>39</v>
      </c>
      <c r="K7603" t="str">
        <f>"127517"</f>
        <v>127517</v>
      </c>
    </row>
    <row r="7604" spans="1:11" x14ac:dyDescent="0.25">
      <c r="A7604">
        <v>2025</v>
      </c>
      <c r="B7604" t="s">
        <v>11400</v>
      </c>
      <c r="C7604" t="s">
        <v>11401</v>
      </c>
      <c r="D7604" t="s">
        <v>19</v>
      </c>
      <c r="E7604" t="s">
        <v>20</v>
      </c>
      <c r="F7604" t="str">
        <f>"43615"</f>
        <v>43615</v>
      </c>
      <c r="G7604" t="str">
        <f>"776053"</f>
        <v>776053</v>
      </c>
      <c r="H7604" s="2">
        <f>49.13</f>
        <v>49.13</v>
      </c>
      <c r="I7604" t="s">
        <v>1416</v>
      </c>
      <c r="J7604" t="s">
        <v>1417</v>
      </c>
      <c r="K7604" t="str">
        <f>"28095"</f>
        <v>28095</v>
      </c>
    </row>
    <row r="7605" spans="1:11" x14ac:dyDescent="0.25">
      <c r="A7605">
        <v>2025</v>
      </c>
      <c r="B7605" t="s">
        <v>11404</v>
      </c>
      <c r="C7605" t="s">
        <v>11405</v>
      </c>
      <c r="D7605" t="s">
        <v>19</v>
      </c>
      <c r="E7605" t="s">
        <v>20</v>
      </c>
      <c r="F7605" t="str">
        <f>"43615-2532"</f>
        <v>43615-2532</v>
      </c>
      <c r="G7605" t="str">
        <f>"753658"</f>
        <v>753658</v>
      </c>
      <c r="H7605" s="2">
        <f>10</f>
        <v>10</v>
      </c>
      <c r="I7605" t="s">
        <v>27</v>
      </c>
      <c r="J7605" t="s">
        <v>39</v>
      </c>
      <c r="K7605" t="str">
        <f>"131642"</f>
        <v>131642</v>
      </c>
    </row>
    <row r="7606" spans="1:11" x14ac:dyDescent="0.25">
      <c r="A7606">
        <v>2025</v>
      </c>
      <c r="B7606" t="s">
        <v>11451</v>
      </c>
      <c r="C7606" t="s">
        <v>11452</v>
      </c>
      <c r="D7606" t="s">
        <v>19</v>
      </c>
      <c r="E7606" t="s">
        <v>20</v>
      </c>
      <c r="F7606" t="str">
        <f>"43612-5107"</f>
        <v>43612-5107</v>
      </c>
      <c r="G7606" t="str">
        <f>"753658"</f>
        <v>753658</v>
      </c>
      <c r="H7606" s="2">
        <f>40</f>
        <v>40</v>
      </c>
      <c r="I7606" t="s">
        <v>27</v>
      </c>
      <c r="J7606" t="s">
        <v>39</v>
      </c>
      <c r="K7606" t="str">
        <f>"127019"</f>
        <v>127019</v>
      </c>
    </row>
    <row r="7607" spans="1:11" x14ac:dyDescent="0.25">
      <c r="A7607">
        <v>2025</v>
      </c>
      <c r="B7607" t="s">
        <v>11455</v>
      </c>
      <c r="C7607" t="s">
        <v>828</v>
      </c>
      <c r="D7607" t="s">
        <v>422</v>
      </c>
      <c r="E7607" t="s">
        <v>20</v>
      </c>
      <c r="F7607" t="str">
        <f>"44132"</f>
        <v>44132</v>
      </c>
      <c r="G7607" t="str">
        <f>"759796"</f>
        <v>759796</v>
      </c>
      <c r="H7607" s="2">
        <f>18.54</f>
        <v>18.54</v>
      </c>
      <c r="I7607" t="s">
        <v>27</v>
      </c>
      <c r="J7607" t="s">
        <v>188</v>
      </c>
      <c r="K7607" t="str">
        <f>"43685"</f>
        <v>43685</v>
      </c>
    </row>
    <row r="7608" spans="1:11" x14ac:dyDescent="0.25">
      <c r="A7608">
        <v>2025</v>
      </c>
      <c r="B7608" t="s">
        <v>11456</v>
      </c>
      <c r="C7608" t="s">
        <v>828</v>
      </c>
      <c r="D7608" t="s">
        <v>422</v>
      </c>
      <c r="E7608" t="s">
        <v>20</v>
      </c>
      <c r="F7608" t="str">
        <f>"44132"</f>
        <v>44132</v>
      </c>
      <c r="G7608" t="str">
        <f>"759796"</f>
        <v>759796</v>
      </c>
      <c r="H7608" s="2">
        <f>3.98</f>
        <v>3.98</v>
      </c>
      <c r="I7608" t="s">
        <v>27</v>
      </c>
      <c r="J7608" t="s">
        <v>188</v>
      </c>
      <c r="K7608" t="str">
        <f>"43684"</f>
        <v>43684</v>
      </c>
    </row>
    <row r="7609" spans="1:11" x14ac:dyDescent="0.25">
      <c r="A7609">
        <v>2025</v>
      </c>
      <c r="B7609" t="s">
        <v>11476</v>
      </c>
      <c r="C7609" t="s">
        <v>11477</v>
      </c>
      <c r="D7609" t="s">
        <v>58</v>
      </c>
      <c r="E7609" t="s">
        <v>20</v>
      </c>
      <c r="F7609" t="str">
        <f>"43616-3702"</f>
        <v>43616-3702</v>
      </c>
      <c r="G7609" t="str">
        <f>"753658"</f>
        <v>753658</v>
      </c>
      <c r="H7609" s="2">
        <f>10</f>
        <v>10</v>
      </c>
      <c r="I7609" t="s">
        <v>27</v>
      </c>
      <c r="J7609" t="s">
        <v>39</v>
      </c>
      <c r="K7609" t="str">
        <f>"126285"</f>
        <v>126285</v>
      </c>
    </row>
    <row r="7610" spans="1:11" x14ac:dyDescent="0.25">
      <c r="A7610">
        <v>2025</v>
      </c>
      <c r="B7610" t="s">
        <v>11482</v>
      </c>
      <c r="C7610" t="s">
        <v>11483</v>
      </c>
      <c r="D7610" t="s">
        <v>19</v>
      </c>
      <c r="E7610" t="s">
        <v>20</v>
      </c>
      <c r="F7610" t="str">
        <f>"43617"</f>
        <v>43617</v>
      </c>
      <c r="G7610" t="str">
        <f>"751639"</f>
        <v>751639</v>
      </c>
      <c r="H7610" s="2">
        <f>11.7</f>
        <v>11.7</v>
      </c>
      <c r="I7610" t="s">
        <v>27</v>
      </c>
      <c r="J7610" t="s">
        <v>96</v>
      </c>
      <c r="K7610" t="str">
        <f>"335135"</f>
        <v>335135</v>
      </c>
    </row>
    <row r="7611" spans="1:11" x14ac:dyDescent="0.25">
      <c r="A7611">
        <v>2025</v>
      </c>
      <c r="B7611" t="s">
        <v>11490</v>
      </c>
      <c r="C7611" t="s">
        <v>11491</v>
      </c>
      <c r="D7611" t="s">
        <v>19</v>
      </c>
      <c r="E7611" t="s">
        <v>20</v>
      </c>
      <c r="F7611" t="str">
        <f>"43608-1710"</f>
        <v>43608-1710</v>
      </c>
      <c r="G7611" t="str">
        <f>"753658"</f>
        <v>753658</v>
      </c>
      <c r="H7611" s="2">
        <f>20</f>
        <v>20</v>
      </c>
      <c r="I7611" t="s">
        <v>27</v>
      </c>
      <c r="J7611" t="s">
        <v>39</v>
      </c>
      <c r="K7611" t="str">
        <f>"131844"</f>
        <v>131844</v>
      </c>
    </row>
    <row r="7612" spans="1:11" x14ac:dyDescent="0.25">
      <c r="A7612">
        <v>2025</v>
      </c>
      <c r="B7612" t="s">
        <v>11492</v>
      </c>
      <c r="C7612" t="s">
        <v>11493</v>
      </c>
      <c r="D7612" t="s">
        <v>125</v>
      </c>
      <c r="E7612" t="s">
        <v>20</v>
      </c>
      <c r="F7612" t="str">
        <f>"43537"</f>
        <v>43537</v>
      </c>
      <c r="G7612" t="str">
        <f>"753658"</f>
        <v>753658</v>
      </c>
      <c r="H7612" s="2">
        <f>30</f>
        <v>30</v>
      </c>
      <c r="I7612" t="s">
        <v>27</v>
      </c>
      <c r="J7612" t="s">
        <v>39</v>
      </c>
      <c r="K7612" t="str">
        <f>"131305"</f>
        <v>131305</v>
      </c>
    </row>
    <row r="7613" spans="1:11" x14ac:dyDescent="0.25">
      <c r="A7613">
        <v>2025</v>
      </c>
      <c r="B7613" t="s">
        <v>11496</v>
      </c>
      <c r="C7613" t="s">
        <v>11497</v>
      </c>
      <c r="D7613" t="s">
        <v>19</v>
      </c>
      <c r="E7613" t="s">
        <v>20</v>
      </c>
      <c r="F7613" t="str">
        <f>"43612"</f>
        <v>43612</v>
      </c>
      <c r="G7613" t="str">
        <f>"772209"</f>
        <v>772209</v>
      </c>
      <c r="H7613" s="2">
        <f>9904.53</f>
        <v>9904.5300000000007</v>
      </c>
      <c r="I7613" t="s">
        <v>27</v>
      </c>
      <c r="J7613" t="s">
        <v>691</v>
      </c>
      <c r="K7613" t="str">
        <f>"N/A"</f>
        <v>N/A</v>
      </c>
    </row>
    <row r="7614" spans="1:11" x14ac:dyDescent="0.25">
      <c r="A7614">
        <v>2025</v>
      </c>
      <c r="B7614" t="s">
        <v>11498</v>
      </c>
      <c r="C7614" t="s">
        <v>11499</v>
      </c>
      <c r="D7614" t="s">
        <v>45</v>
      </c>
      <c r="E7614" t="s">
        <v>20</v>
      </c>
      <c r="F7614" t="str">
        <f>"43542-9516"</f>
        <v>43542-9516</v>
      </c>
      <c r="G7614" t="str">
        <f>"753658"</f>
        <v>753658</v>
      </c>
      <c r="H7614" s="2">
        <f>20</f>
        <v>20</v>
      </c>
      <c r="I7614" t="s">
        <v>27</v>
      </c>
      <c r="J7614" t="s">
        <v>39</v>
      </c>
      <c r="K7614" t="str">
        <f>"127562"</f>
        <v>127562</v>
      </c>
    </row>
    <row r="7615" spans="1:11" x14ac:dyDescent="0.25">
      <c r="A7615">
        <v>2025</v>
      </c>
      <c r="B7615" t="s">
        <v>11500</v>
      </c>
      <c r="C7615" t="s">
        <v>11501</v>
      </c>
      <c r="D7615" t="s">
        <v>19</v>
      </c>
      <c r="E7615" t="s">
        <v>20</v>
      </c>
      <c r="F7615" t="str">
        <f>"43608-1236"</f>
        <v>43608-1236</v>
      </c>
      <c r="G7615" t="str">
        <f>"753658"</f>
        <v>753658</v>
      </c>
      <c r="H7615" s="2">
        <f>10</f>
        <v>10</v>
      </c>
      <c r="I7615" t="s">
        <v>27</v>
      </c>
      <c r="J7615" t="s">
        <v>39</v>
      </c>
      <c r="K7615" t="str">
        <f>"126830"</f>
        <v>126830</v>
      </c>
    </row>
    <row r="7616" spans="1:11" x14ac:dyDescent="0.25">
      <c r="A7616">
        <v>2025</v>
      </c>
      <c r="B7616" t="s">
        <v>11519</v>
      </c>
      <c r="C7616" t="s">
        <v>3312</v>
      </c>
      <c r="D7616" t="s">
        <v>1163</v>
      </c>
      <c r="E7616" t="s">
        <v>20</v>
      </c>
      <c r="F7616" t="str">
        <f>"45227"</f>
        <v>45227</v>
      </c>
      <c r="G7616" t="str">
        <f>"759796"</f>
        <v>759796</v>
      </c>
      <c r="H7616" s="2">
        <f>286</f>
        <v>286</v>
      </c>
      <c r="I7616" t="s">
        <v>27</v>
      </c>
      <c r="J7616" t="s">
        <v>188</v>
      </c>
      <c r="K7616" t="str">
        <f>"44562"</f>
        <v>44562</v>
      </c>
    </row>
    <row r="7617" spans="1:11" x14ac:dyDescent="0.25">
      <c r="A7617">
        <v>2025</v>
      </c>
      <c r="B7617" t="s">
        <v>11519</v>
      </c>
      <c r="C7617" t="s">
        <v>1004</v>
      </c>
      <c r="D7617" t="s">
        <v>1005</v>
      </c>
      <c r="E7617" t="s">
        <v>20</v>
      </c>
      <c r="F7617" t="str">
        <f>"44139"</f>
        <v>44139</v>
      </c>
      <c r="G7617" t="str">
        <f>"759796"</f>
        <v>759796</v>
      </c>
      <c r="H7617" s="2">
        <f>534.2</f>
        <v>534.20000000000005</v>
      </c>
      <c r="I7617" t="s">
        <v>27</v>
      </c>
      <c r="J7617" t="s">
        <v>188</v>
      </c>
      <c r="K7617" t="str">
        <f>"44123"</f>
        <v>44123</v>
      </c>
    </row>
    <row r="7618" spans="1:11" x14ac:dyDescent="0.25">
      <c r="A7618">
        <v>2025</v>
      </c>
      <c r="B7618" t="s">
        <v>11533</v>
      </c>
      <c r="C7618" t="s">
        <v>895</v>
      </c>
      <c r="E7618" t="s">
        <v>4982</v>
      </c>
      <c r="F7618" t="str">
        <f>"99999"</f>
        <v>99999</v>
      </c>
      <c r="G7618" t="str">
        <f>"748756"</f>
        <v>748756</v>
      </c>
      <c r="H7618" s="2">
        <f>177.78</f>
        <v>177.78</v>
      </c>
      <c r="I7618" t="s">
        <v>148</v>
      </c>
      <c r="J7618" t="s">
        <v>11534</v>
      </c>
      <c r="K7618" t="str">
        <f>"27577"</f>
        <v>27577</v>
      </c>
    </row>
    <row r="7619" spans="1:11" x14ac:dyDescent="0.25">
      <c r="A7619">
        <v>2025</v>
      </c>
      <c r="B7619" t="s">
        <v>11546</v>
      </c>
      <c r="C7619" t="s">
        <v>1004</v>
      </c>
      <c r="D7619" t="s">
        <v>1005</v>
      </c>
      <c r="E7619" t="s">
        <v>20</v>
      </c>
      <c r="F7619" t="str">
        <f>"44139"</f>
        <v>44139</v>
      </c>
      <c r="G7619" t="str">
        <f>"759796"</f>
        <v>759796</v>
      </c>
      <c r="H7619" s="2">
        <f>550</f>
        <v>550</v>
      </c>
      <c r="I7619" t="s">
        <v>27</v>
      </c>
      <c r="J7619" t="s">
        <v>188</v>
      </c>
      <c r="K7619" t="str">
        <f>"44252"</f>
        <v>44252</v>
      </c>
    </row>
    <row r="7620" spans="1:11" x14ac:dyDescent="0.25">
      <c r="A7620">
        <v>2025</v>
      </c>
      <c r="B7620" t="s">
        <v>11546</v>
      </c>
      <c r="C7620" t="s">
        <v>1004</v>
      </c>
      <c r="D7620" t="s">
        <v>1005</v>
      </c>
      <c r="E7620" t="s">
        <v>20</v>
      </c>
      <c r="F7620" t="str">
        <f>"44139"</f>
        <v>44139</v>
      </c>
      <c r="G7620" t="str">
        <f>"759796"</f>
        <v>759796</v>
      </c>
      <c r="H7620" s="2">
        <f>204.25</f>
        <v>204.25</v>
      </c>
      <c r="I7620" t="s">
        <v>27</v>
      </c>
      <c r="J7620" t="s">
        <v>188</v>
      </c>
      <c r="K7620" t="str">
        <f>"44985"</f>
        <v>44985</v>
      </c>
    </row>
    <row r="7621" spans="1:11" x14ac:dyDescent="0.25">
      <c r="A7621">
        <v>2025</v>
      </c>
      <c r="B7621" t="s">
        <v>11559</v>
      </c>
      <c r="C7621" t="s">
        <v>11560</v>
      </c>
      <c r="D7621" t="s">
        <v>19</v>
      </c>
      <c r="E7621" t="s">
        <v>20</v>
      </c>
      <c r="F7621" t="str">
        <f>"43620"</f>
        <v>43620</v>
      </c>
      <c r="G7621" t="str">
        <f>"Je07082025"</f>
        <v>Je07082025</v>
      </c>
      <c r="H7621" s="2">
        <f>600</f>
        <v>600</v>
      </c>
      <c r="I7621" t="s">
        <v>15</v>
      </c>
      <c r="J7621" t="s">
        <v>185</v>
      </c>
      <c r="K7621" t="str">
        <f>"60151164"</f>
        <v>60151164</v>
      </c>
    </row>
    <row r="7622" spans="1:11" x14ac:dyDescent="0.25">
      <c r="A7622">
        <v>2025</v>
      </c>
      <c r="B7622" t="s">
        <v>11559</v>
      </c>
      <c r="C7622" t="s">
        <v>11560</v>
      </c>
      <c r="D7622" t="s">
        <v>19</v>
      </c>
      <c r="E7622" t="s">
        <v>20</v>
      </c>
      <c r="F7622" t="str">
        <f>"43620"</f>
        <v>43620</v>
      </c>
      <c r="G7622" t="str">
        <f>"Je09192025"</f>
        <v>Je09192025</v>
      </c>
      <c r="H7622" s="2">
        <f>110</f>
        <v>110</v>
      </c>
      <c r="I7622" t="s">
        <v>15</v>
      </c>
      <c r="J7622" t="s">
        <v>563</v>
      </c>
      <c r="K7622" t="str">
        <f>"60159344"</f>
        <v>60159344</v>
      </c>
    </row>
    <row r="7623" spans="1:11" x14ac:dyDescent="0.25">
      <c r="A7623">
        <v>2025</v>
      </c>
      <c r="B7623" t="s">
        <v>11559</v>
      </c>
      <c r="C7623" t="s">
        <v>11561</v>
      </c>
      <c r="D7623" t="s">
        <v>19</v>
      </c>
      <c r="E7623" t="s">
        <v>20</v>
      </c>
      <c r="F7623" t="str">
        <f>"43604-5427"</f>
        <v>43604-5427</v>
      </c>
      <c r="G7623" t="str">
        <f>"Je12092025"</f>
        <v>Je12092025</v>
      </c>
      <c r="H7623" s="2">
        <f>160</f>
        <v>160</v>
      </c>
      <c r="I7623" t="s">
        <v>15</v>
      </c>
      <c r="J7623" t="s">
        <v>909</v>
      </c>
      <c r="K7623" t="str">
        <f>"60173657"</f>
        <v>60173657</v>
      </c>
    </row>
    <row r="7624" spans="1:11" x14ac:dyDescent="0.25">
      <c r="A7624">
        <v>2025</v>
      </c>
      <c r="B7624" t="s">
        <v>11568</v>
      </c>
      <c r="C7624" t="s">
        <v>11193</v>
      </c>
      <c r="D7624" t="s">
        <v>19</v>
      </c>
      <c r="E7624" t="s">
        <v>20</v>
      </c>
      <c r="F7624" t="str">
        <f>"43611"</f>
        <v>43611</v>
      </c>
      <c r="G7624" t="str">
        <f>"Je09192025"</f>
        <v>Je09192025</v>
      </c>
      <c r="H7624" s="2">
        <f>85.95</f>
        <v>85.95</v>
      </c>
      <c r="I7624" t="s">
        <v>15</v>
      </c>
      <c r="J7624" t="s">
        <v>563</v>
      </c>
      <c r="K7624" t="str">
        <f>"60162456"</f>
        <v>60162456</v>
      </c>
    </row>
    <row r="7625" spans="1:11" x14ac:dyDescent="0.25">
      <c r="A7625">
        <v>2025</v>
      </c>
      <c r="B7625" t="s">
        <v>11579</v>
      </c>
      <c r="C7625" t="s">
        <v>11580</v>
      </c>
      <c r="D7625" t="s">
        <v>19</v>
      </c>
      <c r="E7625" t="s">
        <v>20</v>
      </c>
      <c r="F7625" t="str">
        <f>"43613-4417"</f>
        <v>43613-4417</v>
      </c>
      <c r="G7625" t="str">
        <f>"753658"</f>
        <v>753658</v>
      </c>
      <c r="H7625" s="2">
        <f>10</f>
        <v>10</v>
      </c>
      <c r="I7625" t="s">
        <v>27</v>
      </c>
      <c r="J7625" t="s">
        <v>39</v>
      </c>
      <c r="K7625" t="str">
        <f>"128038"</f>
        <v>128038</v>
      </c>
    </row>
    <row r="7626" spans="1:11" x14ac:dyDescent="0.25">
      <c r="A7626">
        <v>2025</v>
      </c>
      <c r="B7626" t="s">
        <v>11583</v>
      </c>
      <c r="C7626" t="s">
        <v>11584</v>
      </c>
      <c r="D7626" t="s">
        <v>125</v>
      </c>
      <c r="E7626" t="s">
        <v>20</v>
      </c>
      <c r="F7626" t="str">
        <f>"43537"</f>
        <v>43537</v>
      </c>
      <c r="G7626" t="str">
        <f>"772209"</f>
        <v>772209</v>
      </c>
      <c r="H7626" s="2">
        <f>18226.21</f>
        <v>18226.21</v>
      </c>
      <c r="I7626" t="s">
        <v>27</v>
      </c>
      <c r="J7626" t="s">
        <v>691</v>
      </c>
      <c r="K7626" t="str">
        <f>"N/A"</f>
        <v>N/A</v>
      </c>
    </row>
    <row r="7627" spans="1:11" x14ac:dyDescent="0.25">
      <c r="A7627">
        <v>2025</v>
      </c>
      <c r="B7627" t="s">
        <v>11589</v>
      </c>
      <c r="C7627" t="s">
        <v>11590</v>
      </c>
      <c r="D7627" t="s">
        <v>50</v>
      </c>
      <c r="E7627" t="s">
        <v>20</v>
      </c>
      <c r="F7627" t="str">
        <f>"43560"</f>
        <v>43560</v>
      </c>
      <c r="G7627" t="str">
        <f>"751639"</f>
        <v>751639</v>
      </c>
      <c r="H7627" s="2">
        <f>3.66</f>
        <v>3.66</v>
      </c>
      <c r="I7627" t="s">
        <v>27</v>
      </c>
      <c r="J7627" t="s">
        <v>96</v>
      </c>
      <c r="K7627" t="str">
        <f>"334937"</f>
        <v>334937</v>
      </c>
    </row>
    <row r="7628" spans="1:11" x14ac:dyDescent="0.25">
      <c r="A7628">
        <v>2025</v>
      </c>
      <c r="B7628" t="s">
        <v>11601</v>
      </c>
      <c r="C7628" t="s">
        <v>11602</v>
      </c>
      <c r="D7628" t="s">
        <v>125</v>
      </c>
      <c r="E7628" t="s">
        <v>20</v>
      </c>
      <c r="F7628" t="str">
        <f>"43537-1104"</f>
        <v>43537-1104</v>
      </c>
      <c r="G7628" t="str">
        <f>"753658"</f>
        <v>753658</v>
      </c>
      <c r="H7628" s="2">
        <f>20</f>
        <v>20</v>
      </c>
      <c r="I7628" t="s">
        <v>27</v>
      </c>
      <c r="J7628" t="s">
        <v>39</v>
      </c>
      <c r="K7628" t="str">
        <f>"131119"</f>
        <v>131119</v>
      </c>
    </row>
    <row r="7629" spans="1:11" x14ac:dyDescent="0.25">
      <c r="A7629">
        <v>2025</v>
      </c>
      <c r="B7629" t="s">
        <v>11603</v>
      </c>
      <c r="C7629" t="s">
        <v>11604</v>
      </c>
      <c r="D7629" t="s">
        <v>19</v>
      </c>
      <c r="E7629" t="s">
        <v>20</v>
      </c>
      <c r="F7629" t="str">
        <f>"43606-2049"</f>
        <v>43606-2049</v>
      </c>
      <c r="G7629" t="str">
        <f>"753658"</f>
        <v>753658</v>
      </c>
      <c r="H7629" s="2">
        <f>100</f>
        <v>100</v>
      </c>
      <c r="I7629" t="s">
        <v>27</v>
      </c>
      <c r="J7629" t="s">
        <v>39</v>
      </c>
      <c r="K7629" t="str">
        <f>"127598"</f>
        <v>127598</v>
      </c>
    </row>
    <row r="7630" spans="1:11" x14ac:dyDescent="0.25">
      <c r="A7630">
        <v>2025</v>
      </c>
      <c r="B7630" t="s">
        <v>11605</v>
      </c>
      <c r="C7630" t="s">
        <v>11606</v>
      </c>
      <c r="D7630" t="s">
        <v>19</v>
      </c>
      <c r="E7630" t="s">
        <v>20</v>
      </c>
      <c r="F7630" t="str">
        <f>"43609"</f>
        <v>43609</v>
      </c>
      <c r="G7630" t="str">
        <f>"Je04082025"</f>
        <v>Je04082025</v>
      </c>
      <c r="H7630" s="2">
        <f>324.45</f>
        <v>324.45</v>
      </c>
      <c r="I7630" t="s">
        <v>15</v>
      </c>
      <c r="J7630" t="s">
        <v>24</v>
      </c>
      <c r="K7630" t="str">
        <f>"60148306"</f>
        <v>60148306</v>
      </c>
    </row>
    <row r="7631" spans="1:11" x14ac:dyDescent="0.25">
      <c r="A7631">
        <v>2025</v>
      </c>
      <c r="B7631" t="s">
        <v>11611</v>
      </c>
      <c r="C7631" t="s">
        <v>11612</v>
      </c>
      <c r="D7631" t="s">
        <v>50</v>
      </c>
      <c r="E7631" t="s">
        <v>20</v>
      </c>
      <c r="F7631" t="str">
        <f>"43560-9667"</f>
        <v>43560-9667</v>
      </c>
      <c r="G7631" t="str">
        <f>"753658"</f>
        <v>753658</v>
      </c>
      <c r="H7631" s="2">
        <f>10</f>
        <v>10</v>
      </c>
      <c r="I7631" t="s">
        <v>27</v>
      </c>
      <c r="J7631" t="s">
        <v>39</v>
      </c>
      <c r="K7631" t="str">
        <f>"126735"</f>
        <v>126735</v>
      </c>
    </row>
    <row r="7632" spans="1:11" x14ac:dyDescent="0.25">
      <c r="A7632">
        <v>2025</v>
      </c>
      <c r="B7632" t="s">
        <v>11641</v>
      </c>
      <c r="C7632" t="s">
        <v>11642</v>
      </c>
      <c r="D7632" t="s">
        <v>19</v>
      </c>
      <c r="E7632" t="s">
        <v>20</v>
      </c>
      <c r="F7632" t="str">
        <f>"43612-2265"</f>
        <v>43612-2265</v>
      </c>
      <c r="G7632" t="str">
        <f>"753658"</f>
        <v>753658</v>
      </c>
      <c r="H7632" s="2">
        <f>10</f>
        <v>10</v>
      </c>
      <c r="I7632" t="s">
        <v>27</v>
      </c>
      <c r="J7632" t="s">
        <v>39</v>
      </c>
      <c r="K7632" t="str">
        <f>"128275"</f>
        <v>128275</v>
      </c>
    </row>
    <row r="7633" spans="1:11" x14ac:dyDescent="0.25">
      <c r="A7633">
        <v>2025</v>
      </c>
      <c r="B7633" t="s">
        <v>11643</v>
      </c>
      <c r="C7633" t="s">
        <v>11644</v>
      </c>
      <c r="D7633" t="s">
        <v>128</v>
      </c>
      <c r="E7633" t="s">
        <v>20</v>
      </c>
      <c r="F7633" t="str">
        <f>"43619"</f>
        <v>43619</v>
      </c>
      <c r="G7633" t="str">
        <f>"751641"</f>
        <v>751641</v>
      </c>
      <c r="H7633" s="2">
        <f>5</f>
        <v>5</v>
      </c>
      <c r="I7633" t="s">
        <v>27</v>
      </c>
      <c r="J7633" t="s">
        <v>219</v>
      </c>
      <c r="K7633" t="str">
        <f>"44010409"</f>
        <v>44010409</v>
      </c>
    </row>
    <row r="7634" spans="1:11" x14ac:dyDescent="0.25">
      <c r="A7634">
        <v>2025</v>
      </c>
      <c r="B7634" t="s">
        <v>11647</v>
      </c>
      <c r="C7634" t="s">
        <v>11648</v>
      </c>
      <c r="D7634" t="s">
        <v>19</v>
      </c>
      <c r="E7634" t="s">
        <v>20</v>
      </c>
      <c r="F7634" t="str">
        <f>"43623"</f>
        <v>43623</v>
      </c>
      <c r="G7634" t="str">
        <f t="shared" ref="G7634:G7652" si="283">"753658"</f>
        <v>753658</v>
      </c>
      <c r="H7634" s="2">
        <f>10</f>
        <v>10</v>
      </c>
      <c r="I7634" t="s">
        <v>27</v>
      </c>
      <c r="J7634" t="s">
        <v>39</v>
      </c>
      <c r="K7634" t="str">
        <f>"126179"</f>
        <v>126179</v>
      </c>
    </row>
    <row r="7635" spans="1:11" x14ac:dyDescent="0.25">
      <c r="A7635">
        <v>2025</v>
      </c>
      <c r="B7635" t="s">
        <v>11655</v>
      </c>
      <c r="C7635" t="s">
        <v>11656</v>
      </c>
      <c r="D7635" t="s">
        <v>19</v>
      </c>
      <c r="E7635" t="s">
        <v>20</v>
      </c>
      <c r="F7635" t="str">
        <f>"43614-5449"</f>
        <v>43614-5449</v>
      </c>
      <c r="G7635" t="str">
        <f t="shared" si="283"/>
        <v>753658</v>
      </c>
      <c r="H7635" s="2">
        <f>10</f>
        <v>10</v>
      </c>
      <c r="I7635" t="s">
        <v>27</v>
      </c>
      <c r="J7635" t="s">
        <v>39</v>
      </c>
      <c r="K7635" t="str">
        <f>"126345"</f>
        <v>126345</v>
      </c>
    </row>
    <row r="7636" spans="1:11" x14ac:dyDescent="0.25">
      <c r="A7636">
        <v>2025</v>
      </c>
      <c r="B7636" t="s">
        <v>11657</v>
      </c>
      <c r="C7636" t="s">
        <v>11658</v>
      </c>
      <c r="D7636" t="s">
        <v>19</v>
      </c>
      <c r="E7636" t="s">
        <v>20</v>
      </c>
      <c r="F7636" t="str">
        <f>"43606-3727"</f>
        <v>43606-3727</v>
      </c>
      <c r="G7636" t="str">
        <f t="shared" si="283"/>
        <v>753658</v>
      </c>
      <c r="H7636" s="2">
        <f>30</f>
        <v>30</v>
      </c>
      <c r="I7636" t="s">
        <v>27</v>
      </c>
      <c r="J7636" t="s">
        <v>39</v>
      </c>
      <c r="K7636" t="str">
        <f>"126580"</f>
        <v>126580</v>
      </c>
    </row>
    <row r="7637" spans="1:11" x14ac:dyDescent="0.25">
      <c r="A7637">
        <v>2025</v>
      </c>
      <c r="B7637" t="s">
        <v>11659</v>
      </c>
      <c r="C7637" t="s">
        <v>11660</v>
      </c>
      <c r="D7637" t="s">
        <v>64</v>
      </c>
      <c r="E7637" t="s">
        <v>20</v>
      </c>
      <c r="F7637" t="str">
        <f>"43566-9745"</f>
        <v>43566-9745</v>
      </c>
      <c r="G7637" t="str">
        <f t="shared" si="283"/>
        <v>753658</v>
      </c>
      <c r="H7637" s="2">
        <f>20</f>
        <v>20</v>
      </c>
      <c r="I7637" t="s">
        <v>27</v>
      </c>
      <c r="J7637" t="s">
        <v>39</v>
      </c>
      <c r="K7637" t="str">
        <f>"127417"</f>
        <v>127417</v>
      </c>
    </row>
    <row r="7638" spans="1:11" x14ac:dyDescent="0.25">
      <c r="A7638">
        <v>2025</v>
      </c>
      <c r="B7638" t="s">
        <v>11664</v>
      </c>
      <c r="C7638" t="s">
        <v>11665</v>
      </c>
      <c r="D7638" t="s">
        <v>19</v>
      </c>
      <c r="E7638" t="s">
        <v>20</v>
      </c>
      <c r="F7638" t="str">
        <f>"43623-1341"</f>
        <v>43623-1341</v>
      </c>
      <c r="G7638" t="str">
        <f t="shared" si="283"/>
        <v>753658</v>
      </c>
      <c r="H7638" s="2">
        <f>20</f>
        <v>20</v>
      </c>
      <c r="I7638" t="s">
        <v>27</v>
      </c>
      <c r="J7638" t="s">
        <v>39</v>
      </c>
      <c r="K7638" t="str">
        <f>"125431"</f>
        <v>125431</v>
      </c>
    </row>
    <row r="7639" spans="1:11" x14ac:dyDescent="0.25">
      <c r="A7639">
        <v>2025</v>
      </c>
      <c r="B7639" t="s">
        <v>11667</v>
      </c>
      <c r="C7639" t="s">
        <v>11668</v>
      </c>
      <c r="D7639" t="s">
        <v>125</v>
      </c>
      <c r="E7639" t="s">
        <v>20</v>
      </c>
      <c r="F7639" t="str">
        <f>"43537-9514"</f>
        <v>43537-9514</v>
      </c>
      <c r="G7639" t="str">
        <f t="shared" si="283"/>
        <v>753658</v>
      </c>
      <c r="H7639" s="2">
        <f>30</f>
        <v>30</v>
      </c>
      <c r="I7639" t="s">
        <v>27</v>
      </c>
      <c r="J7639" t="s">
        <v>39</v>
      </c>
      <c r="K7639" t="str">
        <f>"128433"</f>
        <v>128433</v>
      </c>
    </row>
    <row r="7640" spans="1:11" x14ac:dyDescent="0.25">
      <c r="A7640">
        <v>2025</v>
      </c>
      <c r="B7640" t="s">
        <v>11669</v>
      </c>
      <c r="C7640" t="s">
        <v>11670</v>
      </c>
      <c r="D7640" t="s">
        <v>19</v>
      </c>
      <c r="E7640" t="s">
        <v>20</v>
      </c>
      <c r="F7640" t="str">
        <f>"43614-3930"</f>
        <v>43614-3930</v>
      </c>
      <c r="G7640" t="str">
        <f t="shared" si="283"/>
        <v>753658</v>
      </c>
      <c r="H7640" s="2">
        <f>40</f>
        <v>40</v>
      </c>
      <c r="I7640" t="s">
        <v>27</v>
      </c>
      <c r="J7640" t="s">
        <v>39</v>
      </c>
      <c r="K7640" t="str">
        <f>"125897"</f>
        <v>125897</v>
      </c>
    </row>
    <row r="7641" spans="1:11" x14ac:dyDescent="0.25">
      <c r="A7641">
        <v>2025</v>
      </c>
      <c r="B7641" t="s">
        <v>11671</v>
      </c>
      <c r="C7641" t="s">
        <v>11672</v>
      </c>
      <c r="D7641" t="s">
        <v>50</v>
      </c>
      <c r="E7641" t="s">
        <v>20</v>
      </c>
      <c r="F7641" t="str">
        <f>"43560"</f>
        <v>43560</v>
      </c>
      <c r="G7641" t="str">
        <f t="shared" si="283"/>
        <v>753658</v>
      </c>
      <c r="H7641" s="2">
        <f>10</f>
        <v>10</v>
      </c>
      <c r="I7641" t="s">
        <v>27</v>
      </c>
      <c r="J7641" t="s">
        <v>39</v>
      </c>
      <c r="K7641" t="str">
        <f>"128271"</f>
        <v>128271</v>
      </c>
    </row>
    <row r="7642" spans="1:11" x14ac:dyDescent="0.25">
      <c r="A7642">
        <v>2025</v>
      </c>
      <c r="B7642" t="s">
        <v>11673</v>
      </c>
      <c r="C7642" t="s">
        <v>11674</v>
      </c>
      <c r="D7642" t="s">
        <v>19</v>
      </c>
      <c r="E7642" t="s">
        <v>20</v>
      </c>
      <c r="F7642" t="str">
        <f>"43611-1234"</f>
        <v>43611-1234</v>
      </c>
      <c r="G7642" t="str">
        <f t="shared" si="283"/>
        <v>753658</v>
      </c>
      <c r="H7642" s="2">
        <f>40</f>
        <v>40</v>
      </c>
      <c r="I7642" t="s">
        <v>27</v>
      </c>
      <c r="J7642" t="s">
        <v>39</v>
      </c>
      <c r="K7642" t="str">
        <f>"131213"</f>
        <v>131213</v>
      </c>
    </row>
    <row r="7643" spans="1:11" x14ac:dyDescent="0.25">
      <c r="A7643">
        <v>2025</v>
      </c>
      <c r="B7643" t="s">
        <v>11696</v>
      </c>
      <c r="C7643" t="s">
        <v>11697</v>
      </c>
      <c r="D7643" t="s">
        <v>19</v>
      </c>
      <c r="E7643" t="s">
        <v>20</v>
      </c>
      <c r="F7643" t="str">
        <f>"43607-2247"</f>
        <v>43607-2247</v>
      </c>
      <c r="G7643" t="str">
        <f t="shared" si="283"/>
        <v>753658</v>
      </c>
      <c r="H7643" s="2">
        <f>10</f>
        <v>10</v>
      </c>
      <c r="I7643" t="s">
        <v>27</v>
      </c>
      <c r="J7643" t="s">
        <v>39</v>
      </c>
      <c r="K7643" t="str">
        <f>"126349"</f>
        <v>126349</v>
      </c>
    </row>
    <row r="7644" spans="1:11" x14ac:dyDescent="0.25">
      <c r="A7644">
        <v>2025</v>
      </c>
      <c r="B7644" t="s">
        <v>11723</v>
      </c>
      <c r="C7644" t="s">
        <v>11724</v>
      </c>
      <c r="D7644" t="s">
        <v>19</v>
      </c>
      <c r="E7644" t="s">
        <v>20</v>
      </c>
      <c r="F7644" t="str">
        <f>"43606-3710"</f>
        <v>43606-3710</v>
      </c>
      <c r="G7644" t="str">
        <f t="shared" si="283"/>
        <v>753658</v>
      </c>
      <c r="H7644" s="2">
        <f>20</f>
        <v>20</v>
      </c>
      <c r="I7644" t="s">
        <v>27</v>
      </c>
      <c r="J7644" t="s">
        <v>39</v>
      </c>
      <c r="K7644" t="str">
        <f>"127404"</f>
        <v>127404</v>
      </c>
    </row>
    <row r="7645" spans="1:11" x14ac:dyDescent="0.25">
      <c r="A7645">
        <v>2025</v>
      </c>
      <c r="B7645" t="s">
        <v>11725</v>
      </c>
      <c r="C7645" t="s">
        <v>11726</v>
      </c>
      <c r="D7645" t="s">
        <v>19</v>
      </c>
      <c r="E7645" t="s">
        <v>20</v>
      </c>
      <c r="F7645" t="str">
        <f>"43614-4983"</f>
        <v>43614-4983</v>
      </c>
      <c r="G7645" t="str">
        <f t="shared" si="283"/>
        <v>753658</v>
      </c>
      <c r="H7645" s="2">
        <f>20</f>
        <v>20</v>
      </c>
      <c r="I7645" t="s">
        <v>27</v>
      </c>
      <c r="J7645" t="s">
        <v>39</v>
      </c>
      <c r="K7645" t="str">
        <f>"130975"</f>
        <v>130975</v>
      </c>
    </row>
    <row r="7646" spans="1:11" x14ac:dyDescent="0.25">
      <c r="A7646">
        <v>2025</v>
      </c>
      <c r="B7646" t="s">
        <v>11729</v>
      </c>
      <c r="C7646" t="s">
        <v>11730</v>
      </c>
      <c r="D7646" t="s">
        <v>125</v>
      </c>
      <c r="E7646" t="s">
        <v>20</v>
      </c>
      <c r="F7646" t="str">
        <f>"43537-2330"</f>
        <v>43537-2330</v>
      </c>
      <c r="G7646" t="str">
        <f t="shared" si="283"/>
        <v>753658</v>
      </c>
      <c r="H7646" s="2">
        <f>20</f>
        <v>20</v>
      </c>
      <c r="I7646" t="s">
        <v>27</v>
      </c>
      <c r="J7646" t="s">
        <v>39</v>
      </c>
      <c r="K7646" t="str">
        <f>"128609"</f>
        <v>128609</v>
      </c>
    </row>
    <row r="7647" spans="1:11" x14ac:dyDescent="0.25">
      <c r="A7647">
        <v>2025</v>
      </c>
      <c r="B7647" t="s">
        <v>11733</v>
      </c>
      <c r="C7647" t="s">
        <v>11734</v>
      </c>
      <c r="D7647" t="s">
        <v>19</v>
      </c>
      <c r="E7647" t="s">
        <v>20</v>
      </c>
      <c r="F7647" t="str">
        <f>"43606-2549"</f>
        <v>43606-2549</v>
      </c>
      <c r="G7647" t="str">
        <f t="shared" si="283"/>
        <v>753658</v>
      </c>
      <c r="H7647" s="2">
        <f>40</f>
        <v>40</v>
      </c>
      <c r="I7647" t="s">
        <v>27</v>
      </c>
      <c r="J7647" t="s">
        <v>39</v>
      </c>
      <c r="K7647" t="str">
        <f>"129952"</f>
        <v>129952</v>
      </c>
    </row>
    <row r="7648" spans="1:11" x14ac:dyDescent="0.25">
      <c r="A7648">
        <v>2025</v>
      </c>
      <c r="B7648" t="s">
        <v>11735</v>
      </c>
      <c r="C7648" t="s">
        <v>11736</v>
      </c>
      <c r="D7648" t="s">
        <v>64</v>
      </c>
      <c r="E7648" t="s">
        <v>20</v>
      </c>
      <c r="F7648" t="str">
        <f>"43566-8600"</f>
        <v>43566-8600</v>
      </c>
      <c r="G7648" t="str">
        <f t="shared" si="283"/>
        <v>753658</v>
      </c>
      <c r="H7648" s="2">
        <f>10</f>
        <v>10</v>
      </c>
      <c r="I7648" t="s">
        <v>27</v>
      </c>
      <c r="J7648" t="s">
        <v>39</v>
      </c>
      <c r="K7648" t="str">
        <f>"131048"</f>
        <v>131048</v>
      </c>
    </row>
    <row r="7649" spans="1:11" x14ac:dyDescent="0.25">
      <c r="A7649">
        <v>2025</v>
      </c>
      <c r="B7649" t="s">
        <v>11744</v>
      </c>
      <c r="C7649" t="s">
        <v>11745</v>
      </c>
      <c r="D7649" t="s">
        <v>19</v>
      </c>
      <c r="E7649" t="s">
        <v>20</v>
      </c>
      <c r="F7649" t="str">
        <f>"43623-2717"</f>
        <v>43623-2717</v>
      </c>
      <c r="G7649" t="str">
        <f t="shared" si="283"/>
        <v>753658</v>
      </c>
      <c r="H7649" s="2">
        <f>10</f>
        <v>10</v>
      </c>
      <c r="I7649" t="s">
        <v>27</v>
      </c>
      <c r="J7649" t="s">
        <v>39</v>
      </c>
      <c r="K7649" t="str">
        <f>"127046"</f>
        <v>127046</v>
      </c>
    </row>
    <row r="7650" spans="1:11" x14ac:dyDescent="0.25">
      <c r="A7650">
        <v>2025</v>
      </c>
      <c r="B7650" t="s">
        <v>11748</v>
      </c>
      <c r="C7650" t="s">
        <v>11749</v>
      </c>
      <c r="D7650" t="s">
        <v>19</v>
      </c>
      <c r="E7650" t="s">
        <v>20</v>
      </c>
      <c r="F7650" t="str">
        <f>"43615-7047"</f>
        <v>43615-7047</v>
      </c>
      <c r="G7650" t="str">
        <f t="shared" si="283"/>
        <v>753658</v>
      </c>
      <c r="H7650" s="2">
        <f>10</f>
        <v>10</v>
      </c>
      <c r="I7650" t="s">
        <v>27</v>
      </c>
      <c r="J7650" t="s">
        <v>39</v>
      </c>
      <c r="K7650" t="str">
        <f>"129131"</f>
        <v>129131</v>
      </c>
    </row>
    <row r="7651" spans="1:11" x14ac:dyDescent="0.25">
      <c r="A7651">
        <v>2025</v>
      </c>
      <c r="B7651" t="s">
        <v>11750</v>
      </c>
      <c r="C7651" t="s">
        <v>11751</v>
      </c>
      <c r="D7651" t="s">
        <v>105</v>
      </c>
      <c r="E7651" t="s">
        <v>20</v>
      </c>
      <c r="F7651" t="str">
        <f>"43528-9536"</f>
        <v>43528-9536</v>
      </c>
      <c r="G7651" t="str">
        <f t="shared" si="283"/>
        <v>753658</v>
      </c>
      <c r="H7651" s="2">
        <f>17.5</f>
        <v>17.5</v>
      </c>
      <c r="I7651" t="s">
        <v>27</v>
      </c>
      <c r="J7651" t="s">
        <v>39</v>
      </c>
      <c r="K7651" t="str">
        <f>"127454"</f>
        <v>127454</v>
      </c>
    </row>
    <row r="7652" spans="1:11" x14ac:dyDescent="0.25">
      <c r="A7652">
        <v>2025</v>
      </c>
      <c r="B7652" t="s">
        <v>11752</v>
      </c>
      <c r="C7652" t="s">
        <v>11753</v>
      </c>
      <c r="D7652" t="s">
        <v>125</v>
      </c>
      <c r="E7652" t="s">
        <v>20</v>
      </c>
      <c r="F7652" t="str">
        <f>"43537-1003"</f>
        <v>43537-1003</v>
      </c>
      <c r="G7652" t="str">
        <f t="shared" si="283"/>
        <v>753658</v>
      </c>
      <c r="H7652" s="2">
        <f>40</f>
        <v>40</v>
      </c>
      <c r="I7652" t="s">
        <v>27</v>
      </c>
      <c r="J7652" t="s">
        <v>39</v>
      </c>
      <c r="K7652" t="str">
        <f>"131320"</f>
        <v>131320</v>
      </c>
    </row>
    <row r="7653" spans="1:11" x14ac:dyDescent="0.25">
      <c r="A7653">
        <v>2025</v>
      </c>
      <c r="B7653" t="s">
        <v>11754</v>
      </c>
      <c r="C7653" t="s">
        <v>11755</v>
      </c>
      <c r="D7653" t="s">
        <v>105</v>
      </c>
      <c r="E7653" t="s">
        <v>20</v>
      </c>
      <c r="F7653" t="str">
        <f>"43528"</f>
        <v>43528</v>
      </c>
      <c r="G7653" t="str">
        <f>"740128"</f>
        <v>740128</v>
      </c>
      <c r="H7653" s="2">
        <f>10</f>
        <v>10</v>
      </c>
      <c r="I7653" t="s">
        <v>148</v>
      </c>
      <c r="J7653" t="s">
        <v>11756</v>
      </c>
      <c r="K7653" t="str">
        <f>"27417"</f>
        <v>27417</v>
      </c>
    </row>
    <row r="7654" spans="1:11" x14ac:dyDescent="0.25">
      <c r="A7654">
        <v>2025</v>
      </c>
      <c r="B7654" t="s">
        <v>11759</v>
      </c>
      <c r="C7654" t="s">
        <v>11760</v>
      </c>
      <c r="D7654" t="s">
        <v>105</v>
      </c>
      <c r="E7654" t="s">
        <v>20</v>
      </c>
      <c r="F7654" t="str">
        <f>"43528-9009"</f>
        <v>43528-9009</v>
      </c>
      <c r="G7654" t="str">
        <f t="shared" ref="G7654:G7659" si="284">"753658"</f>
        <v>753658</v>
      </c>
      <c r="H7654" s="2">
        <f>20</f>
        <v>20</v>
      </c>
      <c r="I7654" t="s">
        <v>27</v>
      </c>
      <c r="J7654" t="s">
        <v>39</v>
      </c>
      <c r="K7654" t="str">
        <f>"127942"</f>
        <v>127942</v>
      </c>
    </row>
    <row r="7655" spans="1:11" x14ac:dyDescent="0.25">
      <c r="A7655">
        <v>2025</v>
      </c>
      <c r="B7655" t="s">
        <v>11761</v>
      </c>
      <c r="C7655" t="s">
        <v>11762</v>
      </c>
      <c r="D7655" t="s">
        <v>19</v>
      </c>
      <c r="E7655" t="s">
        <v>20</v>
      </c>
      <c r="F7655" t="str">
        <f>"43611-2448"</f>
        <v>43611-2448</v>
      </c>
      <c r="G7655" t="str">
        <f t="shared" si="284"/>
        <v>753658</v>
      </c>
      <c r="H7655" s="2">
        <f>10</f>
        <v>10</v>
      </c>
      <c r="I7655" t="s">
        <v>27</v>
      </c>
      <c r="J7655" t="s">
        <v>39</v>
      </c>
      <c r="K7655" t="str">
        <f>"131867"</f>
        <v>131867</v>
      </c>
    </row>
    <row r="7656" spans="1:11" x14ac:dyDescent="0.25">
      <c r="A7656">
        <v>2025</v>
      </c>
      <c r="B7656" t="s">
        <v>11763</v>
      </c>
      <c r="C7656" t="s">
        <v>11764</v>
      </c>
      <c r="D7656" t="s">
        <v>19</v>
      </c>
      <c r="E7656" t="s">
        <v>20</v>
      </c>
      <c r="F7656" t="str">
        <f>"43623-0793"</f>
        <v>43623-0793</v>
      </c>
      <c r="G7656" t="str">
        <f t="shared" si="284"/>
        <v>753658</v>
      </c>
      <c r="H7656" s="2">
        <f>60</f>
        <v>60</v>
      </c>
      <c r="I7656" t="s">
        <v>27</v>
      </c>
      <c r="J7656" t="s">
        <v>39</v>
      </c>
      <c r="K7656" t="str">
        <f>"129052"</f>
        <v>129052</v>
      </c>
    </row>
    <row r="7657" spans="1:11" x14ac:dyDescent="0.25">
      <c r="A7657">
        <v>2025</v>
      </c>
      <c r="B7657" t="s">
        <v>11765</v>
      </c>
      <c r="C7657" t="s">
        <v>11766</v>
      </c>
      <c r="D7657" t="s">
        <v>19</v>
      </c>
      <c r="E7657" t="s">
        <v>20</v>
      </c>
      <c r="F7657" t="str">
        <f>"43605-2909"</f>
        <v>43605-2909</v>
      </c>
      <c r="G7657" t="str">
        <f t="shared" si="284"/>
        <v>753658</v>
      </c>
      <c r="H7657" s="2">
        <f>30</f>
        <v>30</v>
      </c>
      <c r="I7657" t="s">
        <v>27</v>
      </c>
      <c r="J7657" t="s">
        <v>39</v>
      </c>
      <c r="K7657" t="str">
        <f>"127312"</f>
        <v>127312</v>
      </c>
    </row>
    <row r="7658" spans="1:11" x14ac:dyDescent="0.25">
      <c r="A7658">
        <v>2025</v>
      </c>
      <c r="B7658" t="s">
        <v>11782</v>
      </c>
      <c r="C7658" t="s">
        <v>11783</v>
      </c>
      <c r="D7658" t="s">
        <v>125</v>
      </c>
      <c r="E7658" t="s">
        <v>20</v>
      </c>
      <c r="F7658" t="str">
        <f>"43537-2061"</f>
        <v>43537-2061</v>
      </c>
      <c r="G7658" t="str">
        <f t="shared" si="284"/>
        <v>753658</v>
      </c>
      <c r="H7658" s="2">
        <f>20</f>
        <v>20</v>
      </c>
      <c r="I7658" t="s">
        <v>27</v>
      </c>
      <c r="J7658" t="s">
        <v>39</v>
      </c>
      <c r="K7658" t="str">
        <f>"128691"</f>
        <v>128691</v>
      </c>
    </row>
    <row r="7659" spans="1:11" x14ac:dyDescent="0.25">
      <c r="A7659">
        <v>2025</v>
      </c>
      <c r="B7659" t="s">
        <v>11804</v>
      </c>
      <c r="C7659" t="s">
        <v>11805</v>
      </c>
      <c r="D7659" t="s">
        <v>45</v>
      </c>
      <c r="E7659" t="s">
        <v>20</v>
      </c>
      <c r="F7659" t="str">
        <f>"43542-8607"</f>
        <v>43542-8607</v>
      </c>
      <c r="G7659" t="str">
        <f t="shared" si="284"/>
        <v>753658</v>
      </c>
      <c r="H7659" s="2">
        <f>10</f>
        <v>10</v>
      </c>
      <c r="I7659" t="s">
        <v>27</v>
      </c>
      <c r="J7659" t="s">
        <v>39</v>
      </c>
      <c r="K7659" t="str">
        <f>"125216"</f>
        <v>125216</v>
      </c>
    </row>
    <row r="7660" spans="1:11" x14ac:dyDescent="0.25">
      <c r="A7660">
        <v>2025</v>
      </c>
      <c r="B7660" t="s">
        <v>11820</v>
      </c>
      <c r="C7660" t="s">
        <v>11821</v>
      </c>
      <c r="D7660" t="s">
        <v>11822</v>
      </c>
      <c r="E7660" t="s">
        <v>85</v>
      </c>
      <c r="F7660" t="str">
        <f>"98371"</f>
        <v>98371</v>
      </c>
      <c r="G7660" t="str">
        <f>"Je07082025"</f>
        <v>Je07082025</v>
      </c>
      <c r="H7660" s="2">
        <f>3124.57</f>
        <v>3124.57</v>
      </c>
      <c r="I7660" t="s">
        <v>15</v>
      </c>
      <c r="J7660" t="s">
        <v>185</v>
      </c>
      <c r="K7660" t="str">
        <f>"60154501"</f>
        <v>60154501</v>
      </c>
    </row>
    <row r="7661" spans="1:11" x14ac:dyDescent="0.25">
      <c r="A7661">
        <v>2025</v>
      </c>
      <c r="B7661" t="s">
        <v>11820</v>
      </c>
      <c r="C7661" t="s">
        <v>11821</v>
      </c>
      <c r="D7661" t="s">
        <v>11822</v>
      </c>
      <c r="E7661" t="s">
        <v>85</v>
      </c>
      <c r="F7661" t="str">
        <f>"98371"</f>
        <v>98371</v>
      </c>
      <c r="G7661" t="str">
        <f>"Je07082025"</f>
        <v>Je07082025</v>
      </c>
      <c r="H7661" s="2">
        <f>662.37</f>
        <v>662.37</v>
      </c>
      <c r="I7661" t="s">
        <v>15</v>
      </c>
      <c r="J7661" t="s">
        <v>185</v>
      </c>
      <c r="K7661" t="str">
        <f>"60154500"</f>
        <v>60154500</v>
      </c>
    </row>
    <row r="7662" spans="1:11" x14ac:dyDescent="0.25">
      <c r="A7662">
        <v>2025</v>
      </c>
      <c r="B7662" t="s">
        <v>11820</v>
      </c>
      <c r="C7662" t="s">
        <v>11821</v>
      </c>
      <c r="D7662" t="s">
        <v>11822</v>
      </c>
      <c r="E7662" t="s">
        <v>85</v>
      </c>
      <c r="F7662" t="str">
        <f>"98371"</f>
        <v>98371</v>
      </c>
      <c r="G7662" t="str">
        <f>"Je07082025"</f>
        <v>Je07082025</v>
      </c>
      <c r="H7662" s="2">
        <f>394.76</f>
        <v>394.76</v>
      </c>
      <c r="I7662" t="s">
        <v>15</v>
      </c>
      <c r="J7662" t="s">
        <v>185</v>
      </c>
      <c r="K7662" t="str">
        <f>"60154499"</f>
        <v>60154499</v>
      </c>
    </row>
    <row r="7663" spans="1:11" x14ac:dyDescent="0.25">
      <c r="A7663">
        <v>2025</v>
      </c>
      <c r="B7663" t="s">
        <v>11823</v>
      </c>
      <c r="C7663" t="s">
        <v>11824</v>
      </c>
      <c r="D7663" t="s">
        <v>50</v>
      </c>
      <c r="E7663" t="s">
        <v>20</v>
      </c>
      <c r="F7663" t="str">
        <f>"43560"</f>
        <v>43560</v>
      </c>
      <c r="G7663" t="str">
        <f>"Je04082025"</f>
        <v>Je04082025</v>
      </c>
      <c r="H7663" s="2">
        <f>565.5</f>
        <v>565.5</v>
      </c>
      <c r="I7663" t="s">
        <v>15</v>
      </c>
      <c r="J7663" t="s">
        <v>24</v>
      </c>
      <c r="K7663" t="str">
        <f>"60143181"</f>
        <v>60143181</v>
      </c>
    </row>
    <row r="7664" spans="1:11" x14ac:dyDescent="0.25">
      <c r="A7664">
        <v>2025</v>
      </c>
      <c r="B7664" t="s">
        <v>11847</v>
      </c>
      <c r="C7664" t="s">
        <v>11848</v>
      </c>
      <c r="D7664" t="s">
        <v>19</v>
      </c>
      <c r="E7664" t="s">
        <v>20</v>
      </c>
      <c r="F7664" t="str">
        <f>"43612"</f>
        <v>43612</v>
      </c>
      <c r="G7664" t="str">
        <f>"759797"</f>
        <v>759797</v>
      </c>
      <c r="H7664" s="2">
        <f>3880.68</f>
        <v>3880.68</v>
      </c>
      <c r="I7664" t="s">
        <v>27</v>
      </c>
      <c r="J7664" t="s">
        <v>239</v>
      </c>
      <c r="K7664" t="str">
        <f>"N/A"</f>
        <v>N/A</v>
      </c>
    </row>
    <row r="7665" spans="1:11" x14ac:dyDescent="0.25">
      <c r="A7665">
        <v>2025</v>
      </c>
      <c r="B7665" t="s">
        <v>11855</v>
      </c>
      <c r="C7665" t="s">
        <v>11856</v>
      </c>
      <c r="D7665" t="s">
        <v>19</v>
      </c>
      <c r="E7665" t="s">
        <v>20</v>
      </c>
      <c r="F7665" t="str">
        <f>"43623-2976"</f>
        <v>43623-2976</v>
      </c>
      <c r="G7665" t="str">
        <f t="shared" ref="G7665:G7682" si="285">"753658"</f>
        <v>753658</v>
      </c>
      <c r="H7665" s="2">
        <f>10</f>
        <v>10</v>
      </c>
      <c r="I7665" t="s">
        <v>27</v>
      </c>
      <c r="J7665" t="s">
        <v>39</v>
      </c>
      <c r="K7665" t="str">
        <f>"128020"</f>
        <v>128020</v>
      </c>
    </row>
    <row r="7666" spans="1:11" x14ac:dyDescent="0.25">
      <c r="A7666">
        <v>2025</v>
      </c>
      <c r="B7666" t="s">
        <v>11861</v>
      </c>
      <c r="C7666" t="s">
        <v>11862</v>
      </c>
      <c r="D7666" t="s">
        <v>19</v>
      </c>
      <c r="E7666" t="s">
        <v>20</v>
      </c>
      <c r="F7666" t="str">
        <f>"43612-2477"</f>
        <v>43612-2477</v>
      </c>
      <c r="G7666" t="str">
        <f t="shared" si="285"/>
        <v>753658</v>
      </c>
      <c r="H7666" s="2">
        <f>10</f>
        <v>10</v>
      </c>
      <c r="I7666" t="s">
        <v>27</v>
      </c>
      <c r="J7666" t="s">
        <v>39</v>
      </c>
      <c r="K7666" t="str">
        <f>"126232"</f>
        <v>126232</v>
      </c>
    </row>
    <row r="7667" spans="1:11" x14ac:dyDescent="0.25">
      <c r="A7667">
        <v>2025</v>
      </c>
      <c r="B7667" t="s">
        <v>11873</v>
      </c>
      <c r="C7667" t="s">
        <v>11874</v>
      </c>
      <c r="D7667" t="s">
        <v>19</v>
      </c>
      <c r="E7667" t="s">
        <v>20</v>
      </c>
      <c r="F7667" t="str">
        <f>"43612"</f>
        <v>43612</v>
      </c>
      <c r="G7667" t="str">
        <f t="shared" si="285"/>
        <v>753658</v>
      </c>
      <c r="H7667" s="2">
        <f>10</f>
        <v>10</v>
      </c>
      <c r="I7667" t="s">
        <v>27</v>
      </c>
      <c r="J7667" t="s">
        <v>39</v>
      </c>
      <c r="K7667" t="str">
        <f>"131663"</f>
        <v>131663</v>
      </c>
    </row>
    <row r="7668" spans="1:11" x14ac:dyDescent="0.25">
      <c r="A7668">
        <v>2025</v>
      </c>
      <c r="B7668" t="s">
        <v>11889</v>
      </c>
      <c r="C7668" t="s">
        <v>11890</v>
      </c>
      <c r="D7668" t="s">
        <v>19</v>
      </c>
      <c r="E7668" t="s">
        <v>20</v>
      </c>
      <c r="F7668" t="str">
        <f>"43617-1283"</f>
        <v>43617-1283</v>
      </c>
      <c r="G7668" t="str">
        <f t="shared" si="285"/>
        <v>753658</v>
      </c>
      <c r="H7668" s="2">
        <f>30</f>
        <v>30</v>
      </c>
      <c r="I7668" t="s">
        <v>27</v>
      </c>
      <c r="J7668" t="s">
        <v>39</v>
      </c>
      <c r="K7668" t="str">
        <f>"125236"</f>
        <v>125236</v>
      </c>
    </row>
    <row r="7669" spans="1:11" x14ac:dyDescent="0.25">
      <c r="A7669">
        <v>2025</v>
      </c>
      <c r="B7669" t="s">
        <v>11898</v>
      </c>
      <c r="C7669" t="s">
        <v>11899</v>
      </c>
      <c r="D7669" t="s">
        <v>50</v>
      </c>
      <c r="E7669" t="s">
        <v>20</v>
      </c>
      <c r="F7669" t="str">
        <f>"43560-2544"</f>
        <v>43560-2544</v>
      </c>
      <c r="G7669" t="str">
        <f t="shared" si="285"/>
        <v>753658</v>
      </c>
      <c r="H7669" s="2">
        <f>20</f>
        <v>20</v>
      </c>
      <c r="I7669" t="s">
        <v>27</v>
      </c>
      <c r="J7669" t="s">
        <v>39</v>
      </c>
      <c r="K7669" t="str">
        <f>"126117"</f>
        <v>126117</v>
      </c>
    </row>
    <row r="7670" spans="1:11" x14ac:dyDescent="0.25">
      <c r="A7670">
        <v>2025</v>
      </c>
      <c r="B7670" t="s">
        <v>11906</v>
      </c>
      <c r="C7670" t="s">
        <v>11907</v>
      </c>
      <c r="D7670" t="s">
        <v>58</v>
      </c>
      <c r="E7670" t="s">
        <v>20</v>
      </c>
      <c r="F7670" t="str">
        <f>"43616-1925"</f>
        <v>43616-1925</v>
      </c>
      <c r="G7670" t="str">
        <f t="shared" si="285"/>
        <v>753658</v>
      </c>
      <c r="H7670" s="2">
        <f>10</f>
        <v>10</v>
      </c>
      <c r="I7670" t="s">
        <v>27</v>
      </c>
      <c r="J7670" t="s">
        <v>39</v>
      </c>
      <c r="K7670" t="str">
        <f>"126829"</f>
        <v>126829</v>
      </c>
    </row>
    <row r="7671" spans="1:11" x14ac:dyDescent="0.25">
      <c r="A7671">
        <v>2025</v>
      </c>
      <c r="B7671" t="s">
        <v>11923</v>
      </c>
      <c r="C7671" t="s">
        <v>11924</v>
      </c>
      <c r="D7671" t="s">
        <v>19</v>
      </c>
      <c r="E7671" t="s">
        <v>20</v>
      </c>
      <c r="F7671" t="str">
        <f>"43614-4145"</f>
        <v>43614-4145</v>
      </c>
      <c r="G7671" t="str">
        <f t="shared" si="285"/>
        <v>753658</v>
      </c>
      <c r="H7671" s="2">
        <f>30</f>
        <v>30</v>
      </c>
      <c r="I7671" t="s">
        <v>27</v>
      </c>
      <c r="J7671" t="s">
        <v>39</v>
      </c>
      <c r="K7671" t="str">
        <f>"125832"</f>
        <v>125832</v>
      </c>
    </row>
    <row r="7672" spans="1:11" x14ac:dyDescent="0.25">
      <c r="A7672">
        <v>2025</v>
      </c>
      <c r="B7672" t="s">
        <v>11925</v>
      </c>
      <c r="C7672" t="s">
        <v>11926</v>
      </c>
      <c r="D7672" t="s">
        <v>19</v>
      </c>
      <c r="E7672" t="s">
        <v>20</v>
      </c>
      <c r="F7672" t="str">
        <f>"43611-2946"</f>
        <v>43611-2946</v>
      </c>
      <c r="G7672" t="str">
        <f t="shared" si="285"/>
        <v>753658</v>
      </c>
      <c r="H7672" s="2">
        <f>10</f>
        <v>10</v>
      </c>
      <c r="I7672" t="s">
        <v>27</v>
      </c>
      <c r="J7672" t="s">
        <v>39</v>
      </c>
      <c r="K7672" t="str">
        <f>"127954"</f>
        <v>127954</v>
      </c>
    </row>
    <row r="7673" spans="1:11" x14ac:dyDescent="0.25">
      <c r="A7673">
        <v>2025</v>
      </c>
      <c r="B7673" t="s">
        <v>11949</v>
      </c>
      <c r="C7673" t="s">
        <v>11950</v>
      </c>
      <c r="D7673" t="s">
        <v>19</v>
      </c>
      <c r="E7673" t="s">
        <v>20</v>
      </c>
      <c r="F7673" t="str">
        <f>"43611-1401"</f>
        <v>43611-1401</v>
      </c>
      <c r="G7673" t="str">
        <f t="shared" si="285"/>
        <v>753658</v>
      </c>
      <c r="H7673" s="2">
        <f>20</f>
        <v>20</v>
      </c>
      <c r="I7673" t="s">
        <v>27</v>
      </c>
      <c r="J7673" t="s">
        <v>39</v>
      </c>
      <c r="K7673" t="str">
        <f>"125977"</f>
        <v>125977</v>
      </c>
    </row>
    <row r="7674" spans="1:11" x14ac:dyDescent="0.25">
      <c r="A7674">
        <v>2025</v>
      </c>
      <c r="B7674" t="s">
        <v>11951</v>
      </c>
      <c r="C7674" t="s">
        <v>11952</v>
      </c>
      <c r="D7674" t="s">
        <v>58</v>
      </c>
      <c r="E7674" t="s">
        <v>20</v>
      </c>
      <c r="F7674" t="str">
        <f>"43616-2964"</f>
        <v>43616-2964</v>
      </c>
      <c r="G7674" t="str">
        <f t="shared" si="285"/>
        <v>753658</v>
      </c>
      <c r="H7674" s="2">
        <f>20</f>
        <v>20</v>
      </c>
      <c r="I7674" t="s">
        <v>27</v>
      </c>
      <c r="J7674" t="s">
        <v>39</v>
      </c>
      <c r="K7674" t="str">
        <f>"131807"</f>
        <v>131807</v>
      </c>
    </row>
    <row r="7675" spans="1:11" x14ac:dyDescent="0.25">
      <c r="A7675">
        <v>2025</v>
      </c>
      <c r="B7675" t="s">
        <v>11955</v>
      </c>
      <c r="C7675" t="s">
        <v>11956</v>
      </c>
      <c r="D7675" t="s">
        <v>50</v>
      </c>
      <c r="E7675" t="s">
        <v>20</v>
      </c>
      <c r="F7675" t="str">
        <f>"43560"</f>
        <v>43560</v>
      </c>
      <c r="G7675" t="str">
        <f t="shared" si="285"/>
        <v>753658</v>
      </c>
      <c r="H7675" s="2">
        <f>10</f>
        <v>10</v>
      </c>
      <c r="I7675" t="s">
        <v>27</v>
      </c>
      <c r="J7675" t="s">
        <v>39</v>
      </c>
      <c r="K7675" t="str">
        <f>"128630"</f>
        <v>128630</v>
      </c>
    </row>
    <row r="7676" spans="1:11" x14ac:dyDescent="0.25">
      <c r="A7676">
        <v>2025</v>
      </c>
      <c r="B7676" t="s">
        <v>11955</v>
      </c>
      <c r="C7676" t="s">
        <v>11956</v>
      </c>
      <c r="D7676" t="s">
        <v>50</v>
      </c>
      <c r="E7676" t="s">
        <v>20</v>
      </c>
      <c r="F7676" t="str">
        <f>"43560"</f>
        <v>43560</v>
      </c>
      <c r="G7676" t="str">
        <f t="shared" si="285"/>
        <v>753658</v>
      </c>
      <c r="H7676" s="2">
        <f>10</f>
        <v>10</v>
      </c>
      <c r="I7676" t="s">
        <v>27</v>
      </c>
      <c r="J7676" t="s">
        <v>39</v>
      </c>
      <c r="K7676" t="str">
        <f>"128751"</f>
        <v>128751</v>
      </c>
    </row>
    <row r="7677" spans="1:11" x14ac:dyDescent="0.25">
      <c r="A7677">
        <v>2025</v>
      </c>
      <c r="B7677" t="s">
        <v>11959</v>
      </c>
      <c r="C7677" t="s">
        <v>11960</v>
      </c>
      <c r="D7677" t="s">
        <v>19</v>
      </c>
      <c r="E7677" t="s">
        <v>20</v>
      </c>
      <c r="F7677" t="str">
        <f>"43606-2217"</f>
        <v>43606-2217</v>
      </c>
      <c r="G7677" t="str">
        <f t="shared" si="285"/>
        <v>753658</v>
      </c>
      <c r="H7677" s="2">
        <f>20</f>
        <v>20</v>
      </c>
      <c r="I7677" t="s">
        <v>27</v>
      </c>
      <c r="J7677" t="s">
        <v>39</v>
      </c>
      <c r="K7677" t="str">
        <f>"125415"</f>
        <v>125415</v>
      </c>
    </row>
    <row r="7678" spans="1:11" x14ac:dyDescent="0.25">
      <c r="A7678">
        <v>2025</v>
      </c>
      <c r="B7678" t="s">
        <v>11963</v>
      </c>
      <c r="C7678" t="s">
        <v>11964</v>
      </c>
      <c r="D7678" t="s">
        <v>50</v>
      </c>
      <c r="E7678" t="s">
        <v>20</v>
      </c>
      <c r="F7678" t="str">
        <f>"43560-3628"</f>
        <v>43560-3628</v>
      </c>
      <c r="G7678" t="str">
        <f t="shared" si="285"/>
        <v>753658</v>
      </c>
      <c r="H7678" s="2">
        <f>10</f>
        <v>10</v>
      </c>
      <c r="I7678" t="s">
        <v>27</v>
      </c>
      <c r="J7678" t="s">
        <v>39</v>
      </c>
      <c r="K7678" t="str">
        <f>"131643"</f>
        <v>131643</v>
      </c>
    </row>
    <row r="7679" spans="1:11" x14ac:dyDescent="0.25">
      <c r="A7679">
        <v>2025</v>
      </c>
      <c r="B7679" t="s">
        <v>11967</v>
      </c>
      <c r="C7679" t="s">
        <v>11968</v>
      </c>
      <c r="D7679" t="s">
        <v>19</v>
      </c>
      <c r="E7679" t="s">
        <v>20</v>
      </c>
      <c r="F7679" t="str">
        <f>"43620-1826"</f>
        <v>43620-1826</v>
      </c>
      <c r="G7679" t="str">
        <f t="shared" si="285"/>
        <v>753658</v>
      </c>
      <c r="H7679" s="2">
        <f>20</f>
        <v>20</v>
      </c>
      <c r="I7679" t="s">
        <v>27</v>
      </c>
      <c r="J7679" t="s">
        <v>39</v>
      </c>
      <c r="K7679" t="str">
        <f>"131392"</f>
        <v>131392</v>
      </c>
    </row>
    <row r="7680" spans="1:11" x14ac:dyDescent="0.25">
      <c r="A7680">
        <v>2025</v>
      </c>
      <c r="B7680" t="s">
        <v>11973</v>
      </c>
      <c r="C7680" t="s">
        <v>11974</v>
      </c>
      <c r="D7680" t="s">
        <v>19</v>
      </c>
      <c r="E7680" t="s">
        <v>20</v>
      </c>
      <c r="F7680" t="str">
        <f>"43613"</f>
        <v>43613</v>
      </c>
      <c r="G7680" t="str">
        <f t="shared" si="285"/>
        <v>753658</v>
      </c>
      <c r="H7680" s="2">
        <f>40</f>
        <v>40</v>
      </c>
      <c r="I7680" t="s">
        <v>27</v>
      </c>
      <c r="J7680" t="s">
        <v>39</v>
      </c>
      <c r="K7680" t="str">
        <f>"126172"</f>
        <v>126172</v>
      </c>
    </row>
    <row r="7681" spans="1:11" x14ac:dyDescent="0.25">
      <c r="A7681">
        <v>2025</v>
      </c>
      <c r="B7681" t="s">
        <v>11975</v>
      </c>
      <c r="C7681" t="s">
        <v>11976</v>
      </c>
      <c r="D7681" t="s">
        <v>19</v>
      </c>
      <c r="E7681" t="s">
        <v>20</v>
      </c>
      <c r="F7681" t="str">
        <f>"43613-2781"</f>
        <v>43613-2781</v>
      </c>
      <c r="G7681" t="str">
        <f t="shared" si="285"/>
        <v>753658</v>
      </c>
      <c r="H7681" s="2">
        <f>10</f>
        <v>10</v>
      </c>
      <c r="I7681" t="s">
        <v>27</v>
      </c>
      <c r="J7681" t="s">
        <v>39</v>
      </c>
      <c r="K7681" t="str">
        <f>"125521"</f>
        <v>125521</v>
      </c>
    </row>
    <row r="7682" spans="1:11" x14ac:dyDescent="0.25">
      <c r="A7682">
        <v>2025</v>
      </c>
      <c r="B7682" t="s">
        <v>11977</v>
      </c>
      <c r="C7682" t="s">
        <v>11978</v>
      </c>
      <c r="D7682" t="s">
        <v>50</v>
      </c>
      <c r="E7682" t="s">
        <v>20</v>
      </c>
      <c r="F7682" t="str">
        <f>"43560-3911"</f>
        <v>43560-3911</v>
      </c>
      <c r="G7682" t="str">
        <f t="shared" si="285"/>
        <v>753658</v>
      </c>
      <c r="H7682" s="2">
        <f>30</f>
        <v>30</v>
      </c>
      <c r="I7682" t="s">
        <v>27</v>
      </c>
      <c r="J7682" t="s">
        <v>39</v>
      </c>
      <c r="K7682" t="str">
        <f>"127211"</f>
        <v>127211</v>
      </c>
    </row>
    <row r="7683" spans="1:11" x14ac:dyDescent="0.25">
      <c r="A7683">
        <v>2025</v>
      </c>
      <c r="B7683" t="s">
        <v>11983</v>
      </c>
      <c r="C7683" t="s">
        <v>11984</v>
      </c>
      <c r="D7683" t="s">
        <v>11985</v>
      </c>
      <c r="E7683" t="s">
        <v>887</v>
      </c>
      <c r="F7683" t="str">
        <f>"37801"</f>
        <v>37801</v>
      </c>
      <c r="G7683" t="str">
        <f>"751641"</f>
        <v>751641</v>
      </c>
      <c r="H7683" s="2">
        <f>5</f>
        <v>5</v>
      </c>
      <c r="I7683" t="s">
        <v>27</v>
      </c>
      <c r="J7683" t="s">
        <v>219</v>
      </c>
      <c r="K7683" t="str">
        <f>"11004816"</f>
        <v>11004816</v>
      </c>
    </row>
    <row r="7684" spans="1:11" x14ac:dyDescent="0.25">
      <c r="A7684">
        <v>2025</v>
      </c>
      <c r="B7684" t="s">
        <v>12011</v>
      </c>
      <c r="C7684" t="s">
        <v>3260</v>
      </c>
      <c r="D7684" t="s">
        <v>19</v>
      </c>
      <c r="E7684" t="s">
        <v>20</v>
      </c>
      <c r="F7684" t="str">
        <f>"43604"</f>
        <v>43604</v>
      </c>
      <c r="G7684" t="str">
        <f>"759796"</f>
        <v>759796</v>
      </c>
      <c r="H7684" s="2">
        <f>16.58</f>
        <v>16.579999999999998</v>
      </c>
      <c r="I7684" t="s">
        <v>27</v>
      </c>
      <c r="J7684" t="s">
        <v>188</v>
      </c>
      <c r="K7684" t="str">
        <f>"45292"</f>
        <v>45292</v>
      </c>
    </row>
    <row r="7685" spans="1:11" x14ac:dyDescent="0.25">
      <c r="A7685">
        <v>2025</v>
      </c>
      <c r="B7685" t="s">
        <v>12014</v>
      </c>
      <c r="C7685" t="s">
        <v>6857</v>
      </c>
      <c r="D7685" t="s">
        <v>19</v>
      </c>
      <c r="E7685" t="s">
        <v>20</v>
      </c>
      <c r="F7685" t="str">
        <f>"43604"</f>
        <v>43604</v>
      </c>
      <c r="G7685" t="str">
        <f>"759796"</f>
        <v>759796</v>
      </c>
      <c r="H7685" s="2">
        <f>11.7</f>
        <v>11.7</v>
      </c>
      <c r="I7685" t="s">
        <v>27</v>
      </c>
      <c r="J7685" t="s">
        <v>188</v>
      </c>
      <c r="K7685" t="str">
        <f>"45365"</f>
        <v>45365</v>
      </c>
    </row>
    <row r="7686" spans="1:11" x14ac:dyDescent="0.25">
      <c r="A7686">
        <v>2025</v>
      </c>
      <c r="B7686" t="s">
        <v>12019</v>
      </c>
      <c r="C7686" t="s">
        <v>12020</v>
      </c>
      <c r="D7686" t="s">
        <v>125</v>
      </c>
      <c r="E7686" t="s">
        <v>20</v>
      </c>
      <c r="F7686" t="str">
        <f>"43537-8310"</f>
        <v>43537-8310</v>
      </c>
      <c r="G7686" t="str">
        <f t="shared" ref="G7686:G7692" si="286">"753658"</f>
        <v>753658</v>
      </c>
      <c r="H7686" s="2">
        <f>20</f>
        <v>20</v>
      </c>
      <c r="I7686" t="s">
        <v>27</v>
      </c>
      <c r="J7686" t="s">
        <v>39</v>
      </c>
      <c r="K7686" t="str">
        <f>"130050"</f>
        <v>130050</v>
      </c>
    </row>
    <row r="7687" spans="1:11" x14ac:dyDescent="0.25">
      <c r="A7687">
        <v>2025</v>
      </c>
      <c r="B7687" t="s">
        <v>12031</v>
      </c>
      <c r="C7687" t="s">
        <v>12032</v>
      </c>
      <c r="D7687" t="s">
        <v>105</v>
      </c>
      <c r="E7687" t="s">
        <v>20</v>
      </c>
      <c r="F7687" t="str">
        <f>"43528"</f>
        <v>43528</v>
      </c>
      <c r="G7687" t="str">
        <f t="shared" si="286"/>
        <v>753658</v>
      </c>
      <c r="H7687" s="2">
        <f>20</f>
        <v>20</v>
      </c>
      <c r="I7687" t="s">
        <v>27</v>
      </c>
      <c r="J7687" t="s">
        <v>39</v>
      </c>
      <c r="K7687" t="str">
        <f>"128538"</f>
        <v>128538</v>
      </c>
    </row>
    <row r="7688" spans="1:11" x14ac:dyDescent="0.25">
      <c r="A7688">
        <v>2025</v>
      </c>
      <c r="B7688" t="s">
        <v>12038</v>
      </c>
      <c r="C7688" t="s">
        <v>12039</v>
      </c>
      <c r="D7688" t="s">
        <v>125</v>
      </c>
      <c r="E7688" t="s">
        <v>20</v>
      </c>
      <c r="F7688" t="str">
        <f>"43537-8585"</f>
        <v>43537-8585</v>
      </c>
      <c r="G7688" t="str">
        <f t="shared" si="286"/>
        <v>753658</v>
      </c>
      <c r="H7688" s="2">
        <f>10</f>
        <v>10</v>
      </c>
      <c r="I7688" t="s">
        <v>27</v>
      </c>
      <c r="J7688" t="s">
        <v>39</v>
      </c>
      <c r="K7688" t="str">
        <f>"131918"</f>
        <v>131918</v>
      </c>
    </row>
    <row r="7689" spans="1:11" x14ac:dyDescent="0.25">
      <c r="A7689">
        <v>2025</v>
      </c>
      <c r="B7689" t="s">
        <v>12042</v>
      </c>
      <c r="C7689" t="s">
        <v>12043</v>
      </c>
      <c r="D7689" t="s">
        <v>19</v>
      </c>
      <c r="E7689" t="s">
        <v>20</v>
      </c>
      <c r="F7689" t="str">
        <f>"43609-3207"</f>
        <v>43609-3207</v>
      </c>
      <c r="G7689" t="str">
        <f t="shared" si="286"/>
        <v>753658</v>
      </c>
      <c r="H7689" s="2">
        <f>30</f>
        <v>30</v>
      </c>
      <c r="I7689" t="s">
        <v>27</v>
      </c>
      <c r="J7689" t="s">
        <v>39</v>
      </c>
      <c r="K7689" t="str">
        <f>"127623"</f>
        <v>127623</v>
      </c>
    </row>
    <row r="7690" spans="1:11" x14ac:dyDescent="0.25">
      <c r="A7690">
        <v>2025</v>
      </c>
      <c r="B7690" t="s">
        <v>12044</v>
      </c>
      <c r="C7690" t="s">
        <v>12045</v>
      </c>
      <c r="D7690" t="s">
        <v>50</v>
      </c>
      <c r="E7690" t="s">
        <v>20</v>
      </c>
      <c r="F7690" t="str">
        <f>"43560-2305"</f>
        <v>43560-2305</v>
      </c>
      <c r="G7690" t="str">
        <f t="shared" si="286"/>
        <v>753658</v>
      </c>
      <c r="H7690" s="2">
        <f>10</f>
        <v>10</v>
      </c>
      <c r="I7690" t="s">
        <v>27</v>
      </c>
      <c r="J7690" t="s">
        <v>39</v>
      </c>
      <c r="K7690" t="str">
        <f>"129401"</f>
        <v>129401</v>
      </c>
    </row>
    <row r="7691" spans="1:11" x14ac:dyDescent="0.25">
      <c r="A7691">
        <v>2025</v>
      </c>
      <c r="B7691" t="s">
        <v>12046</v>
      </c>
      <c r="C7691" t="s">
        <v>12047</v>
      </c>
      <c r="D7691" t="s">
        <v>19</v>
      </c>
      <c r="E7691" t="s">
        <v>20</v>
      </c>
      <c r="F7691" t="str">
        <f>"43605"</f>
        <v>43605</v>
      </c>
      <c r="G7691" t="str">
        <f t="shared" si="286"/>
        <v>753658</v>
      </c>
      <c r="H7691" s="2">
        <f>20</f>
        <v>20</v>
      </c>
      <c r="I7691" t="s">
        <v>27</v>
      </c>
      <c r="J7691" t="s">
        <v>39</v>
      </c>
      <c r="K7691" t="str">
        <f>"126666"</f>
        <v>126666</v>
      </c>
    </row>
    <row r="7692" spans="1:11" x14ac:dyDescent="0.25">
      <c r="A7692">
        <v>2025</v>
      </c>
      <c r="B7692" t="s">
        <v>12050</v>
      </c>
      <c r="C7692" t="s">
        <v>12051</v>
      </c>
      <c r="D7692" t="s">
        <v>19</v>
      </c>
      <c r="E7692" t="s">
        <v>20</v>
      </c>
      <c r="F7692" t="str">
        <f>"43613"</f>
        <v>43613</v>
      </c>
      <c r="G7692" t="str">
        <f t="shared" si="286"/>
        <v>753658</v>
      </c>
      <c r="H7692" s="2">
        <f>20</f>
        <v>20</v>
      </c>
      <c r="I7692" t="s">
        <v>27</v>
      </c>
      <c r="J7692" t="s">
        <v>39</v>
      </c>
      <c r="K7692" t="str">
        <f>"129826"</f>
        <v>129826</v>
      </c>
    </row>
    <row r="7693" spans="1:11" x14ac:dyDescent="0.25">
      <c r="A7693">
        <v>2025</v>
      </c>
      <c r="B7693" t="s">
        <v>12052</v>
      </c>
      <c r="C7693" t="s">
        <v>1162</v>
      </c>
      <c r="D7693" t="s">
        <v>1163</v>
      </c>
      <c r="E7693" t="s">
        <v>20</v>
      </c>
      <c r="F7693" t="str">
        <f>"45202"</f>
        <v>45202</v>
      </c>
      <c r="G7693" t="str">
        <f>"759796"</f>
        <v>759796</v>
      </c>
      <c r="H7693" s="2">
        <f>550</f>
        <v>550</v>
      </c>
      <c r="I7693" t="s">
        <v>27</v>
      </c>
      <c r="J7693" t="s">
        <v>188</v>
      </c>
      <c r="K7693" t="str">
        <f>"46642"</f>
        <v>46642</v>
      </c>
    </row>
    <row r="7694" spans="1:11" x14ac:dyDescent="0.25">
      <c r="A7694">
        <v>2025</v>
      </c>
      <c r="B7694" t="s">
        <v>12052</v>
      </c>
      <c r="C7694" t="s">
        <v>1162</v>
      </c>
      <c r="D7694" t="s">
        <v>1163</v>
      </c>
      <c r="E7694" t="s">
        <v>20</v>
      </c>
      <c r="F7694" t="str">
        <f>"45202"</f>
        <v>45202</v>
      </c>
      <c r="G7694" t="str">
        <f>"759796"</f>
        <v>759796</v>
      </c>
      <c r="H7694" s="2">
        <f>232.75</f>
        <v>232.75</v>
      </c>
      <c r="I7694" t="s">
        <v>27</v>
      </c>
      <c r="J7694" t="s">
        <v>188</v>
      </c>
      <c r="K7694" t="str">
        <f>"44020"</f>
        <v>44020</v>
      </c>
    </row>
    <row r="7695" spans="1:11" x14ac:dyDescent="0.25">
      <c r="A7695">
        <v>2025</v>
      </c>
      <c r="B7695" t="s">
        <v>12057</v>
      </c>
      <c r="C7695" t="s">
        <v>1162</v>
      </c>
      <c r="D7695" t="s">
        <v>1163</v>
      </c>
      <c r="E7695" t="s">
        <v>20</v>
      </c>
      <c r="F7695" t="str">
        <f>"45202"</f>
        <v>45202</v>
      </c>
      <c r="G7695" t="str">
        <f>"759796"</f>
        <v>759796</v>
      </c>
      <c r="H7695" s="2">
        <f>550</f>
        <v>550</v>
      </c>
      <c r="I7695" t="s">
        <v>27</v>
      </c>
      <c r="J7695" t="s">
        <v>188</v>
      </c>
      <c r="K7695" t="str">
        <f>"46692"</f>
        <v>46692</v>
      </c>
    </row>
    <row r="7696" spans="1:11" x14ac:dyDescent="0.25">
      <c r="A7696">
        <v>2025</v>
      </c>
      <c r="B7696" t="s">
        <v>12070</v>
      </c>
      <c r="C7696" t="s">
        <v>12071</v>
      </c>
      <c r="D7696" t="s">
        <v>19</v>
      </c>
      <c r="E7696" t="s">
        <v>20</v>
      </c>
      <c r="F7696" t="str">
        <f>"43605"</f>
        <v>43605</v>
      </c>
      <c r="G7696" t="str">
        <f>"759797"</f>
        <v>759797</v>
      </c>
      <c r="H7696" s="2">
        <f>2471.66</f>
        <v>2471.66</v>
      </c>
      <c r="I7696" t="s">
        <v>27</v>
      </c>
      <c r="J7696" t="s">
        <v>239</v>
      </c>
      <c r="K7696" t="str">
        <f t="shared" ref="K7696:K7701" si="287">"N/A"</f>
        <v>N/A</v>
      </c>
    </row>
    <row r="7697" spans="1:11" x14ac:dyDescent="0.25">
      <c r="A7697">
        <v>2025</v>
      </c>
      <c r="B7697" t="s">
        <v>12072</v>
      </c>
      <c r="C7697" t="s">
        <v>12073</v>
      </c>
      <c r="D7697" t="s">
        <v>64</v>
      </c>
      <c r="E7697" t="s">
        <v>20</v>
      </c>
      <c r="F7697" t="str">
        <f>"43566"</f>
        <v>43566</v>
      </c>
      <c r="G7697" t="str">
        <f>"759797"</f>
        <v>759797</v>
      </c>
      <c r="H7697" s="2">
        <f>11262.16</f>
        <v>11262.16</v>
      </c>
      <c r="I7697" t="s">
        <v>27</v>
      </c>
      <c r="J7697" t="s">
        <v>239</v>
      </c>
      <c r="K7697" t="str">
        <f t="shared" si="287"/>
        <v>N/A</v>
      </c>
    </row>
    <row r="7698" spans="1:11" x14ac:dyDescent="0.25">
      <c r="A7698">
        <v>2025</v>
      </c>
      <c r="B7698" t="s">
        <v>12074</v>
      </c>
      <c r="C7698" t="s">
        <v>12075</v>
      </c>
      <c r="D7698" t="s">
        <v>105</v>
      </c>
      <c r="E7698" t="s">
        <v>20</v>
      </c>
      <c r="F7698" t="str">
        <f>"43528"</f>
        <v>43528</v>
      </c>
      <c r="G7698" t="str">
        <f>"759797"</f>
        <v>759797</v>
      </c>
      <c r="H7698" s="2">
        <f>3847.32</f>
        <v>3847.32</v>
      </c>
      <c r="I7698" t="s">
        <v>27</v>
      </c>
      <c r="J7698" t="s">
        <v>239</v>
      </c>
      <c r="K7698" t="str">
        <f t="shared" si="287"/>
        <v>N/A</v>
      </c>
    </row>
    <row r="7699" spans="1:11" x14ac:dyDescent="0.25">
      <c r="A7699">
        <v>2025</v>
      </c>
      <c r="B7699" t="s">
        <v>12076</v>
      </c>
      <c r="C7699" t="s">
        <v>12077</v>
      </c>
      <c r="D7699" t="s">
        <v>19</v>
      </c>
      <c r="E7699" t="s">
        <v>20</v>
      </c>
      <c r="F7699" t="str">
        <f>"43609"</f>
        <v>43609</v>
      </c>
      <c r="G7699" t="str">
        <f>"772209"</f>
        <v>772209</v>
      </c>
      <c r="H7699" s="2">
        <f>24419.51</f>
        <v>24419.51</v>
      </c>
      <c r="I7699" t="s">
        <v>27</v>
      </c>
      <c r="J7699" t="s">
        <v>691</v>
      </c>
      <c r="K7699" t="str">
        <f t="shared" si="287"/>
        <v>N/A</v>
      </c>
    </row>
    <row r="7700" spans="1:11" x14ac:dyDescent="0.25">
      <c r="A7700">
        <v>2025</v>
      </c>
      <c r="B7700" t="s">
        <v>12078</v>
      </c>
      <c r="C7700" t="s">
        <v>12079</v>
      </c>
      <c r="D7700" t="s">
        <v>19</v>
      </c>
      <c r="E7700" t="s">
        <v>20</v>
      </c>
      <c r="F7700" t="str">
        <f>"43611"</f>
        <v>43611</v>
      </c>
      <c r="G7700" t="str">
        <f>"772209"</f>
        <v>772209</v>
      </c>
      <c r="H7700" s="2">
        <f>3956.59</f>
        <v>3956.59</v>
      </c>
      <c r="I7700" t="s">
        <v>27</v>
      </c>
      <c r="J7700" t="s">
        <v>691</v>
      </c>
      <c r="K7700" t="str">
        <f t="shared" si="287"/>
        <v>N/A</v>
      </c>
    </row>
    <row r="7701" spans="1:11" x14ac:dyDescent="0.25">
      <c r="A7701">
        <v>2025</v>
      </c>
      <c r="B7701" t="s">
        <v>12080</v>
      </c>
      <c r="C7701" t="s">
        <v>12081</v>
      </c>
      <c r="D7701" t="s">
        <v>19</v>
      </c>
      <c r="E7701" t="s">
        <v>20</v>
      </c>
      <c r="F7701" t="str">
        <f>"43611"</f>
        <v>43611</v>
      </c>
      <c r="G7701" t="str">
        <f>"772209"</f>
        <v>772209</v>
      </c>
      <c r="H7701" s="2">
        <f>487.77</f>
        <v>487.77</v>
      </c>
      <c r="I7701" t="s">
        <v>27</v>
      </c>
      <c r="J7701" t="s">
        <v>691</v>
      </c>
      <c r="K7701" t="str">
        <f t="shared" si="287"/>
        <v>N/A</v>
      </c>
    </row>
    <row r="7702" spans="1:11" x14ac:dyDescent="0.25">
      <c r="A7702">
        <v>2025</v>
      </c>
      <c r="B7702" t="s">
        <v>12090</v>
      </c>
      <c r="C7702" t="s">
        <v>1162</v>
      </c>
      <c r="D7702" t="s">
        <v>1163</v>
      </c>
      <c r="E7702" t="s">
        <v>20</v>
      </c>
      <c r="F7702" t="str">
        <f>"45202"</f>
        <v>45202</v>
      </c>
      <c r="G7702" t="str">
        <f>"759796"</f>
        <v>759796</v>
      </c>
      <c r="H7702" s="2">
        <f>550</f>
        <v>550</v>
      </c>
      <c r="I7702" t="s">
        <v>27</v>
      </c>
      <c r="J7702" t="s">
        <v>188</v>
      </c>
      <c r="K7702" t="str">
        <f>"45896"</f>
        <v>45896</v>
      </c>
    </row>
    <row r="7703" spans="1:11" x14ac:dyDescent="0.25">
      <c r="A7703">
        <v>2025</v>
      </c>
      <c r="B7703" t="s">
        <v>12091</v>
      </c>
      <c r="C7703" t="s">
        <v>1162</v>
      </c>
      <c r="D7703" t="s">
        <v>1163</v>
      </c>
      <c r="E7703" t="s">
        <v>20</v>
      </c>
      <c r="F7703" t="str">
        <f>"45201"</f>
        <v>45201</v>
      </c>
      <c r="G7703" t="str">
        <f>"759796"</f>
        <v>759796</v>
      </c>
      <c r="H7703" s="2">
        <f>550</f>
        <v>550</v>
      </c>
      <c r="I7703" t="s">
        <v>27</v>
      </c>
      <c r="J7703" t="s">
        <v>188</v>
      </c>
      <c r="K7703" t="str">
        <f>"44866"</f>
        <v>44866</v>
      </c>
    </row>
    <row r="7704" spans="1:11" x14ac:dyDescent="0.25">
      <c r="A7704">
        <v>2025</v>
      </c>
      <c r="B7704" t="s">
        <v>12099</v>
      </c>
      <c r="C7704" t="s">
        <v>1933</v>
      </c>
      <c r="D7704" t="s">
        <v>1163</v>
      </c>
      <c r="E7704" t="s">
        <v>20</v>
      </c>
      <c r="F7704" t="str">
        <f>"45243"</f>
        <v>45243</v>
      </c>
      <c r="G7704" t="str">
        <f>"759796"</f>
        <v>759796</v>
      </c>
      <c r="H7704" s="2">
        <f>550</f>
        <v>550</v>
      </c>
      <c r="I7704" t="s">
        <v>27</v>
      </c>
      <c r="J7704" t="s">
        <v>188</v>
      </c>
      <c r="K7704" t="str">
        <f>"45244"</f>
        <v>45244</v>
      </c>
    </row>
    <row r="7705" spans="1:11" x14ac:dyDescent="0.25">
      <c r="A7705">
        <v>2025</v>
      </c>
      <c r="B7705" t="s">
        <v>12103</v>
      </c>
      <c r="C7705" t="s">
        <v>12104</v>
      </c>
      <c r="D7705" t="s">
        <v>1754</v>
      </c>
      <c r="E7705" t="s">
        <v>20</v>
      </c>
      <c r="F7705" t="str">
        <f>"45040"</f>
        <v>45040</v>
      </c>
      <c r="G7705" t="str">
        <f>"759796"</f>
        <v>759796</v>
      </c>
      <c r="H7705" s="2">
        <f>24</f>
        <v>24</v>
      </c>
      <c r="I7705" t="s">
        <v>27</v>
      </c>
      <c r="J7705" t="s">
        <v>188</v>
      </c>
      <c r="K7705" t="str">
        <f>"45452"</f>
        <v>45452</v>
      </c>
    </row>
    <row r="7706" spans="1:11" x14ac:dyDescent="0.25">
      <c r="A7706">
        <v>2025</v>
      </c>
      <c r="B7706" t="s">
        <v>12123</v>
      </c>
      <c r="C7706" t="s">
        <v>12125</v>
      </c>
      <c r="D7706" t="s">
        <v>19</v>
      </c>
      <c r="E7706" t="s">
        <v>20</v>
      </c>
      <c r="F7706" t="str">
        <f>"43612"</f>
        <v>43612</v>
      </c>
      <c r="G7706" t="str">
        <f>"751641"</f>
        <v>751641</v>
      </c>
      <c r="H7706" s="2">
        <f>10</f>
        <v>10</v>
      </c>
      <c r="I7706" t="s">
        <v>27</v>
      </c>
      <c r="J7706" t="s">
        <v>219</v>
      </c>
      <c r="K7706" t="str">
        <f>"22027034"</f>
        <v>22027034</v>
      </c>
    </row>
    <row r="7707" spans="1:11" x14ac:dyDescent="0.25">
      <c r="A7707">
        <v>2025</v>
      </c>
      <c r="B7707" t="s">
        <v>12155</v>
      </c>
      <c r="C7707" t="s">
        <v>12156</v>
      </c>
      <c r="D7707" t="s">
        <v>19</v>
      </c>
      <c r="E7707" t="s">
        <v>20</v>
      </c>
      <c r="F7707" t="str">
        <f>"43606-1265"</f>
        <v>43606-1265</v>
      </c>
      <c r="G7707" t="str">
        <f>"753658"</f>
        <v>753658</v>
      </c>
      <c r="H7707" s="2">
        <f>10</f>
        <v>10</v>
      </c>
      <c r="I7707" t="s">
        <v>27</v>
      </c>
      <c r="J7707" t="s">
        <v>39</v>
      </c>
      <c r="K7707" t="str">
        <f>"129795"</f>
        <v>129795</v>
      </c>
    </row>
    <row r="7708" spans="1:11" x14ac:dyDescent="0.25">
      <c r="A7708">
        <v>2025</v>
      </c>
      <c r="B7708" t="s">
        <v>12163</v>
      </c>
      <c r="C7708" t="s">
        <v>12164</v>
      </c>
      <c r="D7708" t="s">
        <v>19</v>
      </c>
      <c r="E7708" t="s">
        <v>20</v>
      </c>
      <c r="F7708" t="str">
        <f>"43608"</f>
        <v>43608</v>
      </c>
      <c r="G7708" t="str">
        <f>"Je07082025"</f>
        <v>Je07082025</v>
      </c>
      <c r="H7708" s="2">
        <f>271.01</f>
        <v>271.01</v>
      </c>
      <c r="I7708" t="s">
        <v>15</v>
      </c>
      <c r="J7708" t="s">
        <v>185</v>
      </c>
      <c r="K7708" t="str">
        <f>"60149990"</f>
        <v>60149990</v>
      </c>
    </row>
    <row r="7709" spans="1:11" x14ac:dyDescent="0.25">
      <c r="A7709">
        <v>2025</v>
      </c>
      <c r="B7709" t="s">
        <v>12167</v>
      </c>
      <c r="C7709" t="s">
        <v>12168</v>
      </c>
      <c r="D7709" t="s">
        <v>19</v>
      </c>
      <c r="E7709" t="s">
        <v>20</v>
      </c>
      <c r="F7709" t="str">
        <f>"43614-4403"</f>
        <v>43614-4403</v>
      </c>
      <c r="G7709" t="str">
        <f t="shared" ref="G7709:G7717" si="288">"753658"</f>
        <v>753658</v>
      </c>
      <c r="H7709" s="2">
        <f>10</f>
        <v>10</v>
      </c>
      <c r="I7709" t="s">
        <v>27</v>
      </c>
      <c r="J7709" t="s">
        <v>39</v>
      </c>
      <c r="K7709" t="str">
        <f>"127631"</f>
        <v>127631</v>
      </c>
    </row>
    <row r="7710" spans="1:11" x14ac:dyDescent="0.25">
      <c r="A7710">
        <v>2025</v>
      </c>
      <c r="B7710" t="s">
        <v>12169</v>
      </c>
      <c r="C7710" t="s">
        <v>12170</v>
      </c>
      <c r="D7710" t="s">
        <v>19</v>
      </c>
      <c r="E7710" t="s">
        <v>20</v>
      </c>
      <c r="F7710" t="str">
        <f>"43612-1208"</f>
        <v>43612-1208</v>
      </c>
      <c r="G7710" t="str">
        <f t="shared" si="288"/>
        <v>753658</v>
      </c>
      <c r="H7710" s="2">
        <f>40</f>
        <v>40</v>
      </c>
      <c r="I7710" t="s">
        <v>27</v>
      </c>
      <c r="J7710" t="s">
        <v>39</v>
      </c>
      <c r="K7710" t="str">
        <f>"127632"</f>
        <v>127632</v>
      </c>
    </row>
    <row r="7711" spans="1:11" x14ac:dyDescent="0.25">
      <c r="A7711">
        <v>2025</v>
      </c>
      <c r="B7711" t="s">
        <v>12179</v>
      </c>
      <c r="C7711" t="s">
        <v>12180</v>
      </c>
      <c r="D7711" t="s">
        <v>19</v>
      </c>
      <c r="E7711" t="s">
        <v>20</v>
      </c>
      <c r="F7711" t="str">
        <f>"43623-3721"</f>
        <v>43623-3721</v>
      </c>
      <c r="G7711" t="str">
        <f t="shared" si="288"/>
        <v>753658</v>
      </c>
      <c r="H7711" s="2">
        <f>10</f>
        <v>10</v>
      </c>
      <c r="I7711" t="s">
        <v>27</v>
      </c>
      <c r="J7711" t="s">
        <v>39</v>
      </c>
      <c r="K7711" t="str">
        <f>"126426"</f>
        <v>126426</v>
      </c>
    </row>
    <row r="7712" spans="1:11" x14ac:dyDescent="0.25">
      <c r="A7712">
        <v>2025</v>
      </c>
      <c r="B7712" t="s">
        <v>12185</v>
      </c>
      <c r="C7712" t="s">
        <v>12186</v>
      </c>
      <c r="D7712" t="s">
        <v>19</v>
      </c>
      <c r="E7712" t="s">
        <v>20</v>
      </c>
      <c r="F7712" t="str">
        <f>"43615-9002"</f>
        <v>43615-9002</v>
      </c>
      <c r="G7712" t="str">
        <f t="shared" si="288"/>
        <v>753658</v>
      </c>
      <c r="H7712" s="2">
        <f>60</f>
        <v>60</v>
      </c>
      <c r="I7712" t="s">
        <v>27</v>
      </c>
      <c r="J7712" t="s">
        <v>39</v>
      </c>
      <c r="K7712" t="str">
        <f>"126404"</f>
        <v>126404</v>
      </c>
    </row>
    <row r="7713" spans="1:11" x14ac:dyDescent="0.25">
      <c r="A7713">
        <v>2025</v>
      </c>
      <c r="B7713" t="s">
        <v>12200</v>
      </c>
      <c r="C7713" t="s">
        <v>12201</v>
      </c>
      <c r="D7713" t="s">
        <v>64</v>
      </c>
      <c r="E7713" t="s">
        <v>20</v>
      </c>
      <c r="F7713" t="str">
        <f>"43566-9763"</f>
        <v>43566-9763</v>
      </c>
      <c r="G7713" t="str">
        <f t="shared" si="288"/>
        <v>753658</v>
      </c>
      <c r="H7713" s="2">
        <f>10</f>
        <v>10</v>
      </c>
      <c r="I7713" t="s">
        <v>27</v>
      </c>
      <c r="J7713" t="s">
        <v>39</v>
      </c>
      <c r="K7713" t="str">
        <f>"129529"</f>
        <v>129529</v>
      </c>
    </row>
    <row r="7714" spans="1:11" x14ac:dyDescent="0.25">
      <c r="A7714">
        <v>2025</v>
      </c>
      <c r="B7714" t="s">
        <v>12210</v>
      </c>
      <c r="C7714" t="s">
        <v>12211</v>
      </c>
      <c r="D7714" t="s">
        <v>19</v>
      </c>
      <c r="E7714" t="s">
        <v>20</v>
      </c>
      <c r="F7714" t="str">
        <f>"43612-1623"</f>
        <v>43612-1623</v>
      </c>
      <c r="G7714" t="str">
        <f t="shared" si="288"/>
        <v>753658</v>
      </c>
      <c r="H7714" s="2">
        <f>20</f>
        <v>20</v>
      </c>
      <c r="I7714" t="s">
        <v>27</v>
      </c>
      <c r="J7714" t="s">
        <v>39</v>
      </c>
      <c r="K7714" t="str">
        <f>"129895"</f>
        <v>129895</v>
      </c>
    </row>
    <row r="7715" spans="1:11" x14ac:dyDescent="0.25">
      <c r="A7715">
        <v>2025</v>
      </c>
      <c r="B7715" t="s">
        <v>12214</v>
      </c>
      <c r="C7715" t="s">
        <v>12215</v>
      </c>
      <c r="D7715" t="s">
        <v>45</v>
      </c>
      <c r="E7715" t="s">
        <v>20</v>
      </c>
      <c r="F7715" t="str">
        <f>"43542-9799"</f>
        <v>43542-9799</v>
      </c>
      <c r="G7715" t="str">
        <f t="shared" si="288"/>
        <v>753658</v>
      </c>
      <c r="H7715" s="2">
        <f>10</f>
        <v>10</v>
      </c>
      <c r="I7715" t="s">
        <v>27</v>
      </c>
      <c r="J7715" t="s">
        <v>39</v>
      </c>
      <c r="K7715" t="str">
        <f>"129322"</f>
        <v>129322</v>
      </c>
    </row>
    <row r="7716" spans="1:11" x14ac:dyDescent="0.25">
      <c r="A7716">
        <v>2025</v>
      </c>
      <c r="B7716" t="s">
        <v>12220</v>
      </c>
      <c r="C7716" t="s">
        <v>12221</v>
      </c>
      <c r="D7716" t="s">
        <v>19</v>
      </c>
      <c r="E7716" t="s">
        <v>20</v>
      </c>
      <c r="F7716" t="str">
        <f>"43623-3353"</f>
        <v>43623-3353</v>
      </c>
      <c r="G7716" t="str">
        <f t="shared" si="288"/>
        <v>753658</v>
      </c>
      <c r="H7716" s="2">
        <f>30</f>
        <v>30</v>
      </c>
      <c r="I7716" t="s">
        <v>27</v>
      </c>
      <c r="J7716" t="s">
        <v>39</v>
      </c>
      <c r="K7716" t="str">
        <f>"127193"</f>
        <v>127193</v>
      </c>
    </row>
    <row r="7717" spans="1:11" x14ac:dyDescent="0.25">
      <c r="A7717">
        <v>2025</v>
      </c>
      <c r="B7717" t="s">
        <v>12222</v>
      </c>
      <c r="C7717" t="s">
        <v>12223</v>
      </c>
      <c r="D7717" t="s">
        <v>58</v>
      </c>
      <c r="E7717" t="s">
        <v>20</v>
      </c>
      <c r="F7717" t="str">
        <f>"43616-1519"</f>
        <v>43616-1519</v>
      </c>
      <c r="G7717" t="str">
        <f t="shared" si="288"/>
        <v>753658</v>
      </c>
      <c r="H7717" s="2">
        <f>10</f>
        <v>10</v>
      </c>
      <c r="I7717" t="s">
        <v>27</v>
      </c>
      <c r="J7717" t="s">
        <v>39</v>
      </c>
      <c r="K7717" t="str">
        <f>"129474"</f>
        <v>129474</v>
      </c>
    </row>
    <row r="7718" spans="1:11" x14ac:dyDescent="0.25">
      <c r="A7718">
        <v>2025</v>
      </c>
      <c r="B7718" t="s">
        <v>12231</v>
      </c>
      <c r="C7718" t="s">
        <v>12232</v>
      </c>
      <c r="D7718" t="s">
        <v>12233</v>
      </c>
      <c r="E7718" t="s">
        <v>4545</v>
      </c>
      <c r="F7718" t="str">
        <f>"36691"</f>
        <v>36691</v>
      </c>
      <c r="G7718" t="str">
        <f>"751641"</f>
        <v>751641</v>
      </c>
      <c r="H7718" s="2">
        <f>1.07</f>
        <v>1.07</v>
      </c>
      <c r="I7718" t="s">
        <v>27</v>
      </c>
      <c r="J7718" t="s">
        <v>219</v>
      </c>
      <c r="K7718" t="str">
        <f>"22027221"</f>
        <v>22027221</v>
      </c>
    </row>
    <row r="7719" spans="1:11" x14ac:dyDescent="0.25">
      <c r="A7719">
        <v>2025</v>
      </c>
      <c r="B7719" t="s">
        <v>12238</v>
      </c>
      <c r="C7719" t="s">
        <v>12239</v>
      </c>
      <c r="D7719" t="s">
        <v>19</v>
      </c>
      <c r="E7719" t="s">
        <v>20</v>
      </c>
      <c r="F7719" t="str">
        <f>"43615-2174"</f>
        <v>43615-2174</v>
      </c>
      <c r="G7719" t="str">
        <f>"753658"</f>
        <v>753658</v>
      </c>
      <c r="H7719" s="2">
        <f>30</f>
        <v>30</v>
      </c>
      <c r="I7719" t="s">
        <v>27</v>
      </c>
      <c r="J7719" t="s">
        <v>39</v>
      </c>
      <c r="K7719" t="str">
        <f>"131083"</f>
        <v>131083</v>
      </c>
    </row>
    <row r="7720" spans="1:11" x14ac:dyDescent="0.25">
      <c r="A7720">
        <v>2025</v>
      </c>
      <c r="B7720" t="s">
        <v>12274</v>
      </c>
      <c r="C7720" t="s">
        <v>12275</v>
      </c>
      <c r="D7720" t="s">
        <v>12276</v>
      </c>
      <c r="E7720" t="s">
        <v>923</v>
      </c>
      <c r="F7720" t="str">
        <f>"92084"</f>
        <v>92084</v>
      </c>
      <c r="G7720" t="str">
        <f>"Je04082025"</f>
        <v>Je04082025</v>
      </c>
      <c r="H7720" s="2">
        <f>219.06</f>
        <v>219.06</v>
      </c>
      <c r="I7720" t="s">
        <v>15</v>
      </c>
      <c r="J7720" t="s">
        <v>24</v>
      </c>
      <c r="K7720" t="str">
        <f>"60148106"</f>
        <v>60148106</v>
      </c>
    </row>
    <row r="7721" spans="1:11" x14ac:dyDescent="0.25">
      <c r="A7721">
        <v>2025</v>
      </c>
      <c r="B7721" t="s">
        <v>12316</v>
      </c>
      <c r="C7721" t="s">
        <v>12317</v>
      </c>
      <c r="D7721" t="s">
        <v>19</v>
      </c>
      <c r="E7721" t="s">
        <v>20</v>
      </c>
      <c r="F7721" t="str">
        <f>"43614-3174"</f>
        <v>43614-3174</v>
      </c>
      <c r="G7721" t="str">
        <f>"753658"</f>
        <v>753658</v>
      </c>
      <c r="H7721" s="2">
        <f>10</f>
        <v>10</v>
      </c>
      <c r="I7721" t="s">
        <v>27</v>
      </c>
      <c r="J7721" t="s">
        <v>39</v>
      </c>
      <c r="K7721" t="str">
        <f>"126413"</f>
        <v>126413</v>
      </c>
    </row>
    <row r="7722" spans="1:11" x14ac:dyDescent="0.25">
      <c r="A7722">
        <v>2025</v>
      </c>
      <c r="B7722" t="s">
        <v>12330</v>
      </c>
      <c r="C7722" t="s">
        <v>12331</v>
      </c>
      <c r="D7722" t="s">
        <v>1163</v>
      </c>
      <c r="E7722" t="s">
        <v>20</v>
      </c>
      <c r="F7722" t="str">
        <f>"45201"</f>
        <v>45201</v>
      </c>
      <c r="G7722" t="str">
        <f>"759796"</f>
        <v>759796</v>
      </c>
      <c r="H7722" s="2">
        <f>553</f>
        <v>553</v>
      </c>
      <c r="I7722" t="s">
        <v>27</v>
      </c>
      <c r="J7722" t="s">
        <v>188</v>
      </c>
      <c r="K7722" t="str">
        <f>"44231"</f>
        <v>44231</v>
      </c>
    </row>
    <row r="7723" spans="1:11" x14ac:dyDescent="0.25">
      <c r="A7723">
        <v>2025</v>
      </c>
      <c r="B7723" t="s">
        <v>12330</v>
      </c>
      <c r="C7723" t="s">
        <v>1162</v>
      </c>
      <c r="D7723" t="s">
        <v>1163</v>
      </c>
      <c r="E7723" t="s">
        <v>20</v>
      </c>
      <c r="F7723" t="str">
        <f>"45202"</f>
        <v>45202</v>
      </c>
      <c r="G7723" t="str">
        <f>"759796"</f>
        <v>759796</v>
      </c>
      <c r="H7723" s="2">
        <f>550</f>
        <v>550</v>
      </c>
      <c r="I7723" t="s">
        <v>27</v>
      </c>
      <c r="J7723" t="s">
        <v>188</v>
      </c>
      <c r="K7723" t="str">
        <f>"44022"</f>
        <v>44022</v>
      </c>
    </row>
    <row r="7724" spans="1:11" x14ac:dyDescent="0.25">
      <c r="A7724">
        <v>2025</v>
      </c>
      <c r="B7724" t="s">
        <v>12330</v>
      </c>
      <c r="C7724" t="s">
        <v>1162</v>
      </c>
      <c r="D7724" t="s">
        <v>1163</v>
      </c>
      <c r="E7724" t="s">
        <v>20</v>
      </c>
      <c r="F7724" t="str">
        <f>"45202"</f>
        <v>45202</v>
      </c>
      <c r="G7724" t="str">
        <f>"759796"</f>
        <v>759796</v>
      </c>
      <c r="H7724" s="2">
        <f>550</f>
        <v>550</v>
      </c>
      <c r="I7724" t="s">
        <v>27</v>
      </c>
      <c r="J7724" t="s">
        <v>188</v>
      </c>
      <c r="K7724" t="str">
        <f>"43720"</f>
        <v>43720</v>
      </c>
    </row>
    <row r="7725" spans="1:11" x14ac:dyDescent="0.25">
      <c r="A7725">
        <v>2025</v>
      </c>
      <c r="B7725" t="s">
        <v>12330</v>
      </c>
      <c r="C7725" t="s">
        <v>12332</v>
      </c>
      <c r="D7725" t="s">
        <v>19</v>
      </c>
      <c r="E7725" t="s">
        <v>20</v>
      </c>
      <c r="F7725" t="str">
        <f>"43611"</f>
        <v>43611</v>
      </c>
      <c r="G7725" t="str">
        <f>"759796"</f>
        <v>759796</v>
      </c>
      <c r="H7725" s="2">
        <f>157.21</f>
        <v>157.21</v>
      </c>
      <c r="I7725" t="s">
        <v>27</v>
      </c>
      <c r="J7725" t="s">
        <v>188</v>
      </c>
      <c r="K7725" t="str">
        <f>"43924"</f>
        <v>43924</v>
      </c>
    </row>
    <row r="7726" spans="1:11" x14ac:dyDescent="0.25">
      <c r="A7726">
        <v>2025</v>
      </c>
      <c r="B7726" t="s">
        <v>12348</v>
      </c>
      <c r="C7726" t="s">
        <v>12349</v>
      </c>
      <c r="D7726" t="s">
        <v>19</v>
      </c>
      <c r="E7726" t="s">
        <v>20</v>
      </c>
      <c r="F7726" t="str">
        <f>"43614-5251"</f>
        <v>43614-5251</v>
      </c>
      <c r="G7726" t="str">
        <f>"753658"</f>
        <v>753658</v>
      </c>
      <c r="H7726" s="2">
        <f>20</f>
        <v>20</v>
      </c>
      <c r="I7726" t="s">
        <v>27</v>
      </c>
      <c r="J7726" t="s">
        <v>39</v>
      </c>
      <c r="K7726" t="str">
        <f>"130860"</f>
        <v>130860</v>
      </c>
    </row>
    <row r="7727" spans="1:11" x14ac:dyDescent="0.25">
      <c r="A7727">
        <v>2025</v>
      </c>
      <c r="B7727" t="s">
        <v>12350</v>
      </c>
      <c r="C7727" t="s">
        <v>12351</v>
      </c>
      <c r="D7727" t="s">
        <v>997</v>
      </c>
      <c r="E7727" t="s">
        <v>418</v>
      </c>
      <c r="F7727" t="str">
        <f>"60602"</f>
        <v>60602</v>
      </c>
      <c r="G7727" t="str">
        <f>"759796"</f>
        <v>759796</v>
      </c>
      <c r="H7727" s="2">
        <f>135.86</f>
        <v>135.86000000000001</v>
      </c>
      <c r="I7727" t="s">
        <v>27</v>
      </c>
      <c r="J7727" t="s">
        <v>188</v>
      </c>
      <c r="K7727" t="str">
        <f>"45264"</f>
        <v>45264</v>
      </c>
    </row>
    <row r="7728" spans="1:11" x14ac:dyDescent="0.25">
      <c r="A7728">
        <v>2025</v>
      </c>
      <c r="B7728" t="s">
        <v>12401</v>
      </c>
      <c r="C7728" t="s">
        <v>12402</v>
      </c>
      <c r="D7728" t="s">
        <v>125</v>
      </c>
      <c r="E7728" t="s">
        <v>20</v>
      </c>
      <c r="F7728" t="str">
        <f>"43537"</f>
        <v>43537</v>
      </c>
      <c r="G7728" t="str">
        <f>"753658"</f>
        <v>753658</v>
      </c>
      <c r="H7728" s="2">
        <f>10</f>
        <v>10</v>
      </c>
      <c r="I7728" t="s">
        <v>27</v>
      </c>
      <c r="J7728" t="s">
        <v>39</v>
      </c>
      <c r="K7728" t="str">
        <f>"131705"</f>
        <v>131705</v>
      </c>
    </row>
    <row r="7729" spans="1:11" x14ac:dyDescent="0.25">
      <c r="A7729">
        <v>2025</v>
      </c>
      <c r="B7729" t="s">
        <v>12403</v>
      </c>
      <c r="C7729" t="s">
        <v>12404</v>
      </c>
      <c r="D7729" t="s">
        <v>19</v>
      </c>
      <c r="E7729" t="s">
        <v>20</v>
      </c>
      <c r="F7729" t="str">
        <f>"43615-4021"</f>
        <v>43615-4021</v>
      </c>
      <c r="G7729" t="str">
        <f>"753658"</f>
        <v>753658</v>
      </c>
      <c r="H7729" s="2">
        <f>20</f>
        <v>20</v>
      </c>
      <c r="I7729" t="s">
        <v>27</v>
      </c>
      <c r="J7729" t="s">
        <v>39</v>
      </c>
      <c r="K7729" t="str">
        <f>"127436"</f>
        <v>127436</v>
      </c>
    </row>
    <row r="7730" spans="1:11" x14ac:dyDescent="0.25">
      <c r="A7730">
        <v>2025</v>
      </c>
      <c r="B7730" t="s">
        <v>12405</v>
      </c>
      <c r="C7730" t="s">
        <v>12406</v>
      </c>
      <c r="D7730" t="s">
        <v>19</v>
      </c>
      <c r="E7730" t="s">
        <v>20</v>
      </c>
      <c r="F7730" t="str">
        <f>"43617"</f>
        <v>43617</v>
      </c>
      <c r="G7730" t="str">
        <f>"759797"</f>
        <v>759797</v>
      </c>
      <c r="H7730" s="2">
        <f>454.5</f>
        <v>454.5</v>
      </c>
      <c r="I7730" t="s">
        <v>27</v>
      </c>
      <c r="J7730" t="s">
        <v>239</v>
      </c>
      <c r="K7730" t="str">
        <f>"N/A"</f>
        <v>N/A</v>
      </c>
    </row>
    <row r="7731" spans="1:11" x14ac:dyDescent="0.25">
      <c r="A7731">
        <v>2025</v>
      </c>
      <c r="B7731" t="s">
        <v>12409</v>
      </c>
      <c r="C7731" t="s">
        <v>12410</v>
      </c>
      <c r="D7731" t="s">
        <v>105</v>
      </c>
      <c r="E7731" t="s">
        <v>20</v>
      </c>
      <c r="F7731" t="str">
        <f>"43528-9503"</f>
        <v>43528-9503</v>
      </c>
      <c r="G7731" t="str">
        <f>"753658"</f>
        <v>753658</v>
      </c>
      <c r="H7731" s="2">
        <f>20</f>
        <v>20</v>
      </c>
      <c r="I7731" t="s">
        <v>27</v>
      </c>
      <c r="J7731" t="s">
        <v>39</v>
      </c>
      <c r="K7731" t="str">
        <f>"125934"</f>
        <v>125934</v>
      </c>
    </row>
    <row r="7732" spans="1:11" x14ac:dyDescent="0.25">
      <c r="A7732">
        <v>2025</v>
      </c>
      <c r="B7732" t="s">
        <v>12421</v>
      </c>
      <c r="C7732" t="s">
        <v>236</v>
      </c>
      <c r="D7732" t="s">
        <v>19</v>
      </c>
      <c r="E7732" t="s">
        <v>20</v>
      </c>
      <c r="F7732" t="str">
        <f>"43613-4409"</f>
        <v>43613-4409</v>
      </c>
      <c r="G7732" t="str">
        <f>"753658"</f>
        <v>753658</v>
      </c>
      <c r="H7732" s="2">
        <f>10</f>
        <v>10</v>
      </c>
      <c r="I7732" t="s">
        <v>27</v>
      </c>
      <c r="J7732" t="s">
        <v>39</v>
      </c>
      <c r="K7732" t="str">
        <f>"128731"</f>
        <v>128731</v>
      </c>
    </row>
    <row r="7733" spans="1:11" x14ac:dyDescent="0.25">
      <c r="A7733">
        <v>2025</v>
      </c>
      <c r="B7733" t="s">
        <v>12422</v>
      </c>
      <c r="C7733" t="s">
        <v>12423</v>
      </c>
      <c r="D7733" t="s">
        <v>19</v>
      </c>
      <c r="E7733" t="s">
        <v>20</v>
      </c>
      <c r="F7733" t="str">
        <f>"43607"</f>
        <v>43607</v>
      </c>
      <c r="G7733" t="str">
        <f>"759797"</f>
        <v>759797</v>
      </c>
      <c r="H7733" s="2">
        <f>3805.65</f>
        <v>3805.65</v>
      </c>
      <c r="I7733" t="s">
        <v>27</v>
      </c>
      <c r="J7733" t="s">
        <v>239</v>
      </c>
      <c r="K7733" t="str">
        <f>"N/A"</f>
        <v>N/A</v>
      </c>
    </row>
    <row r="7734" spans="1:11" x14ac:dyDescent="0.25">
      <c r="A7734">
        <v>2025</v>
      </c>
      <c r="B7734" t="s">
        <v>12424</v>
      </c>
      <c r="C7734" t="s">
        <v>12425</v>
      </c>
      <c r="D7734" t="s">
        <v>19</v>
      </c>
      <c r="E7734" t="s">
        <v>20</v>
      </c>
      <c r="F7734" t="str">
        <f>"43609-1721"</f>
        <v>43609-1721</v>
      </c>
      <c r="G7734" t="str">
        <f t="shared" ref="G7734:G7742" si="289">"753658"</f>
        <v>753658</v>
      </c>
      <c r="H7734" s="2">
        <f>40</f>
        <v>40</v>
      </c>
      <c r="I7734" t="s">
        <v>27</v>
      </c>
      <c r="J7734" t="s">
        <v>39</v>
      </c>
      <c r="K7734" t="str">
        <f>"127819"</f>
        <v>127819</v>
      </c>
    </row>
    <row r="7735" spans="1:11" x14ac:dyDescent="0.25">
      <c r="A7735">
        <v>2025</v>
      </c>
      <c r="B7735" t="s">
        <v>12438</v>
      </c>
      <c r="C7735" t="s">
        <v>12439</v>
      </c>
      <c r="D7735" t="s">
        <v>19</v>
      </c>
      <c r="E7735" t="s">
        <v>20</v>
      </c>
      <c r="F7735" t="str">
        <f>"43609"</f>
        <v>43609</v>
      </c>
      <c r="G7735" t="str">
        <f t="shared" si="289"/>
        <v>753658</v>
      </c>
      <c r="H7735" s="2">
        <f>10</f>
        <v>10</v>
      </c>
      <c r="I7735" t="s">
        <v>27</v>
      </c>
      <c r="J7735" t="s">
        <v>39</v>
      </c>
      <c r="K7735" t="str">
        <f>"129275"</f>
        <v>129275</v>
      </c>
    </row>
    <row r="7736" spans="1:11" x14ac:dyDescent="0.25">
      <c r="A7736">
        <v>2025</v>
      </c>
      <c r="B7736" t="s">
        <v>12448</v>
      </c>
      <c r="C7736" t="s">
        <v>12449</v>
      </c>
      <c r="D7736" t="s">
        <v>19</v>
      </c>
      <c r="E7736" t="s">
        <v>20</v>
      </c>
      <c r="F7736" t="str">
        <f>"43611"</f>
        <v>43611</v>
      </c>
      <c r="G7736" t="str">
        <f t="shared" si="289"/>
        <v>753658</v>
      </c>
      <c r="H7736" s="2">
        <f>20</f>
        <v>20</v>
      </c>
      <c r="I7736" t="s">
        <v>27</v>
      </c>
      <c r="J7736" t="s">
        <v>39</v>
      </c>
      <c r="K7736" t="str">
        <f>"127532"</f>
        <v>127532</v>
      </c>
    </row>
    <row r="7737" spans="1:11" x14ac:dyDescent="0.25">
      <c r="A7737">
        <v>2025</v>
      </c>
      <c r="B7737" t="s">
        <v>12450</v>
      </c>
      <c r="C7737" t="s">
        <v>12451</v>
      </c>
      <c r="D7737" t="s">
        <v>125</v>
      </c>
      <c r="E7737" t="s">
        <v>20</v>
      </c>
      <c r="F7737" t="str">
        <f>"43537-3458"</f>
        <v>43537-3458</v>
      </c>
      <c r="G7737" t="str">
        <f t="shared" si="289"/>
        <v>753658</v>
      </c>
      <c r="H7737" s="2">
        <f>20</f>
        <v>20</v>
      </c>
      <c r="I7737" t="s">
        <v>27</v>
      </c>
      <c r="J7737" t="s">
        <v>39</v>
      </c>
      <c r="K7737" t="str">
        <f>"125996"</f>
        <v>125996</v>
      </c>
    </row>
    <row r="7738" spans="1:11" x14ac:dyDescent="0.25">
      <c r="A7738">
        <v>2025</v>
      </c>
      <c r="B7738" t="s">
        <v>12459</v>
      </c>
      <c r="C7738" t="s">
        <v>12460</v>
      </c>
      <c r="D7738" t="s">
        <v>50</v>
      </c>
      <c r="E7738" t="s">
        <v>20</v>
      </c>
      <c r="F7738" t="str">
        <f>"43560-2627"</f>
        <v>43560-2627</v>
      </c>
      <c r="G7738" t="str">
        <f t="shared" si="289"/>
        <v>753658</v>
      </c>
      <c r="H7738" s="2">
        <f>20</f>
        <v>20</v>
      </c>
      <c r="I7738" t="s">
        <v>27</v>
      </c>
      <c r="J7738" t="s">
        <v>39</v>
      </c>
      <c r="K7738" t="str">
        <f>"125659"</f>
        <v>125659</v>
      </c>
    </row>
    <row r="7739" spans="1:11" x14ac:dyDescent="0.25">
      <c r="A7739">
        <v>2025</v>
      </c>
      <c r="B7739" t="s">
        <v>12461</v>
      </c>
      <c r="C7739" t="s">
        <v>12462</v>
      </c>
      <c r="D7739" t="s">
        <v>125</v>
      </c>
      <c r="E7739" t="s">
        <v>20</v>
      </c>
      <c r="F7739" t="str">
        <f>"43537"</f>
        <v>43537</v>
      </c>
      <c r="G7739" t="str">
        <f t="shared" si="289"/>
        <v>753658</v>
      </c>
      <c r="H7739" s="2">
        <f>100</f>
        <v>100</v>
      </c>
      <c r="I7739" t="s">
        <v>27</v>
      </c>
      <c r="J7739" t="s">
        <v>39</v>
      </c>
      <c r="K7739" t="str">
        <f>"125927"</f>
        <v>125927</v>
      </c>
    </row>
    <row r="7740" spans="1:11" x14ac:dyDescent="0.25">
      <c r="A7740">
        <v>2025</v>
      </c>
      <c r="B7740" t="s">
        <v>12463</v>
      </c>
      <c r="C7740" t="s">
        <v>12464</v>
      </c>
      <c r="D7740" t="s">
        <v>19</v>
      </c>
      <c r="E7740" t="s">
        <v>20</v>
      </c>
      <c r="F7740" t="str">
        <f>"43605-2657"</f>
        <v>43605-2657</v>
      </c>
      <c r="G7740" t="str">
        <f t="shared" si="289"/>
        <v>753658</v>
      </c>
      <c r="H7740" s="2">
        <f>10</f>
        <v>10</v>
      </c>
      <c r="I7740" t="s">
        <v>27</v>
      </c>
      <c r="J7740" t="s">
        <v>39</v>
      </c>
      <c r="K7740" t="str">
        <f>"128784"</f>
        <v>128784</v>
      </c>
    </row>
    <row r="7741" spans="1:11" x14ac:dyDescent="0.25">
      <c r="A7741">
        <v>2025</v>
      </c>
      <c r="B7741" t="s">
        <v>12463</v>
      </c>
      <c r="C7741" t="s">
        <v>12464</v>
      </c>
      <c r="D7741" t="s">
        <v>19</v>
      </c>
      <c r="E7741" t="s">
        <v>20</v>
      </c>
      <c r="F7741" t="str">
        <f>"43605-2657"</f>
        <v>43605-2657</v>
      </c>
      <c r="G7741" t="str">
        <f t="shared" si="289"/>
        <v>753658</v>
      </c>
      <c r="H7741" s="2">
        <f>10</f>
        <v>10</v>
      </c>
      <c r="I7741" t="s">
        <v>27</v>
      </c>
      <c r="J7741" t="s">
        <v>39</v>
      </c>
      <c r="K7741" t="str">
        <f>"130026"</f>
        <v>130026</v>
      </c>
    </row>
    <row r="7742" spans="1:11" x14ac:dyDescent="0.25">
      <c r="A7742">
        <v>2025</v>
      </c>
      <c r="B7742" t="s">
        <v>12469</v>
      </c>
      <c r="C7742" t="s">
        <v>12470</v>
      </c>
      <c r="D7742" t="s">
        <v>19</v>
      </c>
      <c r="E7742" t="s">
        <v>20</v>
      </c>
      <c r="F7742" t="str">
        <f>"43611-1203"</f>
        <v>43611-1203</v>
      </c>
      <c r="G7742" t="str">
        <f t="shared" si="289"/>
        <v>753658</v>
      </c>
      <c r="H7742" s="2">
        <f>10</f>
        <v>10</v>
      </c>
      <c r="I7742" t="s">
        <v>27</v>
      </c>
      <c r="J7742" t="s">
        <v>39</v>
      </c>
      <c r="K7742" t="str">
        <f>"129255"</f>
        <v>129255</v>
      </c>
    </row>
    <row r="7743" spans="1:11" x14ac:dyDescent="0.25">
      <c r="A7743">
        <v>2025</v>
      </c>
      <c r="B7743" t="s">
        <v>12481</v>
      </c>
      <c r="C7743" t="s">
        <v>12482</v>
      </c>
      <c r="D7743" t="s">
        <v>19</v>
      </c>
      <c r="E7743" t="s">
        <v>20</v>
      </c>
      <c r="F7743" t="str">
        <f>"43609"</f>
        <v>43609</v>
      </c>
      <c r="G7743" t="str">
        <f>"759796"</f>
        <v>759796</v>
      </c>
      <c r="H7743" s="2">
        <f>3.81</f>
        <v>3.81</v>
      </c>
      <c r="I7743" t="s">
        <v>27</v>
      </c>
      <c r="J7743" t="s">
        <v>188</v>
      </c>
      <c r="K7743" t="str">
        <f>"45500"</f>
        <v>45500</v>
      </c>
    </row>
    <row r="7744" spans="1:11" x14ac:dyDescent="0.25">
      <c r="A7744">
        <v>2025</v>
      </c>
      <c r="B7744" t="s">
        <v>12483</v>
      </c>
      <c r="C7744" t="s">
        <v>12462</v>
      </c>
      <c r="D7744" t="s">
        <v>125</v>
      </c>
      <c r="E7744" t="s">
        <v>20</v>
      </c>
      <c r="F7744" t="str">
        <f>"43537"</f>
        <v>43537</v>
      </c>
      <c r="G7744" t="str">
        <f>"753658"</f>
        <v>753658</v>
      </c>
      <c r="H7744" s="2">
        <f>50</f>
        <v>50</v>
      </c>
      <c r="I7744" t="s">
        <v>27</v>
      </c>
      <c r="J7744" t="s">
        <v>39</v>
      </c>
      <c r="K7744" t="str">
        <f>"126230"</f>
        <v>126230</v>
      </c>
    </row>
    <row r="7745" spans="1:11" x14ac:dyDescent="0.25">
      <c r="A7745">
        <v>2025</v>
      </c>
      <c r="B7745" t="s">
        <v>12522</v>
      </c>
      <c r="C7745" t="s">
        <v>10152</v>
      </c>
      <c r="D7745" t="s">
        <v>19</v>
      </c>
      <c r="E7745" t="s">
        <v>20</v>
      </c>
      <c r="F7745" t="str">
        <f>"43604"</f>
        <v>43604</v>
      </c>
      <c r="G7745" t="str">
        <f>"759796"</f>
        <v>759796</v>
      </c>
      <c r="H7745" s="2">
        <f>5</f>
        <v>5</v>
      </c>
      <c r="I7745" t="s">
        <v>27</v>
      </c>
      <c r="J7745" t="s">
        <v>188</v>
      </c>
      <c r="K7745" t="str">
        <f>"44873"</f>
        <v>44873</v>
      </c>
    </row>
    <row r="7746" spans="1:11" x14ac:dyDescent="0.25">
      <c r="A7746">
        <v>2025</v>
      </c>
      <c r="B7746" t="s">
        <v>12561</v>
      </c>
      <c r="C7746" t="s">
        <v>10635</v>
      </c>
      <c r="D7746" t="s">
        <v>19</v>
      </c>
      <c r="E7746" t="s">
        <v>20</v>
      </c>
      <c r="F7746" t="str">
        <f>"43604"</f>
        <v>43604</v>
      </c>
      <c r="G7746" t="str">
        <f>"759796"</f>
        <v>759796</v>
      </c>
      <c r="H7746" s="2">
        <f>20</f>
        <v>20</v>
      </c>
      <c r="I7746" t="s">
        <v>27</v>
      </c>
      <c r="J7746" t="s">
        <v>188</v>
      </c>
      <c r="K7746" t="str">
        <f>"45861"</f>
        <v>45861</v>
      </c>
    </row>
    <row r="7747" spans="1:11" x14ac:dyDescent="0.25">
      <c r="A7747">
        <v>2025</v>
      </c>
      <c r="B7747" t="s">
        <v>12562</v>
      </c>
      <c r="C7747" t="s">
        <v>12563</v>
      </c>
      <c r="D7747" t="s">
        <v>19</v>
      </c>
      <c r="E7747" t="s">
        <v>20</v>
      </c>
      <c r="F7747" t="str">
        <f>"43609-2266"</f>
        <v>43609-2266</v>
      </c>
      <c r="G7747" t="str">
        <f>"753658"</f>
        <v>753658</v>
      </c>
      <c r="H7747" s="2">
        <f>30</f>
        <v>30</v>
      </c>
      <c r="I7747" t="s">
        <v>27</v>
      </c>
      <c r="J7747" t="s">
        <v>39</v>
      </c>
      <c r="K7747" t="str">
        <f>"126527"</f>
        <v>126527</v>
      </c>
    </row>
    <row r="7748" spans="1:11" x14ac:dyDescent="0.25">
      <c r="A7748">
        <v>2025</v>
      </c>
      <c r="B7748" t="s">
        <v>12579</v>
      </c>
      <c r="C7748" t="s">
        <v>12580</v>
      </c>
      <c r="D7748" t="s">
        <v>12581</v>
      </c>
      <c r="E7748" t="s">
        <v>20</v>
      </c>
      <c r="F7748" t="str">
        <f>"44106"</f>
        <v>44106</v>
      </c>
      <c r="G7748" t="str">
        <f>"759796"</f>
        <v>759796</v>
      </c>
      <c r="H7748" s="2">
        <f>12</f>
        <v>12</v>
      </c>
      <c r="I7748" t="s">
        <v>27</v>
      </c>
      <c r="J7748" t="s">
        <v>188</v>
      </c>
      <c r="K7748" t="str">
        <f>"45463"</f>
        <v>45463</v>
      </c>
    </row>
    <row r="7749" spans="1:11" x14ac:dyDescent="0.25">
      <c r="A7749">
        <v>2025</v>
      </c>
      <c r="B7749" t="s">
        <v>12584</v>
      </c>
      <c r="C7749" t="s">
        <v>12585</v>
      </c>
      <c r="D7749" t="s">
        <v>58</v>
      </c>
      <c r="E7749" t="s">
        <v>20</v>
      </c>
      <c r="F7749" t="str">
        <f>"43616"</f>
        <v>43616</v>
      </c>
      <c r="G7749" t="str">
        <f>"759796"</f>
        <v>759796</v>
      </c>
      <c r="H7749" s="2">
        <f>753.22</f>
        <v>753.22</v>
      </c>
      <c r="I7749" t="s">
        <v>27</v>
      </c>
      <c r="J7749" t="s">
        <v>188</v>
      </c>
      <c r="K7749" t="str">
        <f>"45180"</f>
        <v>45180</v>
      </c>
    </row>
    <row r="7750" spans="1:11" x14ac:dyDescent="0.25">
      <c r="A7750">
        <v>2025</v>
      </c>
      <c r="B7750" t="s">
        <v>12610</v>
      </c>
      <c r="C7750" t="s">
        <v>12611</v>
      </c>
      <c r="D7750" t="s">
        <v>19</v>
      </c>
      <c r="E7750" t="s">
        <v>20</v>
      </c>
      <c r="F7750" t="str">
        <f>"43610-1332"</f>
        <v>43610-1332</v>
      </c>
      <c r="G7750" t="str">
        <f>"753658"</f>
        <v>753658</v>
      </c>
      <c r="H7750" s="2">
        <f>10</f>
        <v>10</v>
      </c>
      <c r="I7750" t="s">
        <v>27</v>
      </c>
      <c r="J7750" t="s">
        <v>39</v>
      </c>
      <c r="K7750" t="str">
        <f>"129499"</f>
        <v>129499</v>
      </c>
    </row>
    <row r="7751" spans="1:11" x14ac:dyDescent="0.25">
      <c r="A7751">
        <v>2025</v>
      </c>
      <c r="B7751" t="s">
        <v>12618</v>
      </c>
      <c r="C7751" t="s">
        <v>12619</v>
      </c>
      <c r="D7751" t="s">
        <v>125</v>
      </c>
      <c r="E7751" t="s">
        <v>20</v>
      </c>
      <c r="F7751" t="str">
        <f>"43537-4155"</f>
        <v>43537-4155</v>
      </c>
      <c r="G7751" t="str">
        <f>"753658"</f>
        <v>753658</v>
      </c>
      <c r="H7751" s="2">
        <f>10</f>
        <v>10</v>
      </c>
      <c r="I7751" t="s">
        <v>27</v>
      </c>
      <c r="J7751" t="s">
        <v>39</v>
      </c>
      <c r="K7751" t="str">
        <f>"126155"</f>
        <v>126155</v>
      </c>
    </row>
  </sheetData>
  <autoFilter ref="A1:K1" xr:uid="{3C7ED5A4-127A-4E16-8277-137C4B02D5C5}"/>
  <sortState xmlns:xlrd2="http://schemas.microsoft.com/office/spreadsheetml/2017/richdata2" ref="A2:K7769">
    <sortCondition ref="A2:A7769"/>
    <sortCondition ref="B2:B7769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Unclaimed Funds Report - Outsta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Ellen Lauderman</dc:creator>
  <cp:lastModifiedBy>Ellen Lauderman</cp:lastModifiedBy>
  <dcterms:created xsi:type="dcterms:W3CDTF">2025-12-16T21:15:20Z</dcterms:created>
  <dcterms:modified xsi:type="dcterms:W3CDTF">2025-12-30T13:16:10Z</dcterms:modified>
</cp:coreProperties>
</file>